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Dngfs1\sys\Account\PUBLIC\MWESOLOSKY\Rates\PRP\2025\"/>
    </mc:Choice>
  </mc:AlternateContent>
  <xr:revisionPtr revIDLastSave="0" documentId="8_{31DEDE8F-9BED-48CA-8647-A3CED3948A71}" xr6:coauthVersionLast="47" xr6:coauthVersionMax="47" xr10:uidLastSave="{00000000-0000-0000-0000-000000000000}"/>
  <bookViews>
    <workbookView xWindow="28680" yWindow="-120" windowWidth="29040" windowHeight="15840" tabRatio="754" xr2:uid="{00000000-000D-0000-FFFF-FFFF00000000}"/>
  </bookViews>
  <sheets>
    <sheet name="Sch I Summary" sheetId="5" r:id="rId1"/>
    <sheet name="Sch II 2024" sheetId="34" r:id="rId2"/>
    <sheet name="Schedule III" sheetId="26" r:id="rId3"/>
    <sheet name="Schedule IV 2024" sheetId="46" r:id="rId4"/>
    <sheet name="Schedule IV 2024 Monthly" sheetId="45" r:id="rId5"/>
    <sheet name="Tax Rates" sheetId="4" r:id="rId6"/>
  </sheets>
  <definedNames>
    <definedName name="_2019_Capital_Actual_Query" localSheetId="3">#REF!</definedName>
    <definedName name="_2019_Capital_Actual_Query">#REF!</definedName>
    <definedName name="_2021_Capital_Budget_Prep_Query">#REF!</definedName>
    <definedName name="_xlnm.Print_Area" localSheetId="0">'Sch I Summary'!$A$1:$J$33</definedName>
    <definedName name="_xlnm.Print_Area" localSheetId="2">'Schedule III'!$A$1:$E$38</definedName>
    <definedName name="_xlnm.Print_Area" localSheetId="3">'Schedule IV 2024'!$A$1:$G$144</definedName>
    <definedName name="_xlnm.Print_Titles" localSheetId="3">'Schedule IV 2024'!$5:$6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4" i="45" l="1"/>
  <c r="R18" i="45" l="1"/>
  <c r="J97" i="46"/>
  <c r="L98" i="46"/>
  <c r="N98" i="46" s="1"/>
  <c r="O98" i="46" s="1"/>
  <c r="N97" i="46"/>
  <c r="O97" i="46" s="1"/>
  <c r="E99" i="46"/>
  <c r="D99" i="46"/>
  <c r="Q6" i="45" l="1"/>
  <c r="P17" i="45"/>
  <c r="P14" i="45"/>
  <c r="P13" i="45"/>
  <c r="P11" i="45"/>
  <c r="P10" i="45"/>
  <c r="P9" i="45"/>
  <c r="P6" i="45"/>
  <c r="M11" i="45" l="1"/>
  <c r="N11" i="45" s="1"/>
  <c r="O11" i="45" s="1"/>
  <c r="L11" i="45"/>
  <c r="F11" i="45"/>
  <c r="G11" i="45" s="1"/>
  <c r="H11" i="45" s="1"/>
  <c r="I11" i="45" s="1"/>
  <c r="J11" i="45" s="1"/>
  <c r="E11" i="45"/>
  <c r="D11" i="45"/>
  <c r="F10" i="45"/>
  <c r="G10" i="45" s="1"/>
  <c r="H10" i="45" s="1"/>
  <c r="I10" i="45" s="1"/>
  <c r="J10" i="45" s="1"/>
  <c r="K10" i="45" s="1"/>
  <c r="L10" i="45" s="1"/>
  <c r="M10" i="45" s="1"/>
  <c r="N10" i="45" s="1"/>
  <c r="O10" i="45" s="1"/>
  <c r="E10" i="45"/>
  <c r="D10" i="45"/>
  <c r="F9" i="45"/>
  <c r="G9" i="45" s="1"/>
  <c r="H9" i="45" s="1"/>
  <c r="I9" i="45" s="1"/>
  <c r="J9" i="45" s="1"/>
  <c r="K9" i="45" s="1"/>
  <c r="L9" i="45" s="1"/>
  <c r="M9" i="45" s="1"/>
  <c r="N9" i="45" s="1"/>
  <c r="O9" i="45" s="1"/>
  <c r="E9" i="45"/>
  <c r="D9" i="45"/>
  <c r="Q11" i="45" l="1"/>
  <c r="D6" i="45"/>
  <c r="E123" i="46"/>
  <c r="E6" i="45" l="1"/>
  <c r="P52" i="46"/>
  <c r="P53" i="46" s="1"/>
  <c r="F6" i="45" l="1"/>
  <c r="P30" i="46"/>
  <c r="G6" i="45" l="1"/>
  <c r="P75" i="46"/>
  <c r="E31" i="26"/>
  <c r="H6" i="45" l="1"/>
  <c r="E84" i="46"/>
  <c r="E85" i="46" s="1"/>
  <c r="E78" i="46"/>
  <c r="E79" i="46" s="1"/>
  <c r="E59" i="46"/>
  <c r="E41" i="46"/>
  <c r="E27" i="46"/>
  <c r="E22" i="46"/>
  <c r="E18" i="46"/>
  <c r="J134" i="46"/>
  <c r="N134" i="46" s="1"/>
  <c r="O134" i="46" s="1"/>
  <c r="L131" i="46"/>
  <c r="N131" i="46" s="1"/>
  <c r="O131" i="46" s="1"/>
  <c r="J130" i="46"/>
  <c r="N130" i="46" s="1"/>
  <c r="O130" i="46" s="1"/>
  <c r="J126" i="46"/>
  <c r="N126" i="46" s="1"/>
  <c r="O126" i="46" s="1"/>
  <c r="L123" i="46"/>
  <c r="N123" i="46" s="1"/>
  <c r="O123" i="46" s="1"/>
  <c r="J122" i="46"/>
  <c r="N122" i="46" s="1"/>
  <c r="O122" i="46" s="1"/>
  <c r="Q76" i="46"/>
  <c r="Q77" i="46" s="1"/>
  <c r="Q71" i="46"/>
  <c r="Q58" i="46"/>
  <c r="Q53" i="46"/>
  <c r="R53" i="46" s="1"/>
  <c r="Q40" i="46"/>
  <c r="Q31" i="46"/>
  <c r="R31" i="46" s="1"/>
  <c r="Q26" i="46"/>
  <c r="Q17" i="46"/>
  <c r="R17" i="46" s="1"/>
  <c r="E72" i="46"/>
  <c r="E73" i="46" s="1"/>
  <c r="E135" i="46"/>
  <c r="L135" i="46" s="1"/>
  <c r="N135" i="46" s="1"/>
  <c r="O135" i="46" s="1"/>
  <c r="E127" i="46"/>
  <c r="L127" i="46" s="1"/>
  <c r="N127" i="46" s="1"/>
  <c r="O127" i="46" s="1"/>
  <c r="R87" i="46"/>
  <c r="R88" i="46"/>
  <c r="P88" i="46"/>
  <c r="P87" i="46"/>
  <c r="P76" i="46"/>
  <c r="P70" i="46"/>
  <c r="R58" i="46"/>
  <c r="R57" i="46"/>
  <c r="P57" i="46"/>
  <c r="P58" i="46" s="1"/>
  <c r="R52" i="46"/>
  <c r="P39" i="46"/>
  <c r="R30" i="46"/>
  <c r="P31" i="46"/>
  <c r="R16" i="46"/>
  <c r="P16" i="46"/>
  <c r="P17" i="46" s="1"/>
  <c r="P89" i="46" l="1"/>
  <c r="I6" i="45"/>
  <c r="L72" i="46"/>
  <c r="P77" i="46"/>
  <c r="J6" i="45" l="1"/>
  <c r="Q17" i="45"/>
  <c r="C8" i="34" s="1"/>
  <c r="Q16" i="45"/>
  <c r="Q15" i="45"/>
  <c r="Q13" i="45"/>
  <c r="Q10" i="45"/>
  <c r="Q9" i="45"/>
  <c r="K6" i="45" l="1"/>
  <c r="C14" i="45"/>
  <c r="C18" i="45" s="1"/>
  <c r="L6" i="45" l="1"/>
  <c r="E107" i="46"/>
  <c r="E102" i="46"/>
  <c r="E94" i="46"/>
  <c r="E90" i="46"/>
  <c r="E63" i="46"/>
  <c r="E54" i="46"/>
  <c r="E45" i="46"/>
  <c r="E32" i="46"/>
  <c r="E13" i="46"/>
  <c r="E136" i="46"/>
  <c r="D136" i="46"/>
  <c r="E132" i="46"/>
  <c r="D132" i="46"/>
  <c r="E128" i="46"/>
  <c r="D128" i="46"/>
  <c r="E124" i="46"/>
  <c r="D124" i="46"/>
  <c r="R105" i="46"/>
  <c r="R106" i="46"/>
  <c r="R89" i="46"/>
  <c r="R83" i="46"/>
  <c r="R82" i="46"/>
  <c r="R81" i="46"/>
  <c r="R77" i="46"/>
  <c r="R76" i="46"/>
  <c r="R75" i="46"/>
  <c r="R71" i="46"/>
  <c r="R70" i="46"/>
  <c r="R26" i="46"/>
  <c r="R25" i="46"/>
  <c r="R40" i="46"/>
  <c r="R39" i="46"/>
  <c r="M6" i="45" l="1"/>
  <c r="J106" i="46"/>
  <c r="N106" i="46" s="1"/>
  <c r="O106" i="46" s="1"/>
  <c r="D103" i="46"/>
  <c r="E103" i="46"/>
  <c r="J88" i="46"/>
  <c r="N88" i="46" s="1"/>
  <c r="O88" i="46" s="1"/>
  <c r="J89" i="46"/>
  <c r="N89" i="46" s="1"/>
  <c r="O89" i="46" s="1"/>
  <c r="J82" i="46"/>
  <c r="N82" i="46" s="1"/>
  <c r="O82" i="46" s="1"/>
  <c r="J83" i="46"/>
  <c r="N83" i="46" s="1"/>
  <c r="O83" i="46" s="1"/>
  <c r="J76" i="46"/>
  <c r="N76" i="46" s="1"/>
  <c r="O76" i="46" s="1"/>
  <c r="J77" i="46"/>
  <c r="N77" i="46" s="1"/>
  <c r="O77" i="46" s="1"/>
  <c r="J71" i="46"/>
  <c r="N71" i="46" s="1"/>
  <c r="O71" i="46" s="1"/>
  <c r="J66" i="46"/>
  <c r="J26" i="46"/>
  <c r="N26" i="46" s="1"/>
  <c r="O26" i="46" s="1"/>
  <c r="J21" i="46"/>
  <c r="J17" i="46"/>
  <c r="N17" i="46" s="1"/>
  <c r="O17" i="46" s="1"/>
  <c r="J16" i="46"/>
  <c r="N16" i="46" s="1"/>
  <c r="J58" i="46"/>
  <c r="N58" i="46" s="1"/>
  <c r="O58" i="46" s="1"/>
  <c r="J11" i="46"/>
  <c r="D14" i="46"/>
  <c r="D139" i="46" s="1"/>
  <c r="E14" i="46"/>
  <c r="E139" i="46" s="1"/>
  <c r="D19" i="46"/>
  <c r="E19" i="46"/>
  <c r="D23" i="46"/>
  <c r="E23" i="46"/>
  <c r="D28" i="46"/>
  <c r="E28" i="46"/>
  <c r="D33" i="46"/>
  <c r="E33" i="46"/>
  <c r="E36" i="46"/>
  <c r="E37" i="46" s="1"/>
  <c r="D37" i="46"/>
  <c r="D42" i="46"/>
  <c r="E42" i="46"/>
  <c r="D46" i="46"/>
  <c r="E46" i="46"/>
  <c r="D50" i="46"/>
  <c r="E50" i="46"/>
  <c r="D55" i="46"/>
  <c r="E55" i="46"/>
  <c r="D60" i="46"/>
  <c r="E60" i="46"/>
  <c r="D64" i="46"/>
  <c r="E64" i="46"/>
  <c r="E67" i="46"/>
  <c r="E68" i="46" s="1"/>
  <c r="D68" i="46"/>
  <c r="D73" i="46"/>
  <c r="D79" i="46"/>
  <c r="D85" i="46"/>
  <c r="D91" i="46"/>
  <c r="E91" i="46"/>
  <c r="D95" i="46"/>
  <c r="E95" i="46"/>
  <c r="E108" i="46"/>
  <c r="D108" i="46"/>
  <c r="D112" i="46"/>
  <c r="E112" i="46"/>
  <c r="D116" i="46"/>
  <c r="E116" i="46"/>
  <c r="D120" i="46"/>
  <c r="E120" i="46"/>
  <c r="N6" i="45" l="1"/>
  <c r="O6" i="45" l="1"/>
  <c r="C17" i="26"/>
  <c r="M139" i="46" l="1"/>
  <c r="L119" i="46"/>
  <c r="N119" i="46" s="1"/>
  <c r="O119" i="46" s="1"/>
  <c r="J118" i="46"/>
  <c r="N118" i="46" s="1"/>
  <c r="O118" i="46" s="1"/>
  <c r="L115" i="46"/>
  <c r="N115" i="46" s="1"/>
  <c r="O115" i="46" s="1"/>
  <c r="J114" i="46"/>
  <c r="N114" i="46" s="1"/>
  <c r="O114" i="46" s="1"/>
  <c r="L111" i="46"/>
  <c r="N111" i="46" s="1"/>
  <c r="O111" i="46" s="1"/>
  <c r="J110" i="46"/>
  <c r="N110" i="46" s="1"/>
  <c r="O110" i="46" s="1"/>
  <c r="J105" i="46"/>
  <c r="N105" i="46" s="1"/>
  <c r="O105" i="46" s="1"/>
  <c r="L102" i="46"/>
  <c r="N102" i="46" s="1"/>
  <c r="O102" i="46" s="1"/>
  <c r="J101" i="46"/>
  <c r="N101" i="46" s="1"/>
  <c r="O101" i="46" s="1"/>
  <c r="L94" i="46"/>
  <c r="N94" i="46" s="1"/>
  <c r="O94" i="46" s="1"/>
  <c r="J93" i="46"/>
  <c r="N93" i="46" s="1"/>
  <c r="O93" i="46" s="1"/>
  <c r="L90" i="46"/>
  <c r="N90" i="46" s="1"/>
  <c r="O90" i="46" s="1"/>
  <c r="J87" i="46"/>
  <c r="N87" i="46" s="1"/>
  <c r="O87" i="46" s="1"/>
  <c r="L84" i="46"/>
  <c r="J81" i="46"/>
  <c r="N81" i="46" s="1"/>
  <c r="O81" i="46" s="1"/>
  <c r="L78" i="46"/>
  <c r="N78" i="46" s="1"/>
  <c r="O78" i="46" s="1"/>
  <c r="J75" i="46"/>
  <c r="N75" i="46" s="1"/>
  <c r="O75" i="46" s="1"/>
  <c r="N72" i="46"/>
  <c r="O72" i="46" s="1"/>
  <c r="J70" i="46"/>
  <c r="N70" i="46" s="1"/>
  <c r="O70" i="46" s="1"/>
  <c r="N66" i="46"/>
  <c r="O66" i="46" s="1"/>
  <c r="L63" i="46"/>
  <c r="N63" i="46" s="1"/>
  <c r="O63" i="46" s="1"/>
  <c r="J62" i="46"/>
  <c r="N62" i="46" s="1"/>
  <c r="O62" i="46" s="1"/>
  <c r="L59" i="46"/>
  <c r="N59" i="46" s="1"/>
  <c r="O59" i="46" s="1"/>
  <c r="J57" i="46"/>
  <c r="N57" i="46" s="1"/>
  <c r="O57" i="46" s="1"/>
  <c r="L54" i="46"/>
  <c r="N54" i="46" s="1"/>
  <c r="O54" i="46" s="1"/>
  <c r="J53" i="46"/>
  <c r="N53" i="46" s="1"/>
  <c r="O53" i="46" s="1"/>
  <c r="J52" i="46"/>
  <c r="N52" i="46" s="1"/>
  <c r="O52" i="46" s="1"/>
  <c r="L49" i="46"/>
  <c r="N49" i="46" s="1"/>
  <c r="O49" i="46" s="1"/>
  <c r="J48" i="46"/>
  <c r="N48" i="46" s="1"/>
  <c r="O48" i="46" s="1"/>
  <c r="L45" i="46"/>
  <c r="N45" i="46" s="1"/>
  <c r="O45" i="46" s="1"/>
  <c r="J44" i="46"/>
  <c r="N44" i="46" s="1"/>
  <c r="O44" i="46" s="1"/>
  <c r="L41" i="46"/>
  <c r="N41" i="46" s="1"/>
  <c r="O41" i="46" s="1"/>
  <c r="J40" i="46"/>
  <c r="N40" i="46" s="1"/>
  <c r="O40" i="46" s="1"/>
  <c r="J39" i="46"/>
  <c r="N39" i="46" s="1"/>
  <c r="O39" i="46" s="1"/>
  <c r="L36" i="46"/>
  <c r="N36" i="46" s="1"/>
  <c r="O36" i="46" s="1"/>
  <c r="J35" i="46"/>
  <c r="N35" i="46" s="1"/>
  <c r="O35" i="46" s="1"/>
  <c r="L32" i="46"/>
  <c r="N32" i="46" s="1"/>
  <c r="O32" i="46" s="1"/>
  <c r="J31" i="46"/>
  <c r="N31" i="46" s="1"/>
  <c r="O31" i="46" s="1"/>
  <c r="J30" i="46"/>
  <c r="N30" i="46" s="1"/>
  <c r="O30" i="46" s="1"/>
  <c r="L27" i="46"/>
  <c r="N27" i="46" s="1"/>
  <c r="O27" i="46" s="1"/>
  <c r="J25" i="46"/>
  <c r="N25" i="46" s="1"/>
  <c r="O25" i="46" s="1"/>
  <c r="L22" i="46"/>
  <c r="N22" i="46" s="1"/>
  <c r="O22" i="46" s="1"/>
  <c r="N21" i="46"/>
  <c r="O21" i="46" s="1"/>
  <c r="L18" i="46"/>
  <c r="N18" i="46" s="1"/>
  <c r="O18" i="46" s="1"/>
  <c r="O16" i="46"/>
  <c r="L13" i="46"/>
  <c r="N13" i="46" s="1"/>
  <c r="O13" i="46" s="1"/>
  <c r="J12" i="46"/>
  <c r="N12" i="46" s="1"/>
  <c r="O12" i="46" s="1"/>
  <c r="N11" i="46"/>
  <c r="O11" i="46" s="1"/>
  <c r="I8" i="46"/>
  <c r="I139" i="46" s="1"/>
  <c r="N84" i="46" l="1"/>
  <c r="O84" i="46" s="1"/>
  <c r="D14" i="45"/>
  <c r="D18" i="45" s="1"/>
  <c r="J139" i="46"/>
  <c r="N8" i="46"/>
  <c r="L107" i="46"/>
  <c r="N107" i="46" s="1"/>
  <c r="O107" i="46" s="1"/>
  <c r="L67" i="46"/>
  <c r="N67" i="46" s="1"/>
  <c r="O67" i="46" s="1"/>
  <c r="K139" i="46"/>
  <c r="L139" i="46" l="1"/>
  <c r="E14" i="45"/>
  <c r="E18" i="45" s="1"/>
  <c r="N139" i="46"/>
  <c r="O139" i="46" s="1"/>
  <c r="P7" i="34" l="1"/>
  <c r="G7" i="34"/>
  <c r="P8" i="34"/>
  <c r="G8" i="34"/>
  <c r="F14" i="45"/>
  <c r="F18" i="45" s="1"/>
  <c r="C11" i="34" l="1"/>
  <c r="G14" i="45"/>
  <c r="G18" i="45" s="1"/>
  <c r="H14" i="45" l="1"/>
  <c r="H18" i="45" s="1"/>
  <c r="I14" i="45" l="1"/>
  <c r="I18" i="45" s="1"/>
  <c r="J14" i="45" l="1"/>
  <c r="J18" i="45" s="1"/>
  <c r="K14" i="45" l="1"/>
  <c r="K18" i="45" s="1"/>
  <c r="L14" i="45" l="1"/>
  <c r="L18" i="45" s="1"/>
  <c r="M14" i="45" l="1"/>
  <c r="M18" i="45" s="1"/>
  <c r="N14" i="45" l="1"/>
  <c r="N18" i="45" s="1"/>
  <c r="P18" i="45" l="1"/>
  <c r="O14" i="45"/>
  <c r="O18" i="45" s="1"/>
  <c r="Q14" i="45" l="1"/>
  <c r="C6" i="34" l="1"/>
  <c r="P6" i="34" s="1"/>
  <c r="Q18" i="45"/>
  <c r="E17" i="26"/>
  <c r="E21" i="26" s="1"/>
  <c r="E35" i="26" s="1"/>
  <c r="G6" i="34" l="1"/>
  <c r="C31" i="5"/>
  <c r="F14" i="5" s="1"/>
  <c r="E30" i="5"/>
  <c r="E29" i="5"/>
  <c r="E28" i="5"/>
  <c r="E31" i="5" s="1"/>
  <c r="F15" i="5" s="1"/>
  <c r="H12" i="5" l="1"/>
  <c r="H16" i="5" s="1"/>
  <c r="H18" i="5" s="1"/>
  <c r="C20" i="34" l="1"/>
  <c r="E20" i="34" s="1"/>
  <c r="G36" i="34" l="1"/>
  <c r="E36" i="34"/>
  <c r="G35" i="34"/>
  <c r="G34" i="34"/>
  <c r="G33" i="34"/>
  <c r="G32" i="34"/>
  <c r="L25" i="34"/>
  <c r="M24" i="34"/>
  <c r="G24" i="34"/>
  <c r="N24" i="34" s="1"/>
  <c r="P24" i="34" s="1"/>
  <c r="C24" i="34"/>
  <c r="C23" i="34"/>
  <c r="E23" i="34" s="1"/>
  <c r="M23" i="34" s="1"/>
  <c r="C22" i="34"/>
  <c r="C21" i="34"/>
  <c r="E21" i="34" s="1"/>
  <c r="M20" i="34"/>
  <c r="F20" i="34"/>
  <c r="C19" i="34"/>
  <c r="K18" i="34"/>
  <c r="K20" i="34" s="1"/>
  <c r="F12" i="34"/>
  <c r="C12" i="34"/>
  <c r="F8" i="5" s="1"/>
  <c r="P11" i="34"/>
  <c r="P10" i="34"/>
  <c r="G10" i="34"/>
  <c r="H10" i="34" s="1"/>
  <c r="J10" i="34" s="1"/>
  <c r="D35" i="34" s="1"/>
  <c r="P9" i="34"/>
  <c r="G9" i="34"/>
  <c r="H9" i="34" s="1"/>
  <c r="J9" i="34" s="1"/>
  <c r="D34" i="34" s="1"/>
  <c r="H8" i="34"/>
  <c r="J8" i="34" s="1"/>
  <c r="D33" i="34" s="1"/>
  <c r="H7" i="34"/>
  <c r="J7" i="34" s="1"/>
  <c r="D32" i="34" s="1"/>
  <c r="I8" i="5" l="1"/>
  <c r="H24" i="34"/>
  <c r="K23" i="34"/>
  <c r="P12" i="34"/>
  <c r="G11" i="34" s="1"/>
  <c r="M21" i="34"/>
  <c r="F21" i="34"/>
  <c r="E19" i="34"/>
  <c r="F19" i="34" s="1"/>
  <c r="K19" i="34"/>
  <c r="G20" i="34"/>
  <c r="N20" i="34" s="1"/>
  <c r="E22" i="34"/>
  <c r="M22" i="34" s="1"/>
  <c r="K22" i="34"/>
  <c r="F23" i="34"/>
  <c r="C25" i="34"/>
  <c r="H6" i="34"/>
  <c r="K21" i="34"/>
  <c r="H11" i="34" l="1"/>
  <c r="J11" i="34" s="1"/>
  <c r="D36" i="34" s="1"/>
  <c r="F36" i="34" s="1"/>
  <c r="H36" i="34" s="1"/>
  <c r="G12" i="34"/>
  <c r="C8" i="26" s="1"/>
  <c r="H20" i="34"/>
  <c r="O20" i="34" s="1"/>
  <c r="P20" i="34" s="1"/>
  <c r="R20" i="34" s="1"/>
  <c r="E32" i="34" s="1"/>
  <c r="F32" i="34" s="1"/>
  <c r="H32" i="34" s="1"/>
  <c r="G19" i="34"/>
  <c r="H19" i="34" s="1"/>
  <c r="O19" i="34" s="1"/>
  <c r="M19" i="34"/>
  <c r="E25" i="34"/>
  <c r="J6" i="34"/>
  <c r="H12" i="34"/>
  <c r="F10" i="5" s="1"/>
  <c r="C19" i="26" s="1"/>
  <c r="F22" i="34"/>
  <c r="F25" i="34" s="1"/>
  <c r="G21" i="34"/>
  <c r="N21" i="34" s="1"/>
  <c r="G23" i="34"/>
  <c r="N23" i="34" s="1"/>
  <c r="I10" i="5" l="1"/>
  <c r="C21" i="26"/>
  <c r="C35" i="26" s="1"/>
  <c r="H23" i="34"/>
  <c r="O23" i="34" s="1"/>
  <c r="P23" i="34" s="1"/>
  <c r="R23" i="34" s="1"/>
  <c r="E35" i="34" s="1"/>
  <c r="F35" i="34" s="1"/>
  <c r="H35" i="34" s="1"/>
  <c r="D31" i="34"/>
  <c r="D37" i="34" s="1"/>
  <c r="J12" i="34"/>
  <c r="N19" i="34"/>
  <c r="H21" i="34"/>
  <c r="O21" i="34" s="1"/>
  <c r="G22" i="34"/>
  <c r="N22" i="34" s="1"/>
  <c r="M25" i="34"/>
  <c r="P21" i="34" l="1"/>
  <c r="R21" i="34" s="1"/>
  <c r="E33" i="34" s="1"/>
  <c r="F33" i="34" s="1"/>
  <c r="H33" i="34" s="1"/>
  <c r="H22" i="34"/>
  <c r="O22" i="34" s="1"/>
  <c r="O25" i="34" s="1"/>
  <c r="N25" i="34"/>
  <c r="P19" i="34"/>
  <c r="G25" i="34"/>
  <c r="H25" i="34" l="1"/>
  <c r="P22" i="34"/>
  <c r="R22" i="34" s="1"/>
  <c r="E34" i="34" s="1"/>
  <c r="F34" i="34" s="1"/>
  <c r="H34" i="34" s="1"/>
  <c r="R19" i="34"/>
  <c r="P25" i="34" l="1"/>
  <c r="E31" i="34"/>
  <c r="R25" i="34"/>
  <c r="E37" i="34" l="1"/>
  <c r="F31" i="34"/>
  <c r="F37" i="34" l="1"/>
  <c r="H31" i="34"/>
  <c r="H37" i="34" s="1"/>
  <c r="F11" i="5" l="1"/>
  <c r="I11" i="5" s="1"/>
  <c r="I12" i="5" s="1"/>
  <c r="W4" i="4"/>
  <c r="W3" i="4"/>
  <c r="W2" i="4"/>
  <c r="F12" i="5" l="1"/>
  <c r="F16" i="5" s="1"/>
  <c r="G16" i="5" s="1"/>
  <c r="F25" i="5"/>
  <c r="C25" i="5"/>
  <c r="D22" i="5" l="1"/>
  <c r="D21" i="5"/>
  <c r="D24" i="5"/>
  <c r="D23" i="5"/>
  <c r="D25" i="5" l="1"/>
  <c r="G17" i="5" l="1"/>
  <c r="I17" i="5" s="1"/>
  <c r="G18" i="5" l="1"/>
  <c r="I18" i="5" s="1"/>
  <c r="I16" i="5"/>
  <c r="E23" i="5" l="1"/>
  <c r="G23" i="5" s="1"/>
  <c r="I23" i="5" s="1"/>
  <c r="E24" i="5"/>
  <c r="G24" i="5" s="1"/>
  <c r="I24" i="5" s="1"/>
  <c r="E21" i="5"/>
  <c r="G21" i="5" s="1"/>
  <c r="I21" i="5" s="1"/>
  <c r="E22" i="5"/>
  <c r="G22" i="5" s="1"/>
  <c r="I22" i="5" s="1"/>
  <c r="E2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Allison Cascio</author>
    <author xml:space="preserve"> </author>
  </authors>
  <commentList>
    <comment ref="B3" authorId="0" shapeId="0" xr:uid="{00000000-0006-0000-0300-000001000000}">
      <text>
        <r>
          <rPr>
            <b/>
            <sz val="9"/>
            <color indexed="81"/>
            <rFont val="Tahoma"/>
            <family val="2"/>
          </rPr>
          <t>Allison Cascio:</t>
        </r>
        <r>
          <rPr>
            <sz val="9"/>
            <color indexed="81"/>
            <rFont val="Tahoma"/>
            <family val="2"/>
          </rPr>
          <t xml:space="preserve">
Created tab,
Deleted #s entered in C6-C11</t>
        </r>
      </text>
    </comment>
    <comment ref="G6" authorId="1" shapeId="0" xr:uid="{00000000-0006-0000-0300-000002000000}">
      <text>
        <r>
          <rPr>
            <b/>
            <sz val="10"/>
            <color indexed="81"/>
            <rFont val="Tahoma"/>
            <family val="2"/>
          </rPr>
          <t xml:space="preserve"> :</t>
        </r>
        <r>
          <rPr>
            <sz val="10"/>
            <color indexed="81"/>
            <rFont val="Tahoma"/>
            <family val="2"/>
          </rPr>
          <t xml:space="preserve">
Calculating a half year-of depr expense</t>
        </r>
      </text>
    </comment>
    <comment ref="G7" authorId="1" shapeId="0" xr:uid="{00000000-0006-0000-0300-000003000000}">
      <text>
        <r>
          <rPr>
            <b/>
            <sz val="10"/>
            <color indexed="81"/>
            <rFont val="Tahoma"/>
            <family val="2"/>
          </rPr>
          <t xml:space="preserve"> :</t>
        </r>
        <r>
          <rPr>
            <sz val="10"/>
            <color indexed="81"/>
            <rFont val="Tahoma"/>
            <family val="2"/>
          </rPr>
          <t xml:space="preserve">
Calculating a half year-of depr expense</t>
        </r>
      </text>
    </comment>
    <comment ref="G8" authorId="1" shapeId="0" xr:uid="{00000000-0006-0000-0300-000004000000}">
      <text>
        <r>
          <rPr>
            <b/>
            <sz val="10"/>
            <color indexed="81"/>
            <rFont val="Tahoma"/>
            <family val="2"/>
          </rPr>
          <t xml:space="preserve"> :</t>
        </r>
        <r>
          <rPr>
            <sz val="10"/>
            <color indexed="81"/>
            <rFont val="Tahoma"/>
            <family val="2"/>
          </rPr>
          <t xml:space="preserve">
Calculating a half year-of depr expense</t>
        </r>
      </text>
    </comment>
    <comment ref="G9" authorId="1" shapeId="0" xr:uid="{00000000-0006-0000-0300-000005000000}">
      <text>
        <r>
          <rPr>
            <b/>
            <sz val="10"/>
            <color indexed="81"/>
            <rFont val="Tahoma"/>
            <family val="2"/>
          </rPr>
          <t xml:space="preserve"> :</t>
        </r>
        <r>
          <rPr>
            <sz val="10"/>
            <color indexed="81"/>
            <rFont val="Tahoma"/>
            <family val="2"/>
          </rPr>
          <t xml:space="preserve">
Calculating a half year-of depr expense</t>
        </r>
      </text>
    </comment>
    <comment ref="G10" authorId="1" shapeId="0" xr:uid="{00000000-0006-0000-0300-000006000000}">
      <text>
        <r>
          <rPr>
            <b/>
            <sz val="10"/>
            <color indexed="81"/>
            <rFont val="Tahoma"/>
            <family val="2"/>
          </rPr>
          <t xml:space="preserve"> :</t>
        </r>
        <r>
          <rPr>
            <sz val="10"/>
            <color indexed="81"/>
            <rFont val="Tahoma"/>
            <family val="2"/>
          </rPr>
          <t xml:space="preserve">
Calculating a half year-of depr expense</t>
        </r>
      </text>
    </comment>
  </commentList>
</comments>
</file>

<file path=xl/sharedStrings.xml><?xml version="1.0" encoding="utf-8"?>
<sst xmlns="http://schemas.openxmlformats.org/spreadsheetml/2006/main" count="394" uniqueCount="186">
  <si>
    <t>Transmission Mains</t>
  </si>
  <si>
    <t>Services</t>
  </si>
  <si>
    <t>Depreciation</t>
  </si>
  <si>
    <t>Income Taxes</t>
  </si>
  <si>
    <t>Residential</t>
  </si>
  <si>
    <t>Small Non-Residential</t>
  </si>
  <si>
    <t>Large Non-Residential</t>
  </si>
  <si>
    <t>Interruptible</t>
  </si>
  <si>
    <t>Rate</t>
  </si>
  <si>
    <t>Tax</t>
  </si>
  <si>
    <t>Depr</t>
  </si>
  <si>
    <t>Expense</t>
  </si>
  <si>
    <t>Storage Lines</t>
  </si>
  <si>
    <t>Gathering Lines</t>
  </si>
  <si>
    <t>Tax Life</t>
  </si>
  <si>
    <t>Investment</t>
  </si>
  <si>
    <t>Beginning</t>
  </si>
  <si>
    <t>Ending</t>
  </si>
  <si>
    <t>MACRS</t>
  </si>
  <si>
    <t>Year</t>
  </si>
  <si>
    <t xml:space="preserve">Calendar Year </t>
  </si>
  <si>
    <t>YEAR</t>
  </si>
  <si>
    <t>Bonus</t>
  </si>
  <si>
    <t>Qualifying Tax</t>
  </si>
  <si>
    <t>Percentage</t>
  </si>
  <si>
    <t>Additions</t>
  </si>
  <si>
    <t>Depreciable</t>
  </si>
  <si>
    <t>Base</t>
  </si>
  <si>
    <t>Book</t>
  </si>
  <si>
    <t xml:space="preserve"> Book Depreciation Reserve</t>
  </si>
  <si>
    <t>Tax Depreciation Reserve</t>
  </si>
  <si>
    <t>Book Depr</t>
  </si>
  <si>
    <t>Net Book Value</t>
  </si>
  <si>
    <t>Deferred</t>
  </si>
  <si>
    <t>Timing</t>
  </si>
  <si>
    <t>Difference</t>
  </si>
  <si>
    <t>Net Book</t>
  </si>
  <si>
    <t>Value</t>
  </si>
  <si>
    <t>Less:</t>
  </si>
  <si>
    <t>Accumulated depreciation</t>
  </si>
  <si>
    <t>Accumulated deferred income taxes</t>
  </si>
  <si>
    <t>PRP Worksheet</t>
  </si>
  <si>
    <t>Distribution Mains</t>
  </si>
  <si>
    <t xml:space="preserve">Cumulative </t>
  </si>
  <si>
    <t>Delta Natural Gas Company, Inc.</t>
  </si>
  <si>
    <t>Pipe Replacement Program Filing</t>
  </si>
  <si>
    <t>Return, grossed up for income taxes</t>
  </si>
  <si>
    <t>Current Year PRP Adjustment</t>
  </si>
  <si>
    <t>Statutory</t>
  </si>
  <si>
    <t>various</t>
  </si>
  <si>
    <t>Cost of Removal</t>
  </si>
  <si>
    <t>NA</t>
  </si>
  <si>
    <t xml:space="preserve"> </t>
  </si>
  <si>
    <t>Total</t>
  </si>
  <si>
    <t>COR</t>
  </si>
  <si>
    <t>A</t>
  </si>
  <si>
    <t>Cost of Service Impact from PRP</t>
  </si>
  <si>
    <t>Increased property tax expense</t>
  </si>
  <si>
    <t>Average ad valorem tax rate</t>
  </si>
  <si>
    <t>Cost of Service Items (Schedule III)</t>
  </si>
  <si>
    <t>DELTA NATURAL GAS</t>
  </si>
  <si>
    <t>FOOTAGE</t>
  </si>
  <si>
    <t xml:space="preserve">( A )    Represents cost of removal incurred.  No pipe installed. </t>
  </si>
  <si>
    <t>Increased depreciation expense (Schedule II)</t>
  </si>
  <si>
    <t xml:space="preserve">PLANT </t>
  </si>
  <si>
    <t>DISTRICT BRANCH</t>
  </si>
  <si>
    <t>CLASSIFICATION</t>
  </si>
  <si>
    <t>SIZE AND PIPE INSTALLED</t>
  </si>
  <si>
    <t>TOTAL COST</t>
  </si>
  <si>
    <t>(A)</t>
  </si>
  <si>
    <t>Net Book Value, PSC Report Page 110</t>
  </si>
  <si>
    <t>PRP Net Book Value</t>
  </si>
  <si>
    <t>PRP Property Tax</t>
  </si>
  <si>
    <t>Total increased cost of service</t>
  </si>
  <si>
    <t>Property tax expense for current year is based on plant balances at the end of the prior year</t>
  </si>
  <si>
    <t>Schedule III</t>
  </si>
  <si>
    <t>Schedule IV</t>
  </si>
  <si>
    <t>2" Plastic</t>
  </si>
  <si>
    <t>(C)</t>
  </si>
  <si>
    <t xml:space="preserve">( C )    Delta does not track the footage of each individual service line. </t>
  </si>
  <si>
    <t>( B )    Charges relating to footage reported in prior year.</t>
  </si>
  <si>
    <t>Net PRP Rate Base, as of December 31, 2023</t>
  </si>
  <si>
    <t>2023 Property Tax Expense</t>
  </si>
  <si>
    <t>(C) (D)</t>
  </si>
  <si>
    <t>1</t>
  </si>
  <si>
    <t>4" Plastic</t>
  </si>
  <si>
    <t>Transmission</t>
  </si>
  <si>
    <t>Check Total</t>
  </si>
  <si>
    <t>Months</t>
  </si>
  <si>
    <t>Classification</t>
  </si>
  <si>
    <t>13 Month
Average</t>
  </si>
  <si>
    <t>Cumulative Total</t>
  </si>
  <si>
    <t>Original Estimate</t>
  </si>
  <si>
    <t>Eligible expenditures under the PRP (Schedule II)</t>
  </si>
  <si>
    <t>WACC, per Case No. 2021-00185</t>
  </si>
  <si>
    <t>Weighted Cost of Capital</t>
  </si>
  <si>
    <t>Gross Revenue Conversion Factor</t>
  </si>
  <si>
    <t>Pretax Weighted Average Cost of Capital</t>
  </si>
  <si>
    <t>Equity</t>
  </si>
  <si>
    <t>Long-term debt</t>
  </si>
  <si>
    <t>Short-term debt</t>
  </si>
  <si>
    <t>WACC, gross up for income taxes, PSC assessment, and bad debt</t>
  </si>
  <si>
    <t>Calculated Net Revenue @ Approved Rates per Case No. 2021-00185</t>
  </si>
  <si>
    <t xml:space="preserve"> Class Allocation</t>
  </si>
  <si>
    <t>Current PRP Rate</t>
  </si>
  <si>
    <t>New PRP Rate</t>
  </si>
  <si>
    <t>Estimated 7 Months Usage (Volumes for June and July, 2022 plus Aug - Dec, 2021)</t>
  </si>
  <si>
    <t>( D )    These projects are not yet complete.  Footages will be reported in the year projects are closed to plant.</t>
  </si>
  <si>
    <t>(D)</t>
  </si>
  <si>
    <t>Engineering Services</t>
  </si>
  <si>
    <t>13</t>
  </si>
  <si>
    <t>2</t>
  </si>
  <si>
    <t>0</t>
  </si>
  <si>
    <t>Dist</t>
  </si>
  <si>
    <t>Allocated PRP True-Up</t>
  </si>
  <si>
    <t>PRP True-Up Per MCF</t>
  </si>
  <si>
    <t>ORIGINAL ESTIMATE</t>
  </si>
  <si>
    <t>Engineering Services Only</t>
  </si>
  <si>
    <t xml:space="preserve">Aldyl-A Replacement </t>
  </si>
  <si>
    <t>Operating expense reductions</t>
  </si>
  <si>
    <t>Maintenance of Transmission and Distribution Mains, per Case</t>
  </si>
  <si>
    <t>887 Distribution Main Maintenance</t>
  </si>
  <si>
    <t>Under 2" Plastic</t>
  </si>
  <si>
    <t>Forecasted Period Ending December 31, 2024</t>
  </si>
  <si>
    <r>
      <t xml:space="preserve">Rates Effective: </t>
    </r>
    <r>
      <rPr>
        <b/>
        <u/>
        <sz val="11"/>
        <rFont val="Calibri"/>
        <family val="2"/>
        <scheme val="minor"/>
      </rPr>
      <t>January 1, 2024</t>
    </r>
  </si>
  <si>
    <t>Per Order
2023-00343
12-22-2023</t>
  </si>
  <si>
    <t>December 31, 2023</t>
  </si>
  <si>
    <t xml:space="preserve">  Current Year Actual Expense (Calendar 2024)</t>
  </si>
  <si>
    <t>Schedule II 2024</t>
  </si>
  <si>
    <t>Cost of Removal and Replacement Projects for 2024</t>
  </si>
  <si>
    <t>Cost of Removal and Replacement Projects for 01/01/2024 - 12/31/2024</t>
  </si>
  <si>
    <t>10099954 - Corbin</t>
  </si>
  <si>
    <t>10099955 - Corbin</t>
  </si>
  <si>
    <t>12</t>
  </si>
  <si>
    <t>10105469 - Nicholasville</t>
  </si>
  <si>
    <t>262</t>
  </si>
  <si>
    <t>10117520 - Nicholasville</t>
  </si>
  <si>
    <t>10</t>
  </si>
  <si>
    <t>10088375 - Corbin</t>
  </si>
  <si>
    <t>4</t>
  </si>
  <si>
    <t>10131625 - Manchester</t>
  </si>
  <si>
    <t>10123989 - London</t>
  </si>
  <si>
    <t>4" Plastic Pipe</t>
  </si>
  <si>
    <t>2" Plastic Pipe</t>
  </si>
  <si>
    <t>10122614 - Owingsville</t>
  </si>
  <si>
    <t>10122615 - Owingsville</t>
  </si>
  <si>
    <t>10100085 - Stanton</t>
  </si>
  <si>
    <t>118</t>
  </si>
  <si>
    <t>10100086 - Stanton</t>
  </si>
  <si>
    <t>33</t>
  </si>
  <si>
    <t>10118093 - Stanton</t>
  </si>
  <si>
    <t>10136225 - Owingsville</t>
  </si>
  <si>
    <t>10100678 - London</t>
  </si>
  <si>
    <t>10100886 - Owingsville</t>
  </si>
  <si>
    <t>3/4" Plastic Pipe</t>
  </si>
  <si>
    <t>56</t>
  </si>
  <si>
    <t>10100887 - Owingsville</t>
  </si>
  <si>
    <t>75</t>
  </si>
  <si>
    <t>10135986 - Stanton</t>
  </si>
  <si>
    <t>18</t>
  </si>
  <si>
    <t>10134303 - Barbourville</t>
  </si>
  <si>
    <t>15</t>
  </si>
  <si>
    <t>10134567 - London</t>
  </si>
  <si>
    <t>10121916 - Barbourville</t>
  </si>
  <si>
    <t>62</t>
  </si>
  <si>
    <t>10132842 - Corbin</t>
  </si>
  <si>
    <t>10138056 - Clearfield</t>
  </si>
  <si>
    <t>Updated</t>
  </si>
  <si>
    <t>No change since estimate filing</t>
  </si>
  <si>
    <t>Alli Notes</t>
  </si>
  <si>
    <t>10136777</t>
  </si>
  <si>
    <t>Formula</t>
  </si>
  <si>
    <t>Updated psc page 262</t>
  </si>
  <si>
    <t>Vintage 2024</t>
  </si>
  <si>
    <t>8</t>
  </si>
  <si>
    <t>32</t>
  </si>
  <si>
    <t>10132841 - Berea</t>
  </si>
  <si>
    <t>10135599 - Stanton</t>
  </si>
  <si>
    <t>10134566 - London</t>
  </si>
  <si>
    <t>Reduction in Operating Expense</t>
  </si>
  <si>
    <t>True up of October 2024 filing as amended by Order 2023-00343 dated 12-22-2023 with 2024 Estimates replaced with Actuals - Changes Highlighted</t>
  </si>
  <si>
    <t>B</t>
  </si>
  <si>
    <t>See Note A on Schedule III</t>
  </si>
  <si>
    <t>The primary reason why the actual cost of service is greater than the originally estimated cost of service is that depreciaton expense was inadvertently calculated at half of the correct value for 2024 in the estimate.  The formula remained in the depreciation schedule from the legacy calculation when a factor of 1/2 was used to represent the mid-year convention for depreciation expense.  Now that the PRP only includes the average expenditures rather than the total expenditures for the year, the 1/2 factor in calculating depreciaton expense is no longer appropriate.  This adjustment corrects for the error.</t>
  </si>
  <si>
    <t>13 Months Ended
12/31/2024</t>
  </si>
  <si>
    <t>2024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</si>
</sst>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00000%"/>
    <numFmt numFmtId="168" formatCode="_(* #,##0.00000_);_(* \(#,##0.00000\);_(* &quot;-&quot;??_);_(@_)"/>
    <numFmt numFmtId="169" formatCode="0.000%"/>
    <numFmt numFmtId="170" formatCode="_(&quot;$&quot;* #,##0.00000_);_(&quot;$&quot;* \(#,##0.00000\);_(&quot;$&quot;* &quot;-&quot;??_);_(@_)"/>
    <numFmt numFmtId="171" formatCode="0.00000"/>
    <numFmt numFmtId="172" formatCode="0.0000%"/>
    <numFmt numFmtId="173" formatCode="[$-409]mmm\-yy;@"/>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color indexed="81"/>
      <name val="Tahoma"/>
      <family val="2"/>
    </font>
    <font>
      <b/>
      <sz val="10"/>
      <color indexed="81"/>
      <name val="Tahoma"/>
      <family val="2"/>
    </font>
    <font>
      <sz val="11"/>
      <name val="Calibri"/>
      <family val="2"/>
      <scheme val="minor"/>
    </font>
    <font>
      <b/>
      <sz val="10"/>
      <name val="Arial"/>
      <family val="2"/>
    </font>
    <font>
      <sz val="9"/>
      <name val="Arial"/>
      <family val="2"/>
    </font>
    <font>
      <b/>
      <sz val="11"/>
      <color rgb="FFFF0000"/>
      <name val="Calibri"/>
      <family val="2"/>
      <scheme val="minor"/>
    </font>
    <font>
      <sz val="10"/>
      <name val="Arial"/>
      <family val="2"/>
    </font>
    <font>
      <sz val="9"/>
      <color theme="1"/>
      <name val="Calibri"/>
      <family val="2"/>
      <scheme val="minor"/>
    </font>
    <font>
      <sz val="9"/>
      <color indexed="81"/>
      <name val="Tahoma"/>
      <family val="2"/>
    </font>
    <font>
      <b/>
      <sz val="9"/>
      <color indexed="81"/>
      <name val="Tahoma"/>
      <family val="2"/>
    </font>
    <font>
      <b/>
      <sz val="11"/>
      <name val="Calibri"/>
      <family val="2"/>
      <scheme val="minor"/>
    </font>
    <font>
      <b/>
      <u/>
      <sz val="11"/>
      <name val="Calibri"/>
      <family val="2"/>
      <scheme val="minor"/>
    </font>
    <font>
      <u/>
      <sz val="11"/>
      <name val="Calibri"/>
      <family val="2"/>
      <scheme val="minor"/>
    </font>
    <font>
      <b/>
      <sz val="9"/>
      <name val="Arial"/>
      <family val="2"/>
    </font>
    <font>
      <b/>
      <sz val="9"/>
      <color theme="1"/>
      <name val="Calibri"/>
      <family val="2"/>
      <scheme val="minor"/>
    </font>
    <font>
      <b/>
      <sz val="9"/>
      <color theme="1"/>
      <name val="Arial"/>
      <family val="2"/>
    </font>
    <font>
      <b/>
      <u/>
      <sz val="9"/>
      <color theme="1"/>
      <name val="Calibri"/>
      <family val="2"/>
      <scheme val="minor"/>
    </font>
    <font>
      <b/>
      <u val="singleAccounting"/>
      <sz val="9"/>
      <color theme="1"/>
      <name val="Calibri"/>
      <family val="2"/>
      <scheme val="minor"/>
    </font>
    <font>
      <sz val="9"/>
      <name val="Calibri"/>
      <family val="2"/>
      <scheme val="minor"/>
    </font>
  </fonts>
  <fills count="3">
    <fill>
      <patternFill patternType="none"/>
    </fill>
    <fill>
      <patternFill patternType="gray125"/>
    </fill>
    <fill>
      <patternFill patternType="solid">
        <fgColor theme="3" tint="0.79998168889431442"/>
        <bgColor indexed="64"/>
      </patternFill>
    </fill>
  </fills>
  <borders count="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9" fillId="0" borderId="0"/>
    <xf numFmtId="43" fontId="9" fillId="0" borderId="0" applyFont="0" applyFill="0" applyBorder="0" applyAlignment="0" applyProtection="0"/>
  </cellStyleXfs>
  <cellXfs count="235">
    <xf numFmtId="0" fontId="0" fillId="0" borderId="0" xfId="0"/>
    <xf numFmtId="169" fontId="0" fillId="0" borderId="0" xfId="2" applyNumberFormat="1" applyFont="1"/>
    <xf numFmtId="0" fontId="0" fillId="0" borderId="0" xfId="0" applyFill="1"/>
    <xf numFmtId="0" fontId="2" fillId="0" borderId="0" xfId="0" applyFont="1"/>
    <xf numFmtId="0" fontId="2" fillId="0" borderId="0" xfId="0" applyFont="1" applyFill="1" applyAlignment="1">
      <alignment vertical="center"/>
    </xf>
    <xf numFmtId="0" fontId="0" fillId="0" borderId="0" xfId="0" applyFill="1" applyAlignment="1">
      <alignment vertical="center"/>
    </xf>
    <xf numFmtId="165" fontId="0" fillId="0" borderId="0" xfId="3" applyNumberFormat="1" applyFont="1" applyFill="1" applyAlignment="1">
      <alignment vertical="center"/>
    </xf>
    <xf numFmtId="0" fontId="0" fillId="0" borderId="0" xfId="0" applyFill="1" applyAlignment="1">
      <alignment horizontal="left" vertical="center"/>
    </xf>
    <xf numFmtId="0" fontId="0" fillId="0" borderId="0" xfId="0" applyFill="1" applyBorder="1" applyAlignment="1">
      <alignment vertical="center"/>
    </xf>
    <xf numFmtId="0" fontId="8" fillId="0" borderId="0" xfId="0" applyFont="1" applyFill="1" applyAlignment="1">
      <alignment horizontal="right" vertical="center"/>
    </xf>
    <xf numFmtId="0" fontId="0" fillId="0" borderId="0" xfId="0"/>
    <xf numFmtId="0" fontId="0" fillId="0" borderId="0" xfId="0" applyFill="1" applyAlignment="1">
      <alignment horizontal="right" vertical="center"/>
    </xf>
    <xf numFmtId="0" fontId="0" fillId="0" borderId="1" xfId="0" applyFill="1" applyBorder="1" applyAlignment="1">
      <alignment vertical="center"/>
    </xf>
    <xf numFmtId="165" fontId="0" fillId="0" borderId="0" xfId="3" applyNumberFormat="1" applyFont="1" applyFill="1" applyBorder="1" applyAlignment="1">
      <alignment vertical="center"/>
    </xf>
    <xf numFmtId="0" fontId="10" fillId="0" borderId="0" xfId="0" applyFont="1" applyFill="1" applyAlignment="1">
      <alignment vertical="center"/>
    </xf>
    <xf numFmtId="169" fontId="0" fillId="0" borderId="0" xfId="0" applyNumberFormat="1"/>
    <xf numFmtId="15" fontId="0" fillId="0" borderId="0" xfId="0" quotePrefix="1" applyNumberFormat="1" applyFont="1" applyFill="1" applyAlignment="1">
      <alignment vertical="center"/>
    </xf>
    <xf numFmtId="0" fontId="0" fillId="0" borderId="0" xfId="0" applyFont="1" applyFill="1" applyAlignment="1">
      <alignment vertical="center"/>
    </xf>
    <xf numFmtId="166" fontId="5" fillId="0" borderId="0" xfId="0" applyNumberFormat="1" applyFont="1" applyFill="1" applyAlignment="1">
      <alignment vertical="center"/>
    </xf>
    <xf numFmtId="0" fontId="2" fillId="0" borderId="0" xfId="0" applyFont="1" applyAlignment="1">
      <alignment horizontal="right" vertical="center"/>
    </xf>
    <xf numFmtId="0" fontId="13" fillId="0" borderId="0" xfId="0" applyFont="1" applyFill="1" applyAlignment="1">
      <alignment vertical="center"/>
    </xf>
    <xf numFmtId="0" fontId="5" fillId="0" borderId="0" xfId="0" applyFont="1" applyFill="1" applyAlignment="1">
      <alignment vertical="center"/>
    </xf>
    <xf numFmtId="1" fontId="13" fillId="0" borderId="0" xfId="1" quotePrefix="1" applyNumberFormat="1" applyFont="1" applyFill="1" applyBorder="1" applyAlignment="1">
      <alignment horizontal="center" vertical="center"/>
    </xf>
    <xf numFmtId="1" fontId="13" fillId="0" borderId="1" xfId="1" quotePrefix="1" applyNumberFormat="1" applyFont="1" applyFill="1" applyBorder="1" applyAlignment="1">
      <alignment horizontal="center" vertical="center"/>
    </xf>
    <xf numFmtId="164" fontId="13" fillId="0" borderId="1" xfId="1" quotePrefix="1" applyNumberFormat="1" applyFont="1" applyFill="1" applyBorder="1" applyAlignment="1">
      <alignment horizontal="center" vertical="center"/>
    </xf>
    <xf numFmtId="0" fontId="13" fillId="0" borderId="1" xfId="0" applyFont="1" applyFill="1" applyBorder="1" applyAlignment="1">
      <alignment horizontal="center" vertical="center" wrapText="1"/>
    </xf>
    <xf numFmtId="165" fontId="5" fillId="0" borderId="0" xfId="3" applyNumberFormat="1" applyFont="1" applyFill="1" applyBorder="1" applyAlignment="1">
      <alignment vertical="center"/>
    </xf>
    <xf numFmtId="165" fontId="5" fillId="0" borderId="0" xfId="3" applyNumberFormat="1" applyFont="1" applyFill="1" applyAlignment="1">
      <alignment vertical="center"/>
    </xf>
    <xf numFmtId="164" fontId="5" fillId="0" borderId="0" xfId="1" applyNumberFormat="1" applyFont="1" applyFill="1" applyBorder="1" applyAlignment="1">
      <alignment vertical="center"/>
    </xf>
    <xf numFmtId="164" fontId="5" fillId="0" borderId="0" xfId="1" applyNumberFormat="1" applyFont="1" applyFill="1" applyAlignment="1">
      <alignment vertical="center"/>
    </xf>
    <xf numFmtId="0" fontId="5" fillId="0" borderId="0" xfId="0" applyFont="1" applyFill="1" applyAlignment="1">
      <alignment horizontal="left" vertical="center"/>
    </xf>
    <xf numFmtId="164" fontId="5" fillId="0" borderId="1" xfId="1" applyNumberFormat="1" applyFont="1" applyFill="1" applyBorder="1" applyAlignment="1">
      <alignment vertical="center"/>
    </xf>
    <xf numFmtId="165" fontId="5" fillId="0" borderId="1" xfId="3" applyNumberFormat="1" applyFont="1" applyFill="1" applyBorder="1" applyAlignment="1">
      <alignment vertical="center"/>
    </xf>
    <xf numFmtId="167" fontId="5" fillId="0" borderId="0" xfId="2" applyNumberFormat="1" applyFont="1" applyFill="1" applyBorder="1" applyAlignment="1">
      <alignment vertical="center"/>
    </xf>
    <xf numFmtId="165" fontId="5" fillId="0" borderId="0" xfId="0" applyNumberFormat="1" applyFont="1" applyFill="1" applyBorder="1" applyAlignment="1">
      <alignment vertical="center"/>
    </xf>
    <xf numFmtId="165" fontId="13" fillId="0" borderId="0" xfId="3" applyNumberFormat="1" applyFont="1" applyFill="1" applyAlignment="1">
      <alignment vertical="center"/>
    </xf>
    <xf numFmtId="0" fontId="5" fillId="0" borderId="0" xfId="0" applyFont="1" applyFill="1" applyBorder="1" applyAlignment="1">
      <alignment vertical="center"/>
    </xf>
    <xf numFmtId="0" fontId="13" fillId="0" borderId="0" xfId="0" applyFont="1" applyFill="1" applyBorder="1" applyAlignment="1">
      <alignment horizontal="center" vertical="center"/>
    </xf>
    <xf numFmtId="0" fontId="13" fillId="0" borderId="1" xfId="0" applyFont="1" applyFill="1" applyBorder="1" applyAlignment="1">
      <alignment horizontal="center" vertical="center"/>
    </xf>
    <xf numFmtId="166" fontId="5" fillId="0" borderId="0" xfId="2" applyNumberFormat="1" applyFont="1" applyFill="1" applyAlignment="1">
      <alignment vertical="center"/>
    </xf>
    <xf numFmtId="171" fontId="5" fillId="0" borderId="0" xfId="0" applyNumberFormat="1" applyFont="1" applyFill="1" applyAlignment="1">
      <alignment vertical="center"/>
    </xf>
    <xf numFmtId="166" fontId="5" fillId="0" borderId="0" xfId="2" applyNumberFormat="1" applyFont="1" applyFill="1" applyBorder="1" applyAlignment="1">
      <alignment vertical="center"/>
    </xf>
    <xf numFmtId="166" fontId="5" fillId="0" borderId="1" xfId="2" applyNumberFormat="1" applyFont="1" applyFill="1" applyBorder="1" applyAlignment="1">
      <alignment vertical="center"/>
    </xf>
    <xf numFmtId="44" fontId="5" fillId="0" borderId="0" xfId="0" applyNumberFormat="1" applyFont="1" applyFill="1" applyAlignment="1">
      <alignment vertical="center"/>
    </xf>
    <xf numFmtId="171" fontId="5" fillId="0" borderId="0" xfId="0" applyNumberFormat="1" applyFont="1" applyFill="1" applyBorder="1" applyAlignment="1">
      <alignment vertical="center"/>
    </xf>
    <xf numFmtId="0" fontId="5" fillId="2" borderId="0" xfId="0" applyFont="1" applyFill="1" applyAlignment="1">
      <alignment vertical="center"/>
    </xf>
    <xf numFmtId="164" fontId="5" fillId="2" borderId="0" xfId="1" applyNumberFormat="1" applyFont="1" applyFill="1" applyAlignment="1">
      <alignment vertical="center"/>
    </xf>
    <xf numFmtId="164" fontId="5" fillId="2" borderId="1" xfId="1" applyNumberFormat="1" applyFont="1" applyFill="1" applyBorder="1" applyAlignment="1">
      <alignment vertical="center"/>
    </xf>
    <xf numFmtId="165" fontId="13" fillId="2" borderId="0" xfId="3" applyNumberFormat="1" applyFont="1" applyFill="1" applyAlignment="1">
      <alignment vertical="center"/>
    </xf>
    <xf numFmtId="165" fontId="13" fillId="2" borderId="0" xfId="0" applyNumberFormat="1" applyFont="1" applyFill="1" applyAlignment="1">
      <alignment vertical="center"/>
    </xf>
    <xf numFmtId="165" fontId="13" fillId="2" borderId="1" xfId="0" applyNumberFormat="1" applyFont="1" applyFill="1" applyBorder="1" applyAlignment="1">
      <alignment vertical="center"/>
    </xf>
    <xf numFmtId="170" fontId="13" fillId="2" borderId="0" xfId="0" applyNumberFormat="1" applyFont="1" applyFill="1" applyAlignment="1">
      <alignment vertical="center"/>
    </xf>
    <xf numFmtId="170" fontId="13" fillId="2" borderId="0" xfId="0" applyNumberFormat="1" applyFont="1" applyFill="1" applyBorder="1" applyAlignment="1">
      <alignment vertical="center"/>
    </xf>
    <xf numFmtId="164" fontId="2" fillId="2" borderId="0" xfId="1" applyNumberFormat="1" applyFont="1" applyFill="1" applyAlignment="1">
      <alignment vertical="center"/>
    </xf>
    <xf numFmtId="164" fontId="2" fillId="2" borderId="1" xfId="1" applyNumberFormat="1" applyFont="1" applyFill="1" applyBorder="1" applyAlignment="1">
      <alignment vertical="center"/>
    </xf>
    <xf numFmtId="165" fontId="2" fillId="2" borderId="0" xfId="0" applyNumberFormat="1" applyFont="1" applyFill="1" applyAlignment="1">
      <alignment vertical="center"/>
    </xf>
    <xf numFmtId="0" fontId="5" fillId="0" borderId="1" xfId="0" applyFont="1" applyFill="1" applyBorder="1" applyAlignment="1">
      <alignment horizontal="center" wrapText="1"/>
    </xf>
    <xf numFmtId="172" fontId="5" fillId="0" borderId="0" xfId="2" applyNumberFormat="1" applyFont="1" applyFill="1" applyAlignment="1">
      <alignment vertical="center"/>
    </xf>
    <xf numFmtId="168" fontId="5" fillId="0" borderId="0" xfId="1" applyNumberFormat="1" applyFont="1" applyFill="1" applyAlignment="1">
      <alignment vertical="center"/>
    </xf>
    <xf numFmtId="172" fontId="15" fillId="0" borderId="0" xfId="2" applyNumberFormat="1" applyFont="1" applyFill="1" applyAlignment="1">
      <alignment vertical="center"/>
    </xf>
    <xf numFmtId="172" fontId="5" fillId="0" borderId="0" xfId="0" applyNumberFormat="1" applyFont="1" applyFill="1" applyAlignment="1">
      <alignment vertical="center"/>
    </xf>
    <xf numFmtId="0" fontId="13" fillId="0" borderId="0" xfId="0" applyFont="1" applyFill="1" applyAlignment="1">
      <alignment horizontal="center" vertical="center"/>
    </xf>
    <xf numFmtId="170" fontId="13" fillId="0" borderId="0" xfId="3" applyNumberFormat="1" applyFont="1" applyFill="1" applyBorder="1" applyAlignment="1">
      <alignment vertical="center"/>
    </xf>
    <xf numFmtId="0" fontId="5" fillId="0" borderId="0" xfId="0" applyFont="1" applyFill="1" applyAlignment="1">
      <alignment horizontal="center" wrapText="1"/>
    </xf>
    <xf numFmtId="0" fontId="13" fillId="0" borderId="1" xfId="0" applyFont="1" applyFill="1" applyBorder="1" applyAlignment="1">
      <alignment horizontal="center" wrapText="1"/>
    </xf>
    <xf numFmtId="15" fontId="13" fillId="0" borderId="1" xfId="0" quotePrefix="1" applyNumberFormat="1" applyFont="1" applyFill="1" applyBorder="1" applyAlignment="1">
      <alignment horizontal="center" wrapText="1"/>
    </xf>
    <xf numFmtId="0" fontId="5" fillId="0" borderId="0" xfId="0" applyFont="1" applyFill="1" applyBorder="1" applyAlignment="1">
      <alignment horizontal="center" wrapText="1"/>
    </xf>
    <xf numFmtId="164" fontId="5" fillId="2" borderId="0" xfId="1" applyNumberFormat="1" applyFont="1" applyFill="1" applyBorder="1" applyAlignment="1">
      <alignment vertical="center"/>
    </xf>
    <xf numFmtId="164" fontId="5" fillId="0" borderId="1" xfId="1" applyNumberFormat="1" applyFont="1" applyFill="1" applyBorder="1"/>
    <xf numFmtId="165" fontId="0" fillId="0" borderId="1" xfId="3" applyNumberFormat="1" applyFont="1" applyFill="1" applyBorder="1" applyAlignment="1">
      <alignment vertical="center"/>
    </xf>
    <xf numFmtId="169" fontId="0" fillId="0" borderId="0" xfId="2" applyNumberFormat="1" applyFont="1" applyFill="1" applyAlignment="1">
      <alignment vertical="center"/>
    </xf>
    <xf numFmtId="165" fontId="0" fillId="0" borderId="0" xfId="0" applyNumberFormat="1" applyFill="1" applyBorder="1" applyAlignment="1">
      <alignment vertical="center"/>
    </xf>
    <xf numFmtId="165" fontId="0" fillId="0" borderId="0" xfId="0" applyNumberFormat="1" applyFont="1" applyFill="1" applyAlignment="1">
      <alignment vertical="center"/>
    </xf>
    <xf numFmtId="165" fontId="2" fillId="2" borderId="0" xfId="3" applyNumberFormat="1" applyFont="1" applyFill="1" applyBorder="1" applyAlignment="1">
      <alignment vertical="center"/>
    </xf>
    <xf numFmtId="0" fontId="2" fillId="0" borderId="1" xfId="0" applyFont="1" applyFill="1" applyBorder="1" applyAlignment="1">
      <alignment vertical="center"/>
    </xf>
    <xf numFmtId="165" fontId="2" fillId="0" borderId="0" xfId="3" applyNumberFormat="1" applyFont="1" applyFill="1" applyBorder="1" applyAlignment="1">
      <alignment vertical="center"/>
    </xf>
    <xf numFmtId="165" fontId="2" fillId="0" borderId="0" xfId="3" applyNumberFormat="1" applyFont="1" applyFill="1" applyAlignment="1">
      <alignment vertical="center"/>
    </xf>
    <xf numFmtId="0" fontId="2" fillId="2" borderId="0" xfId="0" applyFont="1" applyFill="1" applyAlignment="1">
      <alignment vertical="center"/>
    </xf>
    <xf numFmtId="169" fontId="2" fillId="2" borderId="0" xfId="2" applyNumberFormat="1" applyFont="1" applyFill="1" applyAlignment="1">
      <alignment vertical="center"/>
    </xf>
    <xf numFmtId="0" fontId="2" fillId="2" borderId="0" xfId="0" applyFont="1" applyFill="1" applyBorder="1" applyAlignment="1">
      <alignment vertical="center"/>
    </xf>
    <xf numFmtId="165" fontId="2" fillId="2" borderId="0" xfId="0" applyNumberFormat="1" applyFont="1" applyFill="1" applyBorder="1" applyAlignment="1">
      <alignment vertical="center"/>
    </xf>
    <xf numFmtId="0" fontId="2" fillId="2" borderId="1" xfId="0" applyFont="1" applyFill="1" applyBorder="1" applyAlignment="1">
      <alignment vertical="center"/>
    </xf>
    <xf numFmtId="0" fontId="0" fillId="0" borderId="0" xfId="0" applyFill="1" applyBorder="1" applyAlignment="1">
      <alignment horizontal="center" vertical="center" wrapText="1"/>
    </xf>
    <xf numFmtId="164" fontId="13" fillId="0" borderId="0" xfId="1" applyNumberFormat="1" applyFont="1" applyFill="1" applyAlignment="1">
      <alignment vertical="center"/>
    </xf>
    <xf numFmtId="164" fontId="13" fillId="2" borderId="0" xfId="1" applyNumberFormat="1" applyFont="1" applyFill="1" applyAlignment="1">
      <alignment vertical="center"/>
    </xf>
    <xf numFmtId="164" fontId="13" fillId="2" borderId="1" xfId="1" applyNumberFormat="1" applyFont="1" applyFill="1" applyBorder="1" applyAlignment="1">
      <alignment vertical="center"/>
    </xf>
    <xf numFmtId="0" fontId="13" fillId="0" borderId="0" xfId="0" applyFont="1" applyFill="1" applyBorder="1" applyAlignment="1">
      <alignment vertical="center"/>
    </xf>
    <xf numFmtId="165" fontId="13" fillId="0" borderId="0" xfId="0" applyNumberFormat="1" applyFont="1" applyFill="1" applyAlignment="1">
      <alignment vertical="center"/>
    </xf>
    <xf numFmtId="165" fontId="13" fillId="2" borderId="1" xfId="1" applyNumberFormat="1" applyFont="1" applyFill="1" applyBorder="1" applyAlignment="1">
      <alignment vertical="center"/>
    </xf>
    <xf numFmtId="165" fontId="13" fillId="0" borderId="1" xfId="3" applyNumberFormat="1" applyFont="1" applyFill="1" applyBorder="1" applyAlignment="1">
      <alignment vertical="center"/>
    </xf>
    <xf numFmtId="0" fontId="13" fillId="0" borderId="0" xfId="0" applyFont="1" applyFill="1"/>
    <xf numFmtId="0" fontId="13" fillId="0" borderId="0" xfId="0" applyFont="1" applyFill="1" applyAlignment="1">
      <alignment horizontal="left"/>
    </xf>
    <xf numFmtId="0" fontId="5" fillId="0" borderId="0" xfId="0" applyFont="1" applyFill="1"/>
    <xf numFmtId="0" fontId="5" fillId="0" borderId="0" xfId="0" applyFont="1"/>
    <xf numFmtId="0" fontId="13" fillId="0" borderId="0" xfId="0" applyFont="1" applyFill="1" applyBorder="1" applyAlignment="1">
      <alignment horizontal="center"/>
    </xf>
    <xf numFmtId="0" fontId="5" fillId="0" borderId="0" xfId="0" applyFont="1" applyFill="1" applyBorder="1"/>
    <xf numFmtId="0" fontId="13" fillId="0" borderId="0" xfId="0" applyFont="1" applyFill="1" applyAlignment="1">
      <alignment horizontal="center"/>
    </xf>
    <xf numFmtId="0" fontId="13" fillId="0" borderId="1" xfId="0" applyFont="1" applyFill="1" applyBorder="1" applyAlignment="1">
      <alignment horizontal="center"/>
    </xf>
    <xf numFmtId="164" fontId="5" fillId="2" borderId="0" xfId="1" applyNumberFormat="1" applyFont="1" applyFill="1"/>
    <xf numFmtId="10" fontId="5" fillId="0" borderId="0" xfId="0" applyNumberFormat="1" applyFont="1" applyFill="1"/>
    <xf numFmtId="164" fontId="5" fillId="0" borderId="0" xfId="1" applyNumberFormat="1" applyFont="1" applyFill="1"/>
    <xf numFmtId="0" fontId="5" fillId="2" borderId="0" xfId="0" applyFont="1" applyFill="1"/>
    <xf numFmtId="164" fontId="5" fillId="2" borderId="0" xfId="0" applyNumberFormat="1" applyFont="1" applyFill="1"/>
    <xf numFmtId="10" fontId="5" fillId="0" borderId="0" xfId="2" applyNumberFormat="1" applyFont="1" applyFill="1"/>
    <xf numFmtId="165" fontId="5" fillId="2" borderId="0" xfId="3" applyNumberFormat="1" applyFont="1" applyFill="1"/>
    <xf numFmtId="164" fontId="5" fillId="2" borderId="1" xfId="1" applyNumberFormat="1" applyFont="1" applyFill="1" applyBorder="1"/>
    <xf numFmtId="164" fontId="5" fillId="0" borderId="1" xfId="1" applyNumberFormat="1" applyFont="1" applyFill="1" applyBorder="1" applyAlignment="1">
      <alignment horizontal="center"/>
    </xf>
    <xf numFmtId="164" fontId="5" fillId="2" borderId="1" xfId="0" applyNumberFormat="1" applyFont="1" applyFill="1" applyBorder="1"/>
    <xf numFmtId="10" fontId="5" fillId="0" borderId="1" xfId="2" applyNumberFormat="1" applyFont="1" applyFill="1" applyBorder="1"/>
    <xf numFmtId="164" fontId="5" fillId="0" borderId="0" xfId="0" applyNumberFormat="1" applyFont="1" applyFill="1"/>
    <xf numFmtId="9" fontId="13" fillId="0" borderId="0" xfId="0" applyNumberFormat="1" applyFont="1" applyFill="1" applyBorder="1" applyAlignment="1">
      <alignment horizontal="center" vertical="center"/>
    </xf>
    <xf numFmtId="9" fontId="5" fillId="0" borderId="0" xfId="0" applyNumberFormat="1" applyFont="1" applyFill="1" applyBorder="1" applyAlignment="1">
      <alignment vertical="center"/>
    </xf>
    <xf numFmtId="164" fontId="5" fillId="2" borderId="0" xfId="0" applyNumberFormat="1" applyFont="1" applyFill="1" applyAlignment="1">
      <alignment vertical="center"/>
    </xf>
    <xf numFmtId="169" fontId="5" fillId="0" borderId="0" xfId="0" applyNumberFormat="1" applyFont="1" applyFill="1" applyAlignment="1">
      <alignment vertical="center"/>
    </xf>
    <xf numFmtId="164" fontId="5" fillId="2" borderId="0" xfId="0" applyNumberFormat="1" applyFont="1" applyFill="1" applyBorder="1" applyAlignment="1">
      <alignment vertical="center"/>
    </xf>
    <xf numFmtId="9" fontId="5" fillId="0" borderId="1" xfId="0" applyNumberFormat="1" applyFont="1" applyFill="1" applyBorder="1" applyAlignment="1">
      <alignment horizontal="center" vertical="center"/>
    </xf>
    <xf numFmtId="164" fontId="5" fillId="2" borderId="1" xfId="0" applyNumberFormat="1" applyFont="1" applyFill="1" applyBorder="1" applyAlignment="1">
      <alignment vertical="center"/>
    </xf>
    <xf numFmtId="0" fontId="5" fillId="0" borderId="0" xfId="0" applyFont="1" applyFill="1" applyAlignment="1">
      <alignment horizontal="center" vertical="center"/>
    </xf>
    <xf numFmtId="10" fontId="5" fillId="0" borderId="0" xfId="0" applyNumberFormat="1" applyFont="1" applyFill="1" applyAlignment="1">
      <alignment horizontal="center" vertical="center"/>
    </xf>
    <xf numFmtId="164" fontId="13" fillId="0" borderId="1" xfId="1" applyNumberFormat="1" applyFont="1" applyFill="1" applyBorder="1" applyAlignment="1">
      <alignment vertical="center"/>
    </xf>
    <xf numFmtId="43" fontId="5" fillId="2" borderId="1" xfId="0" applyNumberFormat="1" applyFont="1" applyFill="1" applyBorder="1" applyAlignment="1">
      <alignment vertical="center"/>
    </xf>
    <xf numFmtId="164" fontId="5" fillId="2" borderId="1" xfId="0" applyNumberFormat="1" applyFont="1" applyFill="1" applyBorder="1" applyAlignment="1">
      <alignment horizontal="center" vertical="center"/>
    </xf>
    <xf numFmtId="10" fontId="5" fillId="0" borderId="0" xfId="0" applyNumberFormat="1" applyFont="1" applyFill="1" applyAlignment="1">
      <alignment vertical="center"/>
    </xf>
    <xf numFmtId="10" fontId="5" fillId="0" borderId="1" xfId="0" applyNumberFormat="1" applyFont="1" applyFill="1" applyBorder="1" applyAlignment="1">
      <alignment vertical="center"/>
    </xf>
    <xf numFmtId="164" fontId="5" fillId="0" borderId="0" xfId="0" applyNumberFormat="1" applyFont="1" applyBorder="1"/>
    <xf numFmtId="0" fontId="13" fillId="0" borderId="0" xfId="0" applyFont="1" applyFill="1" applyBorder="1" applyAlignment="1">
      <alignment horizontal="right" vertical="center"/>
    </xf>
    <xf numFmtId="0" fontId="17" fillId="0" borderId="0" xfId="1" applyNumberFormat="1" applyFont="1" applyFill="1" applyAlignment="1">
      <alignment horizontal="right"/>
    </xf>
    <xf numFmtId="0" fontId="10" fillId="0" borderId="0" xfId="0" applyFont="1"/>
    <xf numFmtId="164" fontId="10" fillId="0" borderId="0" xfId="1" applyNumberFormat="1" applyFont="1" applyAlignment="1">
      <alignment horizontal="center" vertical="center"/>
    </xf>
    <xf numFmtId="164" fontId="10" fillId="0" borderId="0" xfId="1" applyNumberFormat="1" applyFont="1"/>
    <xf numFmtId="43" fontId="10" fillId="0" borderId="0" xfId="1" applyFont="1" applyFill="1"/>
    <xf numFmtId="43" fontId="17" fillId="0" borderId="0" xfId="1" applyFont="1" applyFill="1" applyAlignment="1">
      <alignment horizontal="center"/>
    </xf>
    <xf numFmtId="43" fontId="20" fillId="0" borderId="0" xfId="1" applyFont="1" applyFill="1" applyAlignment="1">
      <alignment horizontal="center"/>
    </xf>
    <xf numFmtId="0" fontId="17" fillId="0" borderId="0" xfId="0" applyFont="1"/>
    <xf numFmtId="164" fontId="17" fillId="0" borderId="0" xfId="1" applyNumberFormat="1" applyFont="1" applyAlignment="1">
      <alignment horizontal="center" vertical="center"/>
    </xf>
    <xf numFmtId="164" fontId="17" fillId="0" borderId="0" xfId="1" applyNumberFormat="1" applyFont="1" applyAlignment="1">
      <alignment vertical="center"/>
    </xf>
    <xf numFmtId="164" fontId="17" fillId="0" borderId="0" xfId="1" applyNumberFormat="1" applyFont="1"/>
    <xf numFmtId="49" fontId="10" fillId="0" borderId="0" xfId="0" applyNumberFormat="1" applyFont="1" applyFill="1" applyAlignment="1">
      <alignment vertical="center"/>
    </xf>
    <xf numFmtId="164" fontId="10" fillId="2" borderId="0" xfId="1" applyNumberFormat="1" applyFont="1" applyFill="1" applyBorder="1"/>
    <xf numFmtId="165" fontId="10" fillId="2" borderId="0" xfId="3" applyNumberFormat="1" applyFont="1" applyFill="1" applyBorder="1"/>
    <xf numFmtId="164" fontId="10" fillId="0" borderId="0" xfId="1" applyNumberFormat="1" applyFont="1" applyFill="1" applyBorder="1"/>
    <xf numFmtId="165" fontId="10" fillId="0" borderId="0" xfId="3" applyNumberFormat="1" applyFont="1" applyFill="1" applyBorder="1"/>
    <xf numFmtId="165" fontId="10" fillId="2" borderId="0" xfId="0" applyNumberFormat="1" applyFont="1" applyFill="1"/>
    <xf numFmtId="164" fontId="10" fillId="2" borderId="1" xfId="1" applyNumberFormat="1" applyFont="1" applyFill="1" applyBorder="1" applyAlignment="1">
      <alignment horizontal="right"/>
    </xf>
    <xf numFmtId="164" fontId="10" fillId="0" borderId="0" xfId="1" applyNumberFormat="1" applyFont="1" applyFill="1" applyAlignment="1">
      <alignment horizontal="center" vertical="center"/>
    </xf>
    <xf numFmtId="164" fontId="10" fillId="0" borderId="0" xfId="1" applyNumberFormat="1" applyFont="1" applyFill="1"/>
    <xf numFmtId="164" fontId="10" fillId="2" borderId="3" xfId="1" applyNumberFormat="1" applyFont="1" applyFill="1" applyBorder="1"/>
    <xf numFmtId="165" fontId="10" fillId="2" borderId="3" xfId="3" applyNumberFormat="1" applyFont="1" applyFill="1" applyBorder="1"/>
    <xf numFmtId="164" fontId="10" fillId="0" borderId="3" xfId="1" applyNumberFormat="1" applyFont="1" applyFill="1" applyBorder="1"/>
    <xf numFmtId="164" fontId="10" fillId="2" borderId="0" xfId="1" applyNumberFormat="1" applyFont="1" applyFill="1" applyBorder="1" applyAlignment="1">
      <alignment horizontal="right"/>
    </xf>
    <xf numFmtId="165" fontId="10" fillId="2" borderId="0" xfId="1" applyNumberFormat="1" applyFont="1" applyFill="1" applyBorder="1"/>
    <xf numFmtId="164" fontId="10" fillId="0" borderId="0" xfId="1" applyNumberFormat="1" applyFont="1" applyFill="1" applyBorder="1" applyAlignment="1">
      <alignment horizontal="right"/>
    </xf>
    <xf numFmtId="165" fontId="10" fillId="0" borderId="0" xfId="1" applyNumberFormat="1" applyFont="1" applyFill="1" applyBorder="1"/>
    <xf numFmtId="165" fontId="10" fillId="2" borderId="0" xfId="1" applyNumberFormat="1" applyFont="1" applyFill="1"/>
    <xf numFmtId="164" fontId="10" fillId="2" borderId="0" xfId="1" applyNumberFormat="1" applyFont="1" applyFill="1"/>
    <xf numFmtId="164" fontId="10" fillId="2" borderId="0" xfId="1" applyNumberFormat="1" applyFont="1" applyFill="1" applyBorder="1" applyAlignment="1"/>
    <xf numFmtId="164" fontId="10" fillId="2" borderId="2" xfId="1" applyNumberFormat="1" applyFont="1" applyFill="1" applyBorder="1"/>
    <xf numFmtId="165" fontId="10" fillId="2" borderId="2" xfId="3" applyNumberFormat="1" applyFont="1" applyFill="1" applyBorder="1"/>
    <xf numFmtId="164" fontId="21" fillId="2" borderId="0" xfId="1" applyNumberFormat="1" applyFont="1" applyFill="1" applyBorder="1" applyAlignment="1">
      <alignment horizontal="right"/>
    </xf>
    <xf numFmtId="165" fontId="21" fillId="2" borderId="0" xfId="1" applyNumberFormat="1" applyFont="1" applyFill="1" applyBorder="1"/>
    <xf numFmtId="164" fontId="21" fillId="0" borderId="0" xfId="1" applyNumberFormat="1" applyFont="1" applyFill="1" applyBorder="1" applyAlignment="1">
      <alignment horizontal="right"/>
    </xf>
    <xf numFmtId="165" fontId="21" fillId="0" borderId="0" xfId="1" applyNumberFormat="1" applyFont="1" applyFill="1" applyBorder="1"/>
    <xf numFmtId="164" fontId="21" fillId="2" borderId="3" xfId="1" applyNumberFormat="1" applyFont="1" applyFill="1" applyBorder="1"/>
    <xf numFmtId="165" fontId="21" fillId="2" borderId="3" xfId="3" applyNumberFormat="1" applyFont="1" applyFill="1" applyBorder="1"/>
    <xf numFmtId="164" fontId="21" fillId="2" borderId="0" xfId="1" applyNumberFormat="1" applyFont="1" applyFill="1" applyBorder="1"/>
    <xf numFmtId="165" fontId="21" fillId="2" borderId="0" xfId="3" applyNumberFormat="1" applyFont="1" applyFill="1" applyBorder="1"/>
    <xf numFmtId="164" fontId="21" fillId="0" borderId="0" xfId="1" applyNumberFormat="1" applyFont="1" applyFill="1" applyBorder="1"/>
    <xf numFmtId="165" fontId="21" fillId="0" borderId="0" xfId="3" applyNumberFormat="1" applyFont="1" applyFill="1" applyBorder="1"/>
    <xf numFmtId="0" fontId="10" fillId="2" borderId="0" xfId="0" applyFont="1" applyFill="1"/>
    <xf numFmtId="49" fontId="10" fillId="0" borderId="0" xfId="0" applyNumberFormat="1" applyFont="1"/>
    <xf numFmtId="49" fontId="10" fillId="0" borderId="0" xfId="0" applyNumberFormat="1" applyFont="1" applyAlignment="1">
      <alignment horizontal="center"/>
    </xf>
    <xf numFmtId="43" fontId="10" fillId="0" borderId="0" xfId="1" applyFont="1"/>
    <xf numFmtId="164" fontId="10" fillId="0" borderId="0" xfId="1" applyNumberFormat="1" applyFont="1" applyBorder="1"/>
    <xf numFmtId="0" fontId="16" fillId="0" borderId="0" xfId="0" applyFont="1" applyAlignment="1">
      <alignment horizontal="left"/>
    </xf>
    <xf numFmtId="49" fontId="18" fillId="0" borderId="0" xfId="0" applyNumberFormat="1" applyFont="1"/>
    <xf numFmtId="49" fontId="17" fillId="0" borderId="0" xfId="0" applyNumberFormat="1" applyFont="1" applyAlignment="1">
      <alignment horizontal="center"/>
    </xf>
    <xf numFmtId="0" fontId="17" fillId="0" borderId="0" xfId="0" applyFont="1" applyAlignment="1">
      <alignment horizontal="center"/>
    </xf>
    <xf numFmtId="49" fontId="19" fillId="0" borderId="0" xfId="0" applyNumberFormat="1" applyFont="1"/>
    <xf numFmtId="49" fontId="19" fillId="0" borderId="0" xfId="0" applyNumberFormat="1" applyFont="1" applyAlignment="1">
      <alignment horizontal="center"/>
    </xf>
    <xf numFmtId="0" fontId="19" fillId="0" borderId="0" xfId="0" applyFont="1" applyAlignment="1">
      <alignment horizontal="center"/>
    </xf>
    <xf numFmtId="49" fontId="10" fillId="0" borderId="0" xfId="0" applyNumberFormat="1" applyFont="1" applyAlignment="1">
      <alignment vertical="center"/>
    </xf>
    <xf numFmtId="49" fontId="10" fillId="0" borderId="0" xfId="0" quotePrefix="1" applyNumberFormat="1" applyFont="1" applyAlignment="1">
      <alignment horizontal="center" vertical="center"/>
    </xf>
    <xf numFmtId="49" fontId="10" fillId="0" borderId="0" xfId="0" quotePrefix="1" applyNumberFormat="1" applyFont="1" applyAlignment="1">
      <alignment horizontal="left" vertical="center"/>
    </xf>
    <xf numFmtId="165" fontId="10" fillId="0" borderId="0" xfId="0" applyNumberFormat="1" applyFont="1"/>
    <xf numFmtId="43" fontId="10" fillId="0" borderId="0" xfId="0" applyNumberFormat="1" applyFont="1"/>
    <xf numFmtId="49" fontId="10" fillId="0" borderId="0" xfId="0" quotePrefix="1" applyNumberFormat="1" applyFont="1" applyAlignment="1">
      <alignment vertical="center"/>
    </xf>
    <xf numFmtId="49" fontId="21" fillId="0" borderId="0" xfId="0" applyNumberFormat="1" applyFont="1" applyAlignment="1">
      <alignment vertical="center"/>
    </xf>
    <xf numFmtId="49" fontId="21" fillId="0" borderId="0" xfId="0" quotePrefix="1" applyNumberFormat="1" applyFont="1" applyAlignment="1">
      <alignment vertical="center"/>
    </xf>
    <xf numFmtId="0" fontId="7" fillId="0" borderId="0" xfId="0" applyFont="1"/>
    <xf numFmtId="0" fontId="6" fillId="0" borderId="0" xfId="0" applyFont="1" applyAlignment="1">
      <alignment horizontal="left"/>
    </xf>
    <xf numFmtId="164" fontId="0" fillId="0" borderId="0" xfId="1" applyNumberFormat="1" applyFont="1" applyFill="1" applyAlignment="1">
      <alignment horizontal="center"/>
    </xf>
    <xf numFmtId="164" fontId="0" fillId="0" borderId="0" xfId="1" applyNumberFormat="1" applyFont="1" applyFill="1"/>
    <xf numFmtId="164" fontId="0" fillId="0" borderId="0" xfId="1" applyNumberFormat="1" applyFont="1" applyFill="1" applyAlignment="1">
      <alignment horizontal="right"/>
    </xf>
    <xf numFmtId="164" fontId="0" fillId="0" borderId="0" xfId="1" applyNumberFormat="1" applyFont="1"/>
    <xf numFmtId="164" fontId="1" fillId="0" borderId="0" xfId="1" applyNumberFormat="1" applyFont="1" applyFill="1"/>
    <xf numFmtId="164" fontId="0" fillId="0" borderId="0" xfId="1" applyNumberFormat="1" applyFont="1" applyAlignment="1">
      <alignment horizontal="center"/>
    </xf>
    <xf numFmtId="0" fontId="0" fillId="0" borderId="1" xfId="0" applyBorder="1"/>
    <xf numFmtId="173" fontId="0" fillId="0" borderId="1" xfId="1" applyNumberFormat="1" applyFont="1" applyBorder="1" applyAlignment="1">
      <alignment horizontal="center"/>
    </xf>
    <xf numFmtId="164" fontId="2" fillId="0" borderId="1" xfId="1" applyNumberFormat="1" applyFont="1" applyBorder="1" applyAlignment="1">
      <alignment horizontal="center" wrapText="1"/>
    </xf>
    <xf numFmtId="164" fontId="0" fillId="0" borderId="1" xfId="1" applyNumberFormat="1" applyFont="1" applyBorder="1" applyAlignment="1">
      <alignment horizontal="center" wrapText="1"/>
    </xf>
    <xf numFmtId="164" fontId="0" fillId="2" borderId="0" xfId="1" applyNumberFormat="1" applyFont="1" applyFill="1"/>
    <xf numFmtId="164" fontId="2" fillId="2" borderId="4" xfId="1" applyNumberFormat="1" applyFont="1" applyFill="1" applyBorder="1"/>
    <xf numFmtId="164" fontId="2" fillId="2" borderId="0" xfId="1" applyNumberFormat="1" applyFont="1" applyFill="1" applyBorder="1"/>
    <xf numFmtId="164" fontId="2" fillId="2" borderId="0" xfId="1" applyNumberFormat="1" applyFont="1" applyFill="1"/>
    <xf numFmtId="164" fontId="2" fillId="0" borderId="5" xfId="1" applyNumberFormat="1" applyFont="1" applyFill="1" applyBorder="1"/>
    <xf numFmtId="164" fontId="2" fillId="0" borderId="0" xfId="1" applyNumberFormat="1" applyFont="1" applyFill="1" applyBorder="1"/>
    <xf numFmtId="164" fontId="2" fillId="2" borderId="5" xfId="1" applyNumberFormat="1" applyFont="1" applyFill="1" applyBorder="1"/>
    <xf numFmtId="164" fontId="2" fillId="0" borderId="0" xfId="1" applyNumberFormat="1" applyFont="1" applyFill="1"/>
    <xf numFmtId="164" fontId="1" fillId="2" borderId="1" xfId="1" applyNumberFormat="1" applyFont="1" applyFill="1" applyBorder="1"/>
    <xf numFmtId="164" fontId="2" fillId="2" borderId="6" xfId="1" applyNumberFormat="1" applyFont="1" applyFill="1" applyBorder="1"/>
    <xf numFmtId="164" fontId="2" fillId="2" borderId="1" xfId="1" applyNumberFormat="1" applyFont="1" applyFill="1" applyBorder="1"/>
    <xf numFmtId="164" fontId="0" fillId="0" borderId="1" xfId="1" applyNumberFormat="1" applyFont="1" applyFill="1" applyBorder="1"/>
    <xf numFmtId="164" fontId="0" fillId="2" borderId="1" xfId="1" applyNumberFormat="1" applyFont="1" applyFill="1" applyBorder="1"/>
    <xf numFmtId="164" fontId="2" fillId="2" borderId="7" xfId="1" applyNumberFormat="1" applyFont="1" applyFill="1" applyBorder="1"/>
    <xf numFmtId="165" fontId="2" fillId="2" borderId="1" xfId="3" applyNumberFormat="1" applyFont="1" applyFill="1" applyBorder="1" applyAlignment="1">
      <alignment vertical="center"/>
    </xf>
    <xf numFmtId="165" fontId="2" fillId="2" borderId="0" xfId="3" applyNumberFormat="1" applyFont="1" applyFill="1" applyAlignment="1">
      <alignment vertical="center"/>
    </xf>
    <xf numFmtId="0" fontId="5" fillId="0" borderId="0" xfId="0" applyFont="1" applyFill="1" applyAlignment="1">
      <alignment horizontal="right"/>
    </xf>
    <xf numFmtId="169" fontId="5" fillId="0" borderId="0" xfId="2" applyNumberFormat="1" applyFont="1" applyFill="1" applyBorder="1" applyAlignment="1">
      <alignment vertical="center"/>
    </xf>
    <xf numFmtId="9" fontId="10" fillId="0" borderId="0" xfId="0" applyNumberFormat="1" applyFont="1"/>
    <xf numFmtId="44" fontId="10" fillId="0" borderId="0" xfId="3" applyFont="1"/>
    <xf numFmtId="10" fontId="10" fillId="0" borderId="0" xfId="0" applyNumberFormat="1" applyFont="1"/>
    <xf numFmtId="164" fontId="0" fillId="0" borderId="0" xfId="0" applyNumberFormat="1"/>
    <xf numFmtId="164" fontId="10" fillId="2" borderId="0" xfId="1" quotePrefix="1" applyNumberFormat="1" applyFont="1" applyFill="1" applyBorder="1" applyAlignment="1">
      <alignment horizontal="right"/>
    </xf>
    <xf numFmtId="166" fontId="10" fillId="0" borderId="0" xfId="0" applyNumberFormat="1" applyFont="1"/>
    <xf numFmtId="3" fontId="2" fillId="2" borderId="1" xfId="0" applyNumberFormat="1" applyFont="1" applyFill="1" applyBorder="1" applyAlignment="1">
      <alignment vertical="center"/>
    </xf>
    <xf numFmtId="169" fontId="13" fillId="0" borderId="0" xfId="2" applyNumberFormat="1" applyFont="1" applyFill="1" applyBorder="1" applyAlignment="1">
      <alignment vertical="center"/>
    </xf>
    <xf numFmtId="0" fontId="8" fillId="0" borderId="0" xfId="0" applyFont="1" applyFill="1" applyAlignment="1">
      <alignment horizontal="right" vertical="top"/>
    </xf>
    <xf numFmtId="0" fontId="13" fillId="0" borderId="1" xfId="0" applyFont="1" applyFill="1" applyBorder="1" applyAlignment="1">
      <alignment horizontal="center"/>
    </xf>
    <xf numFmtId="0" fontId="13" fillId="0" borderId="1" xfId="0" applyFont="1" applyFill="1" applyBorder="1" applyAlignment="1">
      <alignment horizontal="center" vertical="center"/>
    </xf>
    <xf numFmtId="0" fontId="10" fillId="0" borderId="0" xfId="0" applyFont="1" applyFill="1" applyAlignment="1">
      <alignment vertical="top" wrapText="1"/>
    </xf>
    <xf numFmtId="49" fontId="17" fillId="0" borderId="0" xfId="0" applyNumberFormat="1" applyFont="1" applyAlignment="1">
      <alignment horizontal="center"/>
    </xf>
    <xf numFmtId="165" fontId="10" fillId="0" borderId="0" xfId="0" applyNumberFormat="1" applyFont="1" applyBorder="1"/>
    <xf numFmtId="0" fontId="10" fillId="0" borderId="0" xfId="0" applyFont="1" applyBorder="1"/>
    <xf numFmtId="173" fontId="2" fillId="0" borderId="1" xfId="1" applyNumberFormat="1" applyFont="1" applyBorder="1" applyAlignment="1">
      <alignment horizontal="center" wrapText="1"/>
    </xf>
    <xf numFmtId="164" fontId="2" fillId="0" borderId="1" xfId="1" applyNumberFormat="1" applyFont="1" applyFill="1" applyBorder="1" applyAlignment="1">
      <alignment horizontal="center" wrapText="1"/>
    </xf>
  </cellXfs>
  <cellStyles count="6">
    <cellStyle name="Comma" xfId="1" builtinId="3"/>
    <cellStyle name="Comma 2" xfId="5" xr:uid="{00000000-0005-0000-0000-000001000000}"/>
    <cellStyle name="Currency" xfId="3" builtinId="4"/>
    <cellStyle name="Normal" xfId="0" builtinId="0"/>
    <cellStyle name="Normal 2" xfId="4" xr:uid="{00000000-0005-0000-0000-000005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3"/>
  <sheetViews>
    <sheetView tabSelected="1" zoomScale="110" zoomScaleNormal="110" workbookViewId="0">
      <selection activeCell="H8" sqref="H8"/>
    </sheetView>
  </sheetViews>
  <sheetFormatPr defaultColWidth="9.140625" defaultRowHeight="15" x14ac:dyDescent="0.25"/>
  <cols>
    <col min="1" max="1" width="9.140625" style="21"/>
    <col min="2" max="2" width="33.7109375" style="21" customWidth="1"/>
    <col min="3" max="3" width="17.85546875" style="21" customWidth="1"/>
    <col min="4" max="5" width="12.7109375" style="21" customWidth="1"/>
    <col min="6" max="6" width="18.42578125" style="21" customWidth="1"/>
    <col min="7" max="8" width="12.7109375" style="21" customWidth="1"/>
    <col min="9" max="9" width="13.7109375" style="21" bestFit="1" customWidth="1"/>
    <col min="10" max="10" width="3.85546875" style="21" customWidth="1"/>
    <col min="11" max="16384" width="9.140625" style="21"/>
  </cols>
  <sheetData>
    <row r="1" spans="1:10" x14ac:dyDescent="0.25">
      <c r="A1" s="20" t="s">
        <v>45</v>
      </c>
    </row>
    <row r="2" spans="1:10" x14ac:dyDescent="0.25">
      <c r="A2" s="20" t="s">
        <v>123</v>
      </c>
    </row>
    <row r="3" spans="1:10" x14ac:dyDescent="0.25">
      <c r="A3" s="20" t="s">
        <v>124</v>
      </c>
    </row>
    <row r="5" spans="1:10" x14ac:dyDescent="0.25">
      <c r="A5" s="48" t="s">
        <v>180</v>
      </c>
      <c r="B5" s="48"/>
      <c r="C5" s="48"/>
      <c r="D5" s="48"/>
      <c r="E5" s="48"/>
      <c r="F5" s="48"/>
      <c r="G5" s="48"/>
      <c r="H5" s="48"/>
    </row>
    <row r="7" spans="1:10" ht="45" x14ac:dyDescent="0.25">
      <c r="E7" s="22"/>
      <c r="F7" s="23">
        <v>2024</v>
      </c>
      <c r="G7" s="24" t="s">
        <v>53</v>
      </c>
      <c r="H7" s="25" t="s">
        <v>125</v>
      </c>
      <c r="I7" s="25" t="s">
        <v>35</v>
      </c>
    </row>
    <row r="8" spans="1:10" x14ac:dyDescent="0.25">
      <c r="A8" s="21">
        <v>1</v>
      </c>
      <c r="B8" s="21" t="s">
        <v>93</v>
      </c>
      <c r="E8" s="26"/>
      <c r="F8" s="48">
        <f>'Sch II 2024'!C12</f>
        <v>3514547.2284615384</v>
      </c>
      <c r="G8" s="20"/>
      <c r="H8" s="27">
        <v>3560648</v>
      </c>
      <c r="I8" s="87">
        <f>+F8-H8</f>
        <v>-46100.771538461559</v>
      </c>
    </row>
    <row r="9" spans="1:10" x14ac:dyDescent="0.25">
      <c r="A9" s="21">
        <v>2</v>
      </c>
      <c r="B9" s="21" t="s">
        <v>38</v>
      </c>
      <c r="E9" s="28"/>
      <c r="F9" s="83"/>
      <c r="G9" s="20"/>
      <c r="I9" s="20"/>
    </row>
    <row r="10" spans="1:10" x14ac:dyDescent="0.25">
      <c r="A10" s="21">
        <v>3</v>
      </c>
      <c r="B10" s="30" t="s">
        <v>39</v>
      </c>
      <c r="E10" s="28"/>
      <c r="F10" s="84">
        <f>ROUND('Sch II 2024'!H12,0)</f>
        <v>-107820</v>
      </c>
      <c r="G10" s="20"/>
      <c r="H10" s="27">
        <v>-53396</v>
      </c>
      <c r="I10" s="35">
        <f t="shared" ref="I10:I11" si="0">+F10-H10</f>
        <v>-54424</v>
      </c>
      <c r="J10" s="9" t="s">
        <v>55</v>
      </c>
    </row>
    <row r="11" spans="1:10" x14ac:dyDescent="0.25">
      <c r="A11" s="21">
        <v>4</v>
      </c>
      <c r="B11" s="30" t="s">
        <v>40</v>
      </c>
      <c r="E11" s="28"/>
      <c r="F11" s="85">
        <f>+'Sch II 2024'!H37</f>
        <v>-849978</v>
      </c>
      <c r="G11" s="20"/>
      <c r="H11" s="32">
        <v>-875059</v>
      </c>
      <c r="I11" s="89">
        <f t="shared" si="0"/>
        <v>25081</v>
      </c>
    </row>
    <row r="12" spans="1:10" x14ac:dyDescent="0.25">
      <c r="A12" s="21">
        <v>5</v>
      </c>
      <c r="B12" s="21" t="s">
        <v>81</v>
      </c>
      <c r="E12" s="28"/>
      <c r="F12" s="84">
        <f t="shared" ref="F12:I12" si="1">SUM(F8:F11)</f>
        <v>2556749.2284615384</v>
      </c>
      <c r="G12" s="20"/>
      <c r="H12" s="29">
        <f t="shared" si="1"/>
        <v>2632193</v>
      </c>
      <c r="I12" s="83">
        <f t="shared" si="1"/>
        <v>-75443.771538461559</v>
      </c>
    </row>
    <row r="13" spans="1:10" x14ac:dyDescent="0.25">
      <c r="E13" s="28"/>
      <c r="F13" s="83"/>
      <c r="G13" s="20"/>
      <c r="I13" s="20"/>
    </row>
    <row r="14" spans="1:10" x14ac:dyDescent="0.25">
      <c r="A14" s="21">
        <v>6</v>
      </c>
      <c r="B14" s="21" t="s">
        <v>94</v>
      </c>
      <c r="E14" s="33"/>
      <c r="F14" s="225">
        <f>+C31</f>
        <v>6.691699999999999E-2</v>
      </c>
      <c r="G14" s="86"/>
      <c r="H14" s="217">
        <v>6.6919999999999993E-2</v>
      </c>
      <c r="I14" s="20"/>
    </row>
    <row r="15" spans="1:10" x14ac:dyDescent="0.25">
      <c r="A15" s="21">
        <v>7</v>
      </c>
      <c r="B15" s="21" t="s">
        <v>101</v>
      </c>
      <c r="E15" s="33"/>
      <c r="F15" s="225">
        <f>+E31</f>
        <v>8.3148778400000012E-2</v>
      </c>
      <c r="G15" s="20"/>
      <c r="H15" s="217">
        <v>8.3150000000000002E-2</v>
      </c>
      <c r="I15" s="20"/>
    </row>
    <row r="16" spans="1:10" x14ac:dyDescent="0.25">
      <c r="A16" s="21">
        <v>8</v>
      </c>
      <c r="B16" s="21" t="s">
        <v>46</v>
      </c>
      <c r="E16" s="26"/>
      <c r="F16" s="48">
        <f>+F15*F12</f>
        <v>212590.57502171947</v>
      </c>
      <c r="G16" s="48">
        <f>E16+F16</f>
        <v>212590.57502171947</v>
      </c>
      <c r="H16" s="27">
        <f>+H15*H12</f>
        <v>218866.84795</v>
      </c>
      <c r="I16" s="35">
        <f>+G16-H16</f>
        <v>-6276.272928280523</v>
      </c>
    </row>
    <row r="17" spans="1:10" x14ac:dyDescent="0.25">
      <c r="A17" s="21">
        <v>9</v>
      </c>
      <c r="B17" s="21" t="s">
        <v>59</v>
      </c>
      <c r="E17" s="34"/>
      <c r="F17" s="87"/>
      <c r="G17" s="88">
        <f>'Schedule III'!C35</f>
        <v>158650.35726634378</v>
      </c>
      <c r="H17" s="32">
        <v>95926</v>
      </c>
      <c r="I17" s="89">
        <f>+G17-H17</f>
        <v>62724.357266343781</v>
      </c>
      <c r="J17" s="9" t="s">
        <v>55</v>
      </c>
    </row>
    <row r="18" spans="1:10" x14ac:dyDescent="0.25">
      <c r="A18" s="21">
        <v>10</v>
      </c>
      <c r="B18" s="21" t="s">
        <v>47</v>
      </c>
      <c r="E18" s="26"/>
      <c r="F18" s="35"/>
      <c r="G18" s="48">
        <f>G16+G17</f>
        <v>371240.93228806322</v>
      </c>
      <c r="H18" s="27">
        <f>H16+H17</f>
        <v>314792.84794999997</v>
      </c>
      <c r="I18" s="35">
        <f>+G18-H18</f>
        <v>56448.084338063258</v>
      </c>
    </row>
    <row r="19" spans="1:10" x14ac:dyDescent="0.25">
      <c r="E19" s="27"/>
      <c r="F19" s="27"/>
      <c r="G19" s="35"/>
    </row>
    <row r="20" spans="1:10" s="63" customFormat="1" ht="75" x14ac:dyDescent="0.25">
      <c r="C20" s="64" t="s">
        <v>102</v>
      </c>
      <c r="D20" s="64" t="s">
        <v>103</v>
      </c>
      <c r="E20" s="64" t="s">
        <v>114</v>
      </c>
      <c r="F20" s="65" t="s">
        <v>106</v>
      </c>
      <c r="G20" s="64" t="s">
        <v>115</v>
      </c>
      <c r="H20" s="64" t="s">
        <v>104</v>
      </c>
      <c r="I20" s="64" t="s">
        <v>105</v>
      </c>
      <c r="J20" s="66"/>
    </row>
    <row r="21" spans="1:10" x14ac:dyDescent="0.25">
      <c r="A21" s="21">
        <v>11</v>
      </c>
      <c r="B21" s="30" t="s">
        <v>4</v>
      </c>
      <c r="C21" s="27">
        <v>17392991</v>
      </c>
      <c r="D21" s="39">
        <f>C21/C25</f>
        <v>0.51393343008827819</v>
      </c>
      <c r="E21" s="49">
        <f>ROUND(D21*I$18,0)</f>
        <v>29011</v>
      </c>
      <c r="F21" s="46">
        <v>585698</v>
      </c>
      <c r="G21" s="51">
        <f>E21/F21</f>
        <v>4.9532352850786582E-2</v>
      </c>
      <c r="H21" s="40">
        <v>0.50470000000000004</v>
      </c>
      <c r="I21" s="62">
        <f>+H21+G21</f>
        <v>0.55423235285078665</v>
      </c>
      <c r="J21" s="36"/>
    </row>
    <row r="22" spans="1:10" x14ac:dyDescent="0.25">
      <c r="A22" s="21">
        <v>12</v>
      </c>
      <c r="B22" s="30" t="s">
        <v>5</v>
      </c>
      <c r="C22" s="29">
        <v>5243155</v>
      </c>
      <c r="D22" s="39">
        <f>C22/C25</f>
        <v>0.15492635128912022</v>
      </c>
      <c r="E22" s="49">
        <f t="shared" ref="E22:E24" si="2">ROUND(D22*I$18,0)</f>
        <v>8745</v>
      </c>
      <c r="F22" s="46">
        <v>313333</v>
      </c>
      <c r="G22" s="51">
        <f>E22/F22</f>
        <v>2.7909604159153362E-2</v>
      </c>
      <c r="H22" s="40">
        <v>0.32218999999999998</v>
      </c>
      <c r="I22" s="62">
        <f t="shared" ref="I22:I24" si="3">+H22+G22</f>
        <v>0.35009960415915331</v>
      </c>
      <c r="J22" s="36"/>
    </row>
    <row r="23" spans="1:10" x14ac:dyDescent="0.25">
      <c r="A23" s="21">
        <v>13</v>
      </c>
      <c r="B23" s="30" t="s">
        <v>6</v>
      </c>
      <c r="C23" s="28">
        <v>9236757</v>
      </c>
      <c r="D23" s="41">
        <f>C23/C25</f>
        <v>0.27293052746947977</v>
      </c>
      <c r="E23" s="49">
        <f t="shared" si="2"/>
        <v>15406</v>
      </c>
      <c r="F23" s="67">
        <v>1037346</v>
      </c>
      <c r="G23" s="52">
        <f>E23/F23</f>
        <v>1.4851361069498508E-2</v>
      </c>
      <c r="H23" s="40">
        <v>0.20741999999999999</v>
      </c>
      <c r="I23" s="62">
        <f t="shared" si="3"/>
        <v>0.22227136106949849</v>
      </c>
      <c r="J23" s="36"/>
    </row>
    <row r="24" spans="1:10" x14ac:dyDescent="0.25">
      <c r="A24" s="21">
        <v>14</v>
      </c>
      <c r="B24" s="30" t="s">
        <v>7</v>
      </c>
      <c r="C24" s="31">
        <v>1969984</v>
      </c>
      <c r="D24" s="42">
        <f>C24/C25</f>
        <v>5.820969115312178E-2</v>
      </c>
      <c r="E24" s="50">
        <f t="shared" si="2"/>
        <v>3286</v>
      </c>
      <c r="F24" s="47">
        <v>745969</v>
      </c>
      <c r="G24" s="52">
        <f>E24/F24</f>
        <v>4.4050087872284241E-3</v>
      </c>
      <c r="H24" s="44">
        <v>6.8540000000000004E-2</v>
      </c>
      <c r="I24" s="62">
        <f t="shared" si="3"/>
        <v>7.2945008787228427E-2</v>
      </c>
      <c r="J24" s="36"/>
    </row>
    <row r="25" spans="1:10" x14ac:dyDescent="0.25">
      <c r="A25" s="21">
        <v>15</v>
      </c>
      <c r="B25" s="21" t="s">
        <v>53</v>
      </c>
      <c r="C25" s="27">
        <f>SUM(C21:C24)</f>
        <v>33842887</v>
      </c>
      <c r="D25" s="39">
        <f>SUM(D21:D24)</f>
        <v>1</v>
      </c>
      <c r="E25" s="49">
        <f>SUM(E21:E24)</f>
        <v>56448</v>
      </c>
      <c r="F25" s="46">
        <f>SUM(F21:F24)</f>
        <v>2682346</v>
      </c>
      <c r="G25" s="43"/>
      <c r="I25" s="28"/>
      <c r="J25" s="36"/>
    </row>
    <row r="26" spans="1:10" x14ac:dyDescent="0.25">
      <c r="I26" s="36"/>
      <c r="J26" s="36"/>
    </row>
    <row r="27" spans="1:10" ht="60" x14ac:dyDescent="0.25">
      <c r="C27" s="56" t="s">
        <v>95</v>
      </c>
      <c r="D27" s="56" t="s">
        <v>96</v>
      </c>
      <c r="E27" s="56" t="s">
        <v>97</v>
      </c>
    </row>
    <row r="28" spans="1:10" x14ac:dyDescent="0.25">
      <c r="A28" s="21">
        <v>16</v>
      </c>
      <c r="B28" s="21" t="s">
        <v>98</v>
      </c>
      <c r="C28" s="57">
        <v>4.7445000000000001E-2</v>
      </c>
      <c r="D28" s="58">
        <v>1.3398399999999999</v>
      </c>
      <c r="E28" s="57">
        <f>+C28*D28</f>
        <v>6.3568708799999998E-2</v>
      </c>
    </row>
    <row r="29" spans="1:10" x14ac:dyDescent="0.25">
      <c r="A29" s="21">
        <v>17</v>
      </c>
      <c r="B29" s="21" t="s">
        <v>99</v>
      </c>
      <c r="C29" s="57">
        <v>1.9296000000000001E-2</v>
      </c>
      <c r="D29" s="58">
        <v>1.0055499999999999</v>
      </c>
      <c r="E29" s="57">
        <f t="shared" ref="E29:E30" si="4">+C29*D29</f>
        <v>1.9403092800000001E-2</v>
      </c>
    </row>
    <row r="30" spans="1:10" x14ac:dyDescent="0.25">
      <c r="A30" s="21">
        <v>18</v>
      </c>
      <c r="B30" s="21" t="s">
        <v>100</v>
      </c>
      <c r="C30" s="59">
        <v>1.76E-4</v>
      </c>
      <c r="D30" s="58">
        <v>1.0055499999999999</v>
      </c>
      <c r="E30" s="59">
        <f t="shared" si="4"/>
        <v>1.769768E-4</v>
      </c>
    </row>
    <row r="31" spans="1:10" x14ac:dyDescent="0.25">
      <c r="A31" s="21">
        <v>19</v>
      </c>
      <c r="B31" s="21" t="s">
        <v>53</v>
      </c>
      <c r="C31" s="60">
        <f>SUM(C28:C30)</f>
        <v>6.691699999999999E-2</v>
      </c>
      <c r="D31" s="57"/>
      <c r="E31" s="60">
        <f>SUM(E28:E30)</f>
        <v>8.3148778400000012E-2</v>
      </c>
    </row>
    <row r="33" spans="1:2" x14ac:dyDescent="0.25">
      <c r="A33" s="9" t="s">
        <v>55</v>
      </c>
      <c r="B33" s="21" t="s">
        <v>182</v>
      </c>
    </row>
  </sheetData>
  <pageMargins left="0.7" right="0.7" top="0.75" bottom="0.75" header="0.3" footer="0.3"/>
  <pageSetup scale="82" fitToHeight="0" orientation="landscape" r:id="rId1"/>
  <headerFooter>
    <oddHeader>&amp;L&amp;"-,Bold"Delta Natural Gas Company, Inc.&amp;RSchedule I</oddHeader>
  </headerFooter>
  <ignoredErrors>
    <ignoredError sqref="G16"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41"/>
  <sheetViews>
    <sheetView zoomScaleNormal="100" workbookViewId="0">
      <selection activeCell="B39" sqref="B39"/>
    </sheetView>
  </sheetViews>
  <sheetFormatPr defaultColWidth="9.140625" defaultRowHeight="15" x14ac:dyDescent="0.25"/>
  <cols>
    <col min="1" max="1" width="3" style="93" customWidth="1"/>
    <col min="2" max="2" width="18.5703125" style="93" bestFit="1" customWidth="1"/>
    <col min="3" max="3" width="11.140625" style="93" bestFit="1" customWidth="1"/>
    <col min="4" max="4" width="13.7109375" style="93" bestFit="1" customWidth="1"/>
    <col min="5" max="5" width="14" style="93" bestFit="1" customWidth="1"/>
    <col min="6" max="6" width="12.7109375" style="93" customWidth="1"/>
    <col min="7" max="7" width="12.5703125" style="93" bestFit="1" customWidth="1"/>
    <col min="8" max="8" width="13.28515625" style="93" bestFit="1" customWidth="1"/>
    <col min="9" max="9" width="2.7109375" style="93" customWidth="1"/>
    <col min="10" max="10" width="10.7109375" style="93" customWidth="1"/>
    <col min="11" max="11" width="8.140625" style="93" bestFit="1" customWidth="1"/>
    <col min="12" max="12" width="9.85546875" style="93" bestFit="1" customWidth="1"/>
    <col min="13" max="14" width="11.28515625" style="93" bestFit="1" customWidth="1"/>
    <col min="15" max="15" width="8.42578125" style="93" bestFit="1" customWidth="1"/>
    <col min="16" max="16" width="11.28515625" style="93" bestFit="1" customWidth="1"/>
    <col min="17" max="17" width="2.7109375" style="93" customWidth="1"/>
    <col min="18" max="18" width="9.140625" style="93" bestFit="1" customWidth="1"/>
    <col min="19" max="16384" width="9.140625" style="93"/>
  </cols>
  <sheetData>
    <row r="1" spans="1:18" x14ac:dyDescent="0.25">
      <c r="A1" s="90" t="s">
        <v>20</v>
      </c>
      <c r="B1" s="91"/>
      <c r="C1" s="90">
        <v>2024</v>
      </c>
      <c r="D1" s="92"/>
      <c r="E1" s="92"/>
      <c r="F1" s="92"/>
      <c r="G1" s="92"/>
      <c r="H1" s="92"/>
      <c r="I1" s="92"/>
      <c r="J1" s="92"/>
      <c r="K1" s="92"/>
      <c r="L1" s="92"/>
      <c r="M1" s="92"/>
      <c r="N1" s="92"/>
      <c r="O1" s="92"/>
      <c r="P1" s="92"/>
      <c r="Q1" s="92"/>
      <c r="R1" s="216" t="s">
        <v>128</v>
      </c>
    </row>
    <row r="2" spans="1:18" x14ac:dyDescent="0.25">
      <c r="A2" s="90" t="s">
        <v>41</v>
      </c>
      <c r="B2" s="92"/>
      <c r="C2" s="92"/>
      <c r="D2" s="94"/>
      <c r="E2" s="92"/>
      <c r="F2" s="227" t="s">
        <v>29</v>
      </c>
      <c r="G2" s="227"/>
      <c r="H2" s="227"/>
      <c r="I2" s="92"/>
      <c r="J2" s="92"/>
      <c r="K2" s="92"/>
      <c r="L2" s="92"/>
      <c r="M2" s="92"/>
      <c r="N2" s="92"/>
      <c r="O2" s="92"/>
      <c r="P2" s="92"/>
      <c r="Q2" s="92"/>
      <c r="R2" s="92"/>
    </row>
    <row r="3" spans="1:18" x14ac:dyDescent="0.25">
      <c r="A3" s="92"/>
      <c r="B3" s="92"/>
      <c r="C3" s="92"/>
      <c r="D3" s="94" t="s">
        <v>31</v>
      </c>
      <c r="E3" s="92"/>
      <c r="F3" s="95"/>
      <c r="G3" s="94"/>
      <c r="H3" s="95"/>
      <c r="I3" s="92"/>
      <c r="J3" s="96" t="s">
        <v>28</v>
      </c>
      <c r="K3" s="92"/>
      <c r="L3" s="92"/>
      <c r="M3" s="92"/>
      <c r="N3" s="92"/>
      <c r="O3" s="92"/>
      <c r="P3" s="92"/>
      <c r="Q3" s="92"/>
      <c r="R3" s="92"/>
    </row>
    <row r="4" spans="1:18" x14ac:dyDescent="0.25">
      <c r="A4" s="92"/>
      <c r="B4" s="92"/>
      <c r="C4" s="94">
        <v>2024</v>
      </c>
      <c r="D4" s="94" t="s">
        <v>19</v>
      </c>
      <c r="E4" s="92"/>
      <c r="F4" s="94"/>
      <c r="G4" s="94" t="s">
        <v>2</v>
      </c>
      <c r="H4" s="94"/>
      <c r="I4" s="92"/>
      <c r="J4" s="94" t="s">
        <v>36</v>
      </c>
      <c r="K4" s="92"/>
      <c r="L4" s="92"/>
      <c r="M4" s="92"/>
      <c r="N4" s="92"/>
      <c r="O4" s="94" t="s">
        <v>54</v>
      </c>
      <c r="P4" s="94" t="s">
        <v>54</v>
      </c>
      <c r="Q4" s="92"/>
      <c r="R4" s="92"/>
    </row>
    <row r="5" spans="1:18" x14ac:dyDescent="0.25">
      <c r="A5" s="92"/>
      <c r="B5" s="92"/>
      <c r="C5" s="97" t="s">
        <v>15</v>
      </c>
      <c r="D5" s="97">
        <v>1</v>
      </c>
      <c r="E5" s="92"/>
      <c r="F5" s="97" t="s">
        <v>16</v>
      </c>
      <c r="G5" s="97" t="s">
        <v>11</v>
      </c>
      <c r="H5" s="97" t="s">
        <v>17</v>
      </c>
      <c r="I5" s="92"/>
      <c r="J5" s="97" t="s">
        <v>37</v>
      </c>
      <c r="K5" s="92"/>
      <c r="L5" s="92"/>
      <c r="M5" s="92"/>
      <c r="N5" s="92"/>
      <c r="O5" s="97" t="s">
        <v>8</v>
      </c>
      <c r="P5" s="97" t="s">
        <v>10</v>
      </c>
      <c r="Q5" s="92"/>
      <c r="R5" s="92"/>
    </row>
    <row r="6" spans="1:18" x14ac:dyDescent="0.25">
      <c r="A6" s="92">
        <v>1</v>
      </c>
      <c r="B6" s="92" t="s">
        <v>42</v>
      </c>
      <c r="C6" s="98">
        <f>+'Schedule IV 2024 Monthly'!Q14</f>
        <v>3051305.2415384618</v>
      </c>
      <c r="D6" s="99">
        <v>3.1E-2</v>
      </c>
      <c r="E6" s="92"/>
      <c r="F6" s="100">
        <v>0</v>
      </c>
      <c r="G6" s="98">
        <f>ROUND(IF(D$5=1,-D6*C6,-D6*C6),0)</f>
        <v>-94590</v>
      </c>
      <c r="H6" s="98">
        <f t="shared" ref="H6:H11" si="0">SUM(F6:G6)</f>
        <v>-94590</v>
      </c>
      <c r="I6" s="101"/>
      <c r="J6" s="102">
        <f t="shared" ref="J6:J11" si="1">C6+H6</f>
        <v>2956715.2415384618</v>
      </c>
      <c r="K6" s="92"/>
      <c r="L6" s="92"/>
      <c r="M6" s="92"/>
      <c r="N6" s="92"/>
      <c r="O6" s="103">
        <v>1E-4</v>
      </c>
      <c r="P6" s="104">
        <f>ROUND(IF(D$5=1,-O6*C6,-O6*C6),0)</f>
        <v>-305</v>
      </c>
      <c r="Q6" s="92"/>
      <c r="R6" s="92"/>
    </row>
    <row r="7" spans="1:18" x14ac:dyDescent="0.25">
      <c r="A7" s="92">
        <v>2</v>
      </c>
      <c r="B7" s="92" t="s">
        <v>0</v>
      </c>
      <c r="C7" s="98">
        <v>0</v>
      </c>
      <c r="D7" s="99">
        <v>2.9000000000000001E-2</v>
      </c>
      <c r="E7" s="92"/>
      <c r="F7" s="100">
        <v>0</v>
      </c>
      <c r="G7" s="98">
        <f>ROUND(IF(D$5=1,-D7*C7,-D7*C7),0)</f>
        <v>0</v>
      </c>
      <c r="H7" s="98">
        <f t="shared" si="0"/>
        <v>0</v>
      </c>
      <c r="I7" s="101"/>
      <c r="J7" s="102">
        <f t="shared" si="1"/>
        <v>0</v>
      </c>
      <c r="K7" s="92"/>
      <c r="L7" s="92"/>
      <c r="M7" s="92"/>
      <c r="N7" s="92"/>
      <c r="O7" s="103">
        <v>2.0000000000000001E-4</v>
      </c>
      <c r="P7" s="102">
        <f>ROUND(IF(D$5=1,-O7*C7,-O7*C7),0)</f>
        <v>0</v>
      </c>
      <c r="Q7" s="92"/>
      <c r="R7" s="92"/>
    </row>
    <row r="8" spans="1:18" x14ac:dyDescent="0.25">
      <c r="A8" s="92">
        <v>3</v>
      </c>
      <c r="B8" s="92" t="s">
        <v>1</v>
      </c>
      <c r="C8" s="98">
        <f>'Schedule IV 2024 Monthly'!Q17</f>
        <v>367190.51384615392</v>
      </c>
      <c r="D8" s="99">
        <v>3.1E-2</v>
      </c>
      <c r="E8" s="92"/>
      <c r="F8" s="100">
        <v>0</v>
      </c>
      <c r="G8" s="98">
        <f>ROUND(IF(D$5=1,-D8*C8,-D8*C8),0)</f>
        <v>-11383</v>
      </c>
      <c r="H8" s="98">
        <f t="shared" si="0"/>
        <v>-11383</v>
      </c>
      <c r="I8" s="101"/>
      <c r="J8" s="102">
        <f t="shared" si="1"/>
        <v>355807.51384615392</v>
      </c>
      <c r="K8" s="92"/>
      <c r="L8" s="92"/>
      <c r="M8" s="92"/>
      <c r="N8" s="92"/>
      <c r="O8" s="103">
        <v>4.1999999999999997E-3</v>
      </c>
      <c r="P8" s="102">
        <f>ROUND(IF(D$5=1,-O8*C8,-O8*C8),0)</f>
        <v>-1542</v>
      </c>
      <c r="Q8" s="92"/>
      <c r="R8" s="92"/>
    </row>
    <row r="9" spans="1:18" x14ac:dyDescent="0.25">
      <c r="A9" s="92">
        <v>4</v>
      </c>
      <c r="B9" s="92" t="s">
        <v>13</v>
      </c>
      <c r="C9" s="100"/>
      <c r="D9" s="99">
        <v>2.2499999999999999E-2</v>
      </c>
      <c r="E9" s="92"/>
      <c r="F9" s="100">
        <v>0</v>
      </c>
      <c r="G9" s="98">
        <f>ROUND(IF(D$5=1,-0.5*D9*C9,-D9*C9),0)</f>
        <v>0</v>
      </c>
      <c r="H9" s="98">
        <f t="shared" si="0"/>
        <v>0</v>
      </c>
      <c r="I9" s="101"/>
      <c r="J9" s="102">
        <f t="shared" si="1"/>
        <v>0</v>
      </c>
      <c r="K9" s="92"/>
      <c r="L9" s="92"/>
      <c r="M9" s="92"/>
      <c r="N9" s="92"/>
      <c r="O9" s="103">
        <v>0</v>
      </c>
      <c r="P9" s="102">
        <f>IF(D$5=1,-0.5*O9*C9,-O9*C9)</f>
        <v>0</v>
      </c>
      <c r="Q9" s="92"/>
      <c r="R9" s="92"/>
    </row>
    <row r="10" spans="1:18" x14ac:dyDescent="0.25">
      <c r="A10" s="92">
        <v>5</v>
      </c>
      <c r="B10" s="92" t="s">
        <v>12</v>
      </c>
      <c r="C10" s="100"/>
      <c r="D10" s="99">
        <v>2.1000000000000001E-2</v>
      </c>
      <c r="E10" s="92"/>
      <c r="F10" s="100">
        <v>0</v>
      </c>
      <c r="G10" s="98">
        <f>ROUND(IF(D$5=1,-0.5*D10*C10,-D10*C10),0)</f>
        <v>0</v>
      </c>
      <c r="H10" s="98">
        <f t="shared" si="0"/>
        <v>0</v>
      </c>
      <c r="I10" s="101"/>
      <c r="J10" s="102">
        <f t="shared" si="1"/>
        <v>0</v>
      </c>
      <c r="K10" s="92"/>
      <c r="L10" s="92"/>
      <c r="M10" s="92"/>
      <c r="N10" s="92"/>
      <c r="O10" s="103">
        <v>0</v>
      </c>
      <c r="P10" s="102">
        <f>IF(D$5=1,-0.5*O10*C10,-O10*C10)</f>
        <v>0</v>
      </c>
      <c r="Q10" s="92"/>
      <c r="R10" s="92"/>
    </row>
    <row r="11" spans="1:18" x14ac:dyDescent="0.25">
      <c r="A11" s="92">
        <v>6</v>
      </c>
      <c r="B11" s="92" t="s">
        <v>50</v>
      </c>
      <c r="C11" s="105">
        <f>+'Schedule IV 2024 Monthly'!Q6</f>
        <v>96051.473076923052</v>
      </c>
      <c r="D11" s="106" t="s">
        <v>49</v>
      </c>
      <c r="E11" s="92"/>
      <c r="F11" s="68">
        <v>0</v>
      </c>
      <c r="G11" s="105">
        <f>P12</f>
        <v>-1847</v>
      </c>
      <c r="H11" s="105">
        <f t="shared" si="0"/>
        <v>-1847</v>
      </c>
      <c r="I11" s="101"/>
      <c r="J11" s="107">
        <f t="shared" si="1"/>
        <v>94204.473076923052</v>
      </c>
      <c r="K11" s="92"/>
      <c r="L11" s="92"/>
      <c r="M11" s="92"/>
      <c r="N11" s="92"/>
      <c r="O11" s="108">
        <v>0</v>
      </c>
      <c r="P11" s="107">
        <f>IF(D$5=1,-0.5*O11*C11,-O11*C11)</f>
        <v>0</v>
      </c>
      <c r="Q11" s="92"/>
      <c r="R11" s="92"/>
    </row>
    <row r="12" spans="1:18" x14ac:dyDescent="0.25">
      <c r="A12" s="92"/>
      <c r="B12" s="92"/>
      <c r="C12" s="98">
        <f>SUM(C6:C11)</f>
        <v>3514547.2284615384</v>
      </c>
      <c r="D12" s="100"/>
      <c r="E12" s="92"/>
      <c r="F12" s="100">
        <f>SUM(F5:F11)</f>
        <v>0</v>
      </c>
      <c r="G12" s="98">
        <f>SUM(G5:G11)</f>
        <v>-107820</v>
      </c>
      <c r="H12" s="98">
        <f>SUM(H5:H11)</f>
        <v>-107820</v>
      </c>
      <c r="I12" s="101"/>
      <c r="J12" s="102">
        <f>SUM(J6:J11)</f>
        <v>3406727.2284615384</v>
      </c>
      <c r="K12" s="92"/>
      <c r="L12" s="92"/>
      <c r="M12" s="92"/>
      <c r="N12" s="92"/>
      <c r="O12" s="109"/>
      <c r="P12" s="104">
        <f>SUM(P5:P11)</f>
        <v>-1847</v>
      </c>
      <c r="Q12" s="92"/>
      <c r="R12" s="92"/>
    </row>
    <row r="13" spans="1:18" x14ac:dyDescent="0.25">
      <c r="A13" s="92"/>
      <c r="B13" s="92"/>
      <c r="C13" s="100"/>
      <c r="D13" s="100"/>
      <c r="E13" s="100"/>
      <c r="F13" s="100"/>
      <c r="G13" s="92"/>
      <c r="H13" s="92"/>
      <c r="I13" s="92"/>
      <c r="J13" s="92"/>
      <c r="K13" s="92"/>
      <c r="L13" s="92"/>
      <c r="M13" s="94"/>
      <c r="N13" s="95"/>
      <c r="O13" s="92"/>
      <c r="P13" s="92"/>
      <c r="Q13" s="92"/>
      <c r="R13" s="92"/>
    </row>
    <row r="14" spans="1:18" x14ac:dyDescent="0.25">
      <c r="A14" s="92"/>
      <c r="B14" s="92"/>
      <c r="C14" s="92"/>
      <c r="D14" s="92"/>
      <c r="E14" s="92"/>
      <c r="F14" s="92"/>
      <c r="G14" s="92"/>
      <c r="H14" s="92"/>
      <c r="I14" s="92"/>
      <c r="J14" s="92"/>
      <c r="K14" s="92"/>
      <c r="L14" s="92"/>
      <c r="M14" s="94"/>
      <c r="N14" s="95"/>
      <c r="O14" s="92"/>
      <c r="P14" s="92"/>
      <c r="Q14" s="92"/>
      <c r="R14" s="92"/>
    </row>
    <row r="15" spans="1:18" x14ac:dyDescent="0.25">
      <c r="A15" s="92"/>
      <c r="B15" s="92"/>
      <c r="C15" s="92"/>
      <c r="D15" s="94"/>
      <c r="E15" s="92"/>
      <c r="F15" s="92"/>
      <c r="G15" s="92"/>
      <c r="H15" s="92"/>
      <c r="I15" s="92"/>
      <c r="J15" s="92"/>
      <c r="K15" s="92"/>
      <c r="L15" s="92"/>
      <c r="M15" s="92"/>
      <c r="N15" s="92"/>
      <c r="O15" s="92"/>
      <c r="P15" s="92"/>
      <c r="Q15" s="92"/>
      <c r="R15" s="92"/>
    </row>
    <row r="16" spans="1:18" x14ac:dyDescent="0.25">
      <c r="A16" s="21"/>
      <c r="B16" s="21"/>
      <c r="C16" s="36"/>
      <c r="D16" s="37" t="s">
        <v>23</v>
      </c>
      <c r="E16" s="36"/>
      <c r="F16" s="36"/>
      <c r="G16" s="110">
        <v>0</v>
      </c>
      <c r="H16" s="36"/>
      <c r="I16" s="21"/>
      <c r="J16" s="111"/>
      <c r="K16" s="37" t="s">
        <v>18</v>
      </c>
      <c r="L16" s="228" t="s">
        <v>30</v>
      </c>
      <c r="M16" s="228"/>
      <c r="N16" s="228"/>
      <c r="O16" s="228"/>
      <c r="P16" s="228"/>
      <c r="Q16" s="21"/>
      <c r="R16" s="61" t="s">
        <v>9</v>
      </c>
    </row>
    <row r="17" spans="1:18" x14ac:dyDescent="0.25">
      <c r="A17" s="21"/>
      <c r="B17" s="21"/>
      <c r="C17" s="37" t="s">
        <v>28</v>
      </c>
      <c r="D17" s="37" t="s">
        <v>11</v>
      </c>
      <c r="E17" s="37" t="s">
        <v>9</v>
      </c>
      <c r="F17" s="37" t="s">
        <v>9</v>
      </c>
      <c r="G17" s="37" t="s">
        <v>22</v>
      </c>
      <c r="H17" s="37" t="s">
        <v>26</v>
      </c>
      <c r="I17" s="21"/>
      <c r="J17" s="37"/>
      <c r="K17" s="37" t="s">
        <v>21</v>
      </c>
      <c r="L17" s="37"/>
      <c r="M17" s="37" t="s">
        <v>9</v>
      </c>
      <c r="N17" s="37" t="s">
        <v>22</v>
      </c>
      <c r="O17" s="37" t="s">
        <v>18</v>
      </c>
      <c r="P17" s="37"/>
      <c r="Q17" s="21"/>
      <c r="R17" s="37" t="s">
        <v>36</v>
      </c>
    </row>
    <row r="18" spans="1:18" x14ac:dyDescent="0.25">
      <c r="A18" s="21"/>
      <c r="B18" s="21"/>
      <c r="C18" s="38" t="s">
        <v>15</v>
      </c>
      <c r="D18" s="38" t="s">
        <v>24</v>
      </c>
      <c r="E18" s="38" t="s">
        <v>11</v>
      </c>
      <c r="F18" s="38" t="s">
        <v>25</v>
      </c>
      <c r="G18" s="38" t="s">
        <v>2</v>
      </c>
      <c r="H18" s="38" t="s">
        <v>27</v>
      </c>
      <c r="I18" s="21"/>
      <c r="J18" s="38" t="s">
        <v>14</v>
      </c>
      <c r="K18" s="38">
        <f>D5</f>
        <v>1</v>
      </c>
      <c r="L18" s="38" t="s">
        <v>16</v>
      </c>
      <c r="M18" s="38" t="s">
        <v>11</v>
      </c>
      <c r="N18" s="38" t="s">
        <v>10</v>
      </c>
      <c r="O18" s="38" t="s">
        <v>10</v>
      </c>
      <c r="P18" s="38" t="s">
        <v>17</v>
      </c>
      <c r="Q18" s="21"/>
      <c r="R18" s="38" t="s">
        <v>37</v>
      </c>
    </row>
    <row r="19" spans="1:18" x14ac:dyDescent="0.25">
      <c r="A19" s="21">
        <v>7</v>
      </c>
      <c r="B19" s="21" t="s">
        <v>42</v>
      </c>
      <c r="C19" s="46">
        <f t="shared" ref="C19:C24" si="2">C6</f>
        <v>3051305.2415384618</v>
      </c>
      <c r="D19" s="18">
        <v>1</v>
      </c>
      <c r="E19" s="46">
        <f>ROUND(C19*-D19,0)</f>
        <v>-3051305</v>
      </c>
      <c r="F19" s="46">
        <f>C19+E19</f>
        <v>0.24153846176341176</v>
      </c>
      <c r="G19" s="46">
        <f t="shared" ref="G19:G24" si="3">ROUND(F19*-$G$16,0)</f>
        <v>0</v>
      </c>
      <c r="H19" s="84">
        <f t="shared" ref="H19:H24" si="4">F19+G19</f>
        <v>0.24153846176341176</v>
      </c>
      <c r="I19" s="21"/>
      <c r="J19" s="21">
        <v>15</v>
      </c>
      <c r="K19" s="113">
        <f>IFERROR(VLOOKUP(J19,'Tax Rates'!$A$1:$AA$12,$K$18+1,FALSE),0)</f>
        <v>0.05</v>
      </c>
      <c r="L19" s="83">
        <v>0</v>
      </c>
      <c r="M19" s="112">
        <f t="shared" ref="M19:M24" si="5">E19</f>
        <v>-3051305</v>
      </c>
      <c r="N19" s="112">
        <f t="shared" ref="N19:N24" si="6">G19</f>
        <v>0</v>
      </c>
      <c r="O19" s="46">
        <f>ROUND(K19*-H19,0)</f>
        <v>0</v>
      </c>
      <c r="P19" s="84">
        <f t="shared" ref="P19:P24" si="7">SUM(L19:O19)</f>
        <v>-3051305</v>
      </c>
      <c r="Q19" s="45"/>
      <c r="R19" s="112">
        <f>C19+P19</f>
        <v>0.24153846176341176</v>
      </c>
    </row>
    <row r="20" spans="1:18" x14ac:dyDescent="0.25">
      <c r="A20" s="21">
        <v>8</v>
      </c>
      <c r="B20" s="21" t="s">
        <v>0</v>
      </c>
      <c r="C20" s="67">
        <f t="shared" si="2"/>
        <v>0</v>
      </c>
      <c r="D20" s="18">
        <v>1</v>
      </c>
      <c r="E20" s="46">
        <f>ROUND(C20*-D20,0)</f>
        <v>0</v>
      </c>
      <c r="F20" s="46">
        <f>C20+E20</f>
        <v>0</v>
      </c>
      <c r="G20" s="46">
        <f t="shared" si="3"/>
        <v>0</v>
      </c>
      <c r="H20" s="84">
        <f t="shared" si="4"/>
        <v>0</v>
      </c>
      <c r="I20" s="21"/>
      <c r="J20" s="21">
        <v>15</v>
      </c>
      <c r="K20" s="113">
        <f>IFERROR(VLOOKUP(J20,'Tax Rates'!$A$1:$AA$12,$K$18+1,FALSE),0)</f>
        <v>0.05</v>
      </c>
      <c r="L20" s="83">
        <v>0</v>
      </c>
      <c r="M20" s="112">
        <f t="shared" si="5"/>
        <v>0</v>
      </c>
      <c r="N20" s="112">
        <f t="shared" si="6"/>
        <v>0</v>
      </c>
      <c r="O20" s="46">
        <f>ROUND(K20*-H20,0)</f>
        <v>0</v>
      </c>
      <c r="P20" s="84">
        <f t="shared" si="7"/>
        <v>0</v>
      </c>
      <c r="Q20" s="45"/>
      <c r="R20" s="112">
        <f>C20+P20</f>
        <v>0</v>
      </c>
    </row>
    <row r="21" spans="1:18" x14ac:dyDescent="0.25">
      <c r="A21" s="21">
        <v>9</v>
      </c>
      <c r="B21" s="21" t="s">
        <v>1</v>
      </c>
      <c r="C21" s="67">
        <f t="shared" si="2"/>
        <v>367190.51384615392</v>
      </c>
      <c r="D21" s="18">
        <v>1</v>
      </c>
      <c r="E21" s="46">
        <f>ROUND(C21*-D21,0)</f>
        <v>-367191</v>
      </c>
      <c r="F21" s="46">
        <f>C21+E21</f>
        <v>-0.48615384608274326</v>
      </c>
      <c r="G21" s="67">
        <f t="shared" si="3"/>
        <v>0</v>
      </c>
      <c r="H21" s="84">
        <f t="shared" si="4"/>
        <v>-0.48615384608274326</v>
      </c>
      <c r="I21" s="21"/>
      <c r="J21" s="21">
        <v>20</v>
      </c>
      <c r="K21" s="113">
        <f>IFERROR(VLOOKUP(J21,'Tax Rates'!$A$1:$AA$12,$K$18+1,FALSE),0)</f>
        <v>3.7499999999999999E-2</v>
      </c>
      <c r="L21" s="83">
        <v>0</v>
      </c>
      <c r="M21" s="112">
        <f t="shared" si="5"/>
        <v>-367191</v>
      </c>
      <c r="N21" s="112">
        <f t="shared" si="6"/>
        <v>0</v>
      </c>
      <c r="O21" s="46">
        <f>ROUND(K21*-H21,0)</f>
        <v>0</v>
      </c>
      <c r="P21" s="84">
        <f t="shared" si="7"/>
        <v>-367191</v>
      </c>
      <c r="Q21" s="45"/>
      <c r="R21" s="112">
        <f>C21+P21</f>
        <v>-0.48615384608274326</v>
      </c>
    </row>
    <row r="22" spans="1:18" x14ac:dyDescent="0.25">
      <c r="A22" s="21">
        <v>10</v>
      </c>
      <c r="B22" s="21" t="s">
        <v>13</v>
      </c>
      <c r="C22" s="28">
        <f t="shared" si="2"/>
        <v>0</v>
      </c>
      <c r="D22" s="18">
        <v>0</v>
      </c>
      <c r="E22" s="46">
        <f>ROUND(C22*-D22,0)</f>
        <v>0</v>
      </c>
      <c r="F22" s="46">
        <f>C22+E22</f>
        <v>0</v>
      </c>
      <c r="G22" s="67">
        <f t="shared" si="3"/>
        <v>0</v>
      </c>
      <c r="H22" s="84">
        <f t="shared" si="4"/>
        <v>0</v>
      </c>
      <c r="I22" s="21"/>
      <c r="J22" s="21">
        <v>7</v>
      </c>
      <c r="K22" s="113">
        <f>IFERROR(VLOOKUP(J22,'Tax Rates'!$A$1:$AA$12,$K$18+1,FALSE),0)</f>
        <v>0.14285999999999999</v>
      </c>
      <c r="L22" s="83">
        <v>0</v>
      </c>
      <c r="M22" s="112">
        <f t="shared" si="5"/>
        <v>0</v>
      </c>
      <c r="N22" s="112">
        <f t="shared" si="6"/>
        <v>0</v>
      </c>
      <c r="O22" s="46">
        <f>ROUND(K22*-H22,0)</f>
        <v>0</v>
      </c>
      <c r="P22" s="84">
        <f t="shared" si="7"/>
        <v>0</v>
      </c>
      <c r="Q22" s="45"/>
      <c r="R22" s="112">
        <f>C22+P22</f>
        <v>0</v>
      </c>
    </row>
    <row r="23" spans="1:18" x14ac:dyDescent="0.25">
      <c r="A23" s="21">
        <v>11</v>
      </c>
      <c r="B23" s="21" t="s">
        <v>12</v>
      </c>
      <c r="C23" s="28">
        <f t="shared" si="2"/>
        <v>0</v>
      </c>
      <c r="D23" s="18">
        <v>0</v>
      </c>
      <c r="E23" s="46">
        <f>ROUND(C23*-D23,0)</f>
        <v>0</v>
      </c>
      <c r="F23" s="46">
        <f>C23+E23</f>
        <v>0</v>
      </c>
      <c r="G23" s="67">
        <f t="shared" si="3"/>
        <v>0</v>
      </c>
      <c r="H23" s="84">
        <f t="shared" si="4"/>
        <v>0</v>
      </c>
      <c r="I23" s="21"/>
      <c r="J23" s="21">
        <v>15</v>
      </c>
      <c r="K23" s="113">
        <f>IFERROR(VLOOKUP(J23,'Tax Rates'!$A$1:$AA$12,$K$18+1,FALSE),0)</f>
        <v>0.05</v>
      </c>
      <c r="L23" s="83">
        <v>0</v>
      </c>
      <c r="M23" s="112">
        <f t="shared" si="5"/>
        <v>0</v>
      </c>
      <c r="N23" s="112">
        <f t="shared" si="6"/>
        <v>0</v>
      </c>
      <c r="O23" s="46">
        <f>ROUND(K23*-H23,0)</f>
        <v>0</v>
      </c>
      <c r="P23" s="84">
        <f t="shared" si="7"/>
        <v>0</v>
      </c>
      <c r="Q23" s="45"/>
      <c r="R23" s="112">
        <f>C23+P23</f>
        <v>0</v>
      </c>
    </row>
    <row r="24" spans="1:18" x14ac:dyDescent="0.25">
      <c r="A24" s="21">
        <v>12</v>
      </c>
      <c r="B24" s="21" t="s">
        <v>50</v>
      </c>
      <c r="C24" s="47">
        <f t="shared" si="2"/>
        <v>96051.473076923052</v>
      </c>
      <c r="D24" s="115" t="s">
        <v>51</v>
      </c>
      <c r="E24" s="47">
        <v>0</v>
      </c>
      <c r="F24" s="47">
        <v>0</v>
      </c>
      <c r="G24" s="47">
        <f t="shared" si="3"/>
        <v>0</v>
      </c>
      <c r="H24" s="85">
        <f t="shared" si="4"/>
        <v>0</v>
      </c>
      <c r="I24" s="21"/>
      <c r="J24" s="117" t="s">
        <v>51</v>
      </c>
      <c r="K24" s="118" t="s">
        <v>51</v>
      </c>
      <c r="L24" s="119">
        <v>0</v>
      </c>
      <c r="M24" s="116">
        <f t="shared" si="5"/>
        <v>0</v>
      </c>
      <c r="N24" s="120">
        <f t="shared" si="6"/>
        <v>0</v>
      </c>
      <c r="O24" s="47">
        <v>0</v>
      </c>
      <c r="P24" s="85">
        <f t="shared" si="7"/>
        <v>0</v>
      </c>
      <c r="Q24" s="45"/>
      <c r="R24" s="121" t="s">
        <v>51</v>
      </c>
    </row>
    <row r="25" spans="1:18" x14ac:dyDescent="0.25">
      <c r="A25" s="21"/>
      <c r="B25" s="21"/>
      <c r="C25" s="46">
        <f>SUM(C18:C24)</f>
        <v>3514547.2284615384</v>
      </c>
      <c r="D25" s="21"/>
      <c r="E25" s="46">
        <f>SUM(E19:E24)</f>
        <v>-3418496</v>
      </c>
      <c r="F25" s="46">
        <f>SUM(F19:F24)</f>
        <v>-0.2446153843193315</v>
      </c>
      <c r="G25" s="46">
        <f>SUM(G19:G24)</f>
        <v>0</v>
      </c>
      <c r="H25" s="84">
        <f>SUM(H19:H24)</f>
        <v>-0.2446153843193315</v>
      </c>
      <c r="I25" s="21"/>
      <c r="J25" s="21"/>
      <c r="K25" s="21"/>
      <c r="L25" s="83">
        <f>SUM(L19:L24)</f>
        <v>0</v>
      </c>
      <c r="M25" s="46">
        <f>SUM(M19:M24)</f>
        <v>-3418496</v>
      </c>
      <c r="N25" s="46">
        <f>SUM(N19:N24)</f>
        <v>0</v>
      </c>
      <c r="O25" s="46">
        <f>SUM(O19:O24)</f>
        <v>0</v>
      </c>
      <c r="P25" s="84">
        <f>SUM(P19:P24)</f>
        <v>-3418496</v>
      </c>
      <c r="Q25" s="45"/>
      <c r="R25" s="112">
        <f>SUM(R19:R24)</f>
        <v>-0.2446153843193315</v>
      </c>
    </row>
    <row r="26" spans="1:18" x14ac:dyDescent="0.25">
      <c r="A26" s="21"/>
      <c r="B26" s="21"/>
      <c r="C26" s="29"/>
      <c r="D26" s="21"/>
      <c r="E26" s="29"/>
      <c r="F26" s="29"/>
      <c r="G26" s="29"/>
      <c r="H26" s="83"/>
      <c r="I26" s="21"/>
      <c r="J26" s="83"/>
      <c r="K26" s="29"/>
      <c r="L26" s="29"/>
      <c r="M26" s="29"/>
      <c r="N26" s="83"/>
      <c r="O26" s="21"/>
      <c r="P26" s="21"/>
      <c r="Q26" s="21"/>
      <c r="R26" s="21"/>
    </row>
    <row r="27" spans="1:18" x14ac:dyDescent="0.25">
      <c r="A27" s="21"/>
      <c r="B27" s="21"/>
      <c r="C27" s="21"/>
      <c r="D27" s="21"/>
      <c r="E27" s="21"/>
      <c r="F27" s="21"/>
      <c r="G27" s="21"/>
      <c r="H27" s="21"/>
      <c r="I27" s="21"/>
      <c r="J27" s="21"/>
      <c r="K27" s="21"/>
      <c r="L27" s="21"/>
      <c r="M27" s="21"/>
      <c r="N27" s="21"/>
      <c r="O27" s="21"/>
      <c r="P27" s="21"/>
      <c r="Q27" s="21"/>
      <c r="R27" s="21"/>
    </row>
    <row r="28" spans="1:18" x14ac:dyDescent="0.25">
      <c r="A28" s="21"/>
      <c r="B28" s="21"/>
      <c r="C28" s="21"/>
      <c r="D28" s="21"/>
      <c r="E28" s="29"/>
      <c r="F28" s="61" t="s">
        <v>43</v>
      </c>
      <c r="G28" s="37"/>
      <c r="H28" s="122"/>
      <c r="I28" s="21"/>
      <c r="J28" s="21"/>
      <c r="K28" s="21"/>
      <c r="L28" s="21"/>
      <c r="M28" s="21"/>
      <c r="N28" s="21"/>
      <c r="O28" s="21"/>
      <c r="P28" s="21"/>
      <c r="Q28" s="21"/>
      <c r="R28" s="21"/>
    </row>
    <row r="29" spans="1:18" x14ac:dyDescent="0.25">
      <c r="A29" s="21"/>
      <c r="B29" s="21"/>
      <c r="C29" s="21"/>
      <c r="D29" s="228" t="s">
        <v>32</v>
      </c>
      <c r="E29" s="228"/>
      <c r="F29" s="61" t="s">
        <v>34</v>
      </c>
      <c r="G29" s="61" t="s">
        <v>48</v>
      </c>
      <c r="H29" s="37" t="s">
        <v>33</v>
      </c>
      <c r="I29" s="21"/>
      <c r="J29" s="21"/>
      <c r="K29" s="21"/>
      <c r="L29" s="21"/>
      <c r="M29" s="21"/>
      <c r="N29" s="21"/>
      <c r="O29" s="21"/>
      <c r="P29" s="21"/>
      <c r="Q29" s="21"/>
      <c r="R29" s="21"/>
    </row>
    <row r="30" spans="1:18" x14ac:dyDescent="0.25">
      <c r="A30" s="21"/>
      <c r="B30" s="21"/>
      <c r="C30" s="21"/>
      <c r="D30" s="38" t="s">
        <v>28</v>
      </c>
      <c r="E30" s="38" t="s">
        <v>9</v>
      </c>
      <c r="F30" s="38" t="s">
        <v>35</v>
      </c>
      <c r="G30" s="38" t="s">
        <v>8</v>
      </c>
      <c r="H30" s="38" t="s">
        <v>3</v>
      </c>
      <c r="I30" s="21"/>
      <c r="J30" s="21"/>
      <c r="K30" s="21"/>
      <c r="L30" s="21"/>
      <c r="M30" s="21"/>
      <c r="N30" s="21"/>
      <c r="O30" s="21"/>
      <c r="P30" s="21"/>
      <c r="Q30" s="21"/>
      <c r="R30" s="21"/>
    </row>
    <row r="31" spans="1:18" x14ac:dyDescent="0.25">
      <c r="A31" s="21">
        <v>13</v>
      </c>
      <c r="B31" s="21" t="s">
        <v>42</v>
      </c>
      <c r="C31" s="21"/>
      <c r="D31" s="112">
        <f t="shared" ref="D31:D36" si="8">J6</f>
        <v>2956715.2415384618</v>
      </c>
      <c r="E31" s="112">
        <f t="shared" ref="E31:E36" si="9">R19</f>
        <v>0.24153846176341176</v>
      </c>
      <c r="F31" s="112">
        <f>E31-D31</f>
        <v>-2956715</v>
      </c>
      <c r="G31" s="122">
        <v>0.2495</v>
      </c>
      <c r="H31" s="112">
        <f>ROUND(F31*G31,0)</f>
        <v>-737700</v>
      </c>
      <c r="I31" s="21"/>
      <c r="J31" s="21"/>
      <c r="K31" s="21"/>
      <c r="L31" s="21"/>
      <c r="M31" s="21"/>
      <c r="N31" s="21"/>
      <c r="O31" s="21"/>
      <c r="P31" s="21"/>
      <c r="Q31" s="21"/>
      <c r="R31" s="21"/>
    </row>
    <row r="32" spans="1:18" x14ac:dyDescent="0.25">
      <c r="A32" s="21">
        <v>14</v>
      </c>
      <c r="B32" s="21" t="s">
        <v>0</v>
      </c>
      <c r="C32" s="21"/>
      <c r="D32" s="114">
        <f t="shared" si="8"/>
        <v>0</v>
      </c>
      <c r="E32" s="112">
        <f t="shared" si="9"/>
        <v>0</v>
      </c>
      <c r="F32" s="112">
        <f>E32-D32</f>
        <v>0</v>
      </c>
      <c r="G32" s="122">
        <f>G31</f>
        <v>0.2495</v>
      </c>
      <c r="H32" s="112">
        <f t="shared" ref="H32:H36" si="10">ROUND(F32*G32,0)</f>
        <v>0</v>
      </c>
      <c r="I32" s="21"/>
      <c r="J32" s="21"/>
      <c r="K32" s="21"/>
      <c r="L32" s="21"/>
      <c r="M32" s="21"/>
      <c r="N32" s="21"/>
      <c r="O32" s="21"/>
      <c r="P32" s="21"/>
      <c r="Q32" s="21"/>
      <c r="R32" s="21"/>
    </row>
    <row r="33" spans="1:18" x14ac:dyDescent="0.25">
      <c r="A33" s="21">
        <v>15</v>
      </c>
      <c r="B33" s="21" t="s">
        <v>1</v>
      </c>
      <c r="C33" s="21"/>
      <c r="D33" s="114">
        <f t="shared" si="8"/>
        <v>355807.51384615392</v>
      </c>
      <c r="E33" s="112">
        <f t="shared" si="9"/>
        <v>-0.48615384608274326</v>
      </c>
      <c r="F33" s="112">
        <f>E33-D33</f>
        <v>-355808</v>
      </c>
      <c r="G33" s="122">
        <f>G31</f>
        <v>0.2495</v>
      </c>
      <c r="H33" s="112">
        <f t="shared" si="10"/>
        <v>-88774</v>
      </c>
      <c r="I33" s="21"/>
      <c r="J33" s="21"/>
      <c r="K33" s="21"/>
      <c r="L33" s="21"/>
      <c r="M33" s="21"/>
      <c r="N33" s="21"/>
      <c r="O33" s="21"/>
      <c r="P33" s="21"/>
      <c r="Q33" s="21"/>
      <c r="R33" s="21"/>
    </row>
    <row r="34" spans="1:18" x14ac:dyDescent="0.25">
      <c r="A34" s="21">
        <v>16</v>
      </c>
      <c r="B34" s="21" t="s">
        <v>13</v>
      </c>
      <c r="C34" s="21"/>
      <c r="D34" s="114">
        <f t="shared" si="8"/>
        <v>0</v>
      </c>
      <c r="E34" s="112">
        <f t="shared" si="9"/>
        <v>0</v>
      </c>
      <c r="F34" s="112">
        <f>E34-D34</f>
        <v>0</v>
      </c>
      <c r="G34" s="122">
        <f>G31</f>
        <v>0.2495</v>
      </c>
      <c r="H34" s="112">
        <f t="shared" si="10"/>
        <v>0</v>
      </c>
      <c r="I34" s="21"/>
      <c r="J34" s="21"/>
      <c r="K34" s="21"/>
      <c r="L34" s="21"/>
      <c r="M34" s="21"/>
      <c r="N34" s="21"/>
      <c r="O34" s="21"/>
      <c r="P34" s="21"/>
      <c r="Q34" s="21"/>
      <c r="R34" s="21"/>
    </row>
    <row r="35" spans="1:18" x14ac:dyDescent="0.25">
      <c r="A35" s="21">
        <v>17</v>
      </c>
      <c r="B35" s="21" t="s">
        <v>12</v>
      </c>
      <c r="C35" s="21"/>
      <c r="D35" s="114">
        <f t="shared" si="8"/>
        <v>0</v>
      </c>
      <c r="E35" s="112">
        <f t="shared" si="9"/>
        <v>0</v>
      </c>
      <c r="F35" s="112">
        <f>E35-D35</f>
        <v>0</v>
      </c>
      <c r="G35" s="122">
        <f>G31</f>
        <v>0.2495</v>
      </c>
      <c r="H35" s="112">
        <f t="shared" si="10"/>
        <v>0</v>
      </c>
      <c r="I35" s="21"/>
      <c r="J35" s="21"/>
      <c r="K35" s="21"/>
      <c r="L35" s="21"/>
      <c r="M35" s="21"/>
      <c r="N35" s="21"/>
      <c r="O35" s="21"/>
      <c r="P35" s="21"/>
      <c r="Q35" s="21"/>
      <c r="R35" s="21"/>
    </row>
    <row r="36" spans="1:18" x14ac:dyDescent="0.25">
      <c r="A36" s="21">
        <v>18</v>
      </c>
      <c r="B36" s="21" t="s">
        <v>50</v>
      </c>
      <c r="C36" s="21"/>
      <c r="D36" s="116">
        <f t="shared" si="8"/>
        <v>94204.473076923052</v>
      </c>
      <c r="E36" s="121" t="str">
        <f t="shared" si="9"/>
        <v>NA</v>
      </c>
      <c r="F36" s="116">
        <f>-D36</f>
        <v>-94204.473076923052</v>
      </c>
      <c r="G36" s="123">
        <f>G31</f>
        <v>0.2495</v>
      </c>
      <c r="H36" s="116">
        <f t="shared" si="10"/>
        <v>-23504</v>
      </c>
      <c r="I36" s="21"/>
      <c r="J36" s="21"/>
      <c r="K36" s="21"/>
      <c r="L36" s="21"/>
      <c r="M36" s="21"/>
      <c r="N36" s="21"/>
      <c r="O36" s="21"/>
      <c r="P36" s="21"/>
      <c r="Q36" s="21"/>
      <c r="R36" s="21"/>
    </row>
    <row r="37" spans="1:18" x14ac:dyDescent="0.25">
      <c r="A37" s="21"/>
      <c r="B37" s="21"/>
      <c r="C37" s="21"/>
      <c r="D37" s="112">
        <f>SUM(D31:D36)</f>
        <v>3406727.2284615384</v>
      </c>
      <c r="E37" s="112">
        <f>SUM(E31:E36)</f>
        <v>-0.2446153843193315</v>
      </c>
      <c r="F37" s="112">
        <f>SUM(F31:F36)</f>
        <v>-3406727.4730769228</v>
      </c>
      <c r="G37" s="21"/>
      <c r="H37" s="112">
        <f>SUM(H31:H36)</f>
        <v>-849978</v>
      </c>
      <c r="I37" s="21"/>
      <c r="J37" s="21"/>
      <c r="K37" s="21"/>
      <c r="L37" s="21"/>
      <c r="M37" s="21"/>
      <c r="N37" s="21"/>
      <c r="O37" s="21"/>
      <c r="P37" s="21"/>
      <c r="Q37" s="21"/>
      <c r="R37" s="21"/>
    </row>
    <row r="38" spans="1:18" x14ac:dyDescent="0.25">
      <c r="A38" s="92"/>
      <c r="B38" s="92"/>
      <c r="C38" s="92"/>
      <c r="D38" s="92"/>
      <c r="E38" s="92"/>
      <c r="F38" s="92"/>
      <c r="G38" s="92"/>
      <c r="H38" s="92"/>
      <c r="I38" s="92"/>
      <c r="J38" s="92"/>
      <c r="K38" s="92"/>
      <c r="L38" s="92"/>
      <c r="M38" s="92"/>
      <c r="N38" s="92"/>
      <c r="O38" s="92"/>
      <c r="P38" s="92"/>
      <c r="Q38" s="92"/>
      <c r="R38" s="92"/>
    </row>
    <row r="39" spans="1:18" x14ac:dyDescent="0.25">
      <c r="B39" s="124"/>
      <c r="D39" s="124"/>
    </row>
    <row r="40" spans="1:18" x14ac:dyDescent="0.25">
      <c r="A40" s="125"/>
      <c r="B40" s="21"/>
      <c r="C40" s="21"/>
      <c r="D40" s="21"/>
    </row>
    <row r="41" spans="1:18" x14ac:dyDescent="0.25">
      <c r="A41" s="125"/>
      <c r="C41" s="21"/>
      <c r="D41" s="21"/>
    </row>
  </sheetData>
  <mergeCells count="3">
    <mergeCell ref="F2:H2"/>
    <mergeCell ref="L16:P16"/>
    <mergeCell ref="D29:E29"/>
  </mergeCells>
  <pageMargins left="0.7" right="0.7" top="0.75" bottom="0.75" header="0.3" footer="0.3"/>
  <pageSetup scale="66"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8"/>
  <sheetViews>
    <sheetView view="pageBreakPreview" zoomScaleNormal="80" zoomScaleSheetLayoutView="100" workbookViewId="0">
      <selection activeCell="L25" sqref="L25"/>
    </sheetView>
  </sheetViews>
  <sheetFormatPr defaultColWidth="9.140625" defaultRowHeight="15" x14ac:dyDescent="0.25"/>
  <cols>
    <col min="1" max="1" width="4.7109375" style="5" customWidth="1"/>
    <col min="2" max="2" width="56.42578125" style="5" customWidth="1"/>
    <col min="3" max="3" width="13.42578125" style="5" customWidth="1"/>
    <col min="4" max="4" width="2.7109375" style="5" customWidth="1"/>
    <col min="5" max="5" width="13.7109375" style="5" bestFit="1" customWidth="1"/>
    <col min="6" max="16384" width="9.140625" style="5"/>
  </cols>
  <sheetData>
    <row r="1" spans="1:9" x14ac:dyDescent="0.25">
      <c r="A1" s="4" t="s">
        <v>44</v>
      </c>
      <c r="E1" s="11" t="s">
        <v>75</v>
      </c>
    </row>
    <row r="2" spans="1:9" x14ac:dyDescent="0.25">
      <c r="A2" s="4" t="s">
        <v>56</v>
      </c>
    </row>
    <row r="3" spans="1:9" x14ac:dyDescent="0.25">
      <c r="A3" s="12"/>
      <c r="B3" s="12"/>
      <c r="C3" s="12"/>
      <c r="D3" s="12"/>
      <c r="E3" s="12"/>
      <c r="F3" s="8"/>
      <c r="G3" s="8"/>
      <c r="H3" s="8"/>
    </row>
    <row r="4" spans="1:9" x14ac:dyDescent="0.25">
      <c r="F4" s="8"/>
      <c r="G4" s="8"/>
      <c r="H4" s="8"/>
    </row>
    <row r="5" spans="1:9" x14ac:dyDescent="0.25">
      <c r="A5" s="4" t="s">
        <v>63</v>
      </c>
      <c r="F5" s="8"/>
      <c r="G5" s="8"/>
      <c r="H5" s="8"/>
      <c r="I5" s="8"/>
    </row>
    <row r="6" spans="1:9" x14ac:dyDescent="0.25">
      <c r="B6" s="4"/>
      <c r="F6" s="8"/>
      <c r="G6" s="8"/>
      <c r="H6" s="8"/>
      <c r="I6" s="8"/>
    </row>
    <row r="7" spans="1:9" ht="30" x14ac:dyDescent="0.25">
      <c r="B7" s="4"/>
      <c r="E7" s="82" t="s">
        <v>92</v>
      </c>
      <c r="F7" s="8"/>
      <c r="G7" s="8"/>
      <c r="H7" s="8"/>
      <c r="I7" s="8"/>
    </row>
    <row r="8" spans="1:9" x14ac:dyDescent="0.25">
      <c r="A8" s="9" t="s">
        <v>55</v>
      </c>
      <c r="B8" s="17" t="s">
        <v>173</v>
      </c>
      <c r="C8" s="73">
        <f>-'Sch II 2024'!G12</f>
        <v>107820</v>
      </c>
      <c r="E8" s="6">
        <v>53396</v>
      </c>
      <c r="F8" s="8" t="s">
        <v>171</v>
      </c>
      <c r="G8" s="8"/>
      <c r="H8" s="8"/>
    </row>
    <row r="9" spans="1:9" x14ac:dyDescent="0.25">
      <c r="A9" s="12"/>
      <c r="B9" s="12"/>
      <c r="C9" s="74"/>
      <c r="D9" s="12"/>
      <c r="E9" s="12"/>
      <c r="F9" s="8"/>
      <c r="G9" s="8"/>
      <c r="H9" s="8"/>
    </row>
    <row r="10" spans="1:9" x14ac:dyDescent="0.25">
      <c r="A10" s="8"/>
      <c r="B10" s="8"/>
      <c r="C10" s="75"/>
      <c r="D10" s="13"/>
      <c r="E10" s="13"/>
    </row>
    <row r="11" spans="1:9" x14ac:dyDescent="0.25">
      <c r="A11" s="4" t="s">
        <v>57</v>
      </c>
      <c r="C11" s="76"/>
      <c r="D11" s="6"/>
      <c r="E11" s="6"/>
    </row>
    <row r="12" spans="1:9" x14ac:dyDescent="0.25">
      <c r="A12" s="9" t="s">
        <v>181</v>
      </c>
      <c r="B12" s="16" t="s">
        <v>126</v>
      </c>
      <c r="C12" s="4"/>
      <c r="D12" s="4"/>
      <c r="E12" s="6"/>
    </row>
    <row r="13" spans="1:9" x14ac:dyDescent="0.25">
      <c r="B13" s="7" t="s">
        <v>70</v>
      </c>
      <c r="C13" s="215">
        <v>183319040</v>
      </c>
      <c r="E13" s="6">
        <v>178608968</v>
      </c>
      <c r="F13" s="5" t="s">
        <v>167</v>
      </c>
    </row>
    <row r="14" spans="1:9" x14ac:dyDescent="0.25">
      <c r="C14" s="77"/>
      <c r="E14" s="6"/>
    </row>
    <row r="15" spans="1:9" x14ac:dyDescent="0.25">
      <c r="B15" s="5" t="s">
        <v>82</v>
      </c>
      <c r="C15" s="53">
        <v>2735227</v>
      </c>
      <c r="E15" s="6">
        <v>3100000</v>
      </c>
      <c r="F15" s="5" t="s">
        <v>172</v>
      </c>
    </row>
    <row r="16" spans="1:9" x14ac:dyDescent="0.25">
      <c r="C16" s="77"/>
      <c r="E16" s="6"/>
    </row>
    <row r="17" spans="1:6" x14ac:dyDescent="0.25">
      <c r="B17" s="5" t="s">
        <v>58</v>
      </c>
      <c r="C17" s="78">
        <f>C15/C13</f>
        <v>1.4920583262927844E-2</v>
      </c>
      <c r="E17" s="70">
        <f>E15/E13</f>
        <v>1.7356351333937498E-2</v>
      </c>
      <c r="F17" s="5" t="s">
        <v>171</v>
      </c>
    </row>
    <row r="18" spans="1:6" x14ac:dyDescent="0.25">
      <c r="C18" s="77"/>
      <c r="E18" s="6"/>
    </row>
    <row r="19" spans="1:6" x14ac:dyDescent="0.25">
      <c r="A19" s="8"/>
      <c r="B19" s="8" t="s">
        <v>71</v>
      </c>
      <c r="C19" s="54">
        <f>SUM('Sch I Summary'!E8:F10)</f>
        <v>3406727.2284615384</v>
      </c>
      <c r="D19" s="8"/>
      <c r="E19" s="69">
        <v>3507252</v>
      </c>
      <c r="F19" s="5" t="s">
        <v>171</v>
      </c>
    </row>
    <row r="20" spans="1:6" x14ac:dyDescent="0.25">
      <c r="A20" s="8"/>
      <c r="B20" s="8"/>
      <c r="C20" s="79"/>
      <c r="D20" s="8"/>
      <c r="E20" s="13"/>
    </row>
    <row r="21" spans="1:6" x14ac:dyDescent="0.25">
      <c r="A21" s="8"/>
      <c r="B21" s="8" t="s">
        <v>72</v>
      </c>
      <c r="C21" s="80">
        <f>C17*C19</f>
        <v>50830.357266343788</v>
      </c>
      <c r="D21" s="8"/>
      <c r="E21" s="71">
        <f>E17*E19</f>
        <v>60873.097928654955</v>
      </c>
      <c r="F21" s="5" t="s">
        <v>171</v>
      </c>
    </row>
    <row r="22" spans="1:6" x14ac:dyDescent="0.25">
      <c r="A22" s="12"/>
      <c r="B22" s="12"/>
      <c r="C22" s="81"/>
      <c r="D22" s="12"/>
      <c r="E22" s="69"/>
    </row>
    <row r="23" spans="1:6" x14ac:dyDescent="0.25">
      <c r="C23" s="77"/>
      <c r="E23" s="6"/>
    </row>
    <row r="24" spans="1:6" x14ac:dyDescent="0.25">
      <c r="A24" s="4" t="s">
        <v>119</v>
      </c>
      <c r="B24" s="4"/>
      <c r="C24" s="77"/>
      <c r="E24" s="6"/>
    </row>
    <row r="25" spans="1:6" x14ac:dyDescent="0.25">
      <c r="C25" s="77"/>
      <c r="E25" s="6"/>
    </row>
    <row r="26" spans="1:6" x14ac:dyDescent="0.25">
      <c r="B26" s="5" t="s">
        <v>120</v>
      </c>
      <c r="C26" s="214">
        <v>90819</v>
      </c>
      <c r="E26" s="69">
        <v>90819</v>
      </c>
      <c r="F26" s="5" t="s">
        <v>167</v>
      </c>
    </row>
    <row r="27" spans="1:6" x14ac:dyDescent="0.25">
      <c r="C27" s="77"/>
      <c r="E27" s="6"/>
    </row>
    <row r="28" spans="1:6" x14ac:dyDescent="0.25">
      <c r="B28" s="5" t="s">
        <v>121</v>
      </c>
      <c r="C28" s="77"/>
      <c r="E28" s="6"/>
    </row>
    <row r="29" spans="1:6" x14ac:dyDescent="0.25">
      <c r="B29" s="5" t="s">
        <v>127</v>
      </c>
      <c r="C29" s="224">
        <v>198927</v>
      </c>
      <c r="E29" s="69">
        <v>72476</v>
      </c>
    </row>
    <row r="30" spans="1:6" x14ac:dyDescent="0.25">
      <c r="C30" s="77"/>
      <c r="E30" s="6"/>
    </row>
    <row r="31" spans="1:6" x14ac:dyDescent="0.25">
      <c r="B31" s="5" t="s">
        <v>179</v>
      </c>
      <c r="C31" s="215">
        <v>0</v>
      </c>
      <c r="E31" s="6">
        <f>E29-E26</f>
        <v>-18343</v>
      </c>
      <c r="F31" s="5" t="s">
        <v>171</v>
      </c>
    </row>
    <row r="32" spans="1:6" x14ac:dyDescent="0.25">
      <c r="A32" s="12"/>
      <c r="B32" s="12"/>
      <c r="C32" s="81"/>
      <c r="D32" s="12"/>
      <c r="E32" s="69"/>
    </row>
    <row r="33" spans="1:6" x14ac:dyDescent="0.25">
      <c r="C33" s="77"/>
      <c r="E33" s="6"/>
    </row>
    <row r="34" spans="1:6" x14ac:dyDescent="0.25">
      <c r="C34" s="77"/>
      <c r="E34" s="6"/>
    </row>
    <row r="35" spans="1:6" x14ac:dyDescent="0.25">
      <c r="A35" s="4" t="s">
        <v>73</v>
      </c>
      <c r="B35" s="4"/>
      <c r="C35" s="55">
        <f>+C21+C8+C31</f>
        <v>158650.35726634378</v>
      </c>
      <c r="E35" s="72">
        <f>+E21+E8+E31</f>
        <v>95926.097928654955</v>
      </c>
      <c r="F35" s="5" t="s">
        <v>171</v>
      </c>
    </row>
    <row r="37" spans="1:6" ht="72" customHeight="1" x14ac:dyDescent="0.25">
      <c r="A37" s="226" t="s">
        <v>55</v>
      </c>
      <c r="B37" s="229" t="s">
        <v>183</v>
      </c>
      <c r="C37" s="229"/>
      <c r="D37" s="229"/>
      <c r="E37" s="229"/>
    </row>
    <row r="38" spans="1:6" x14ac:dyDescent="0.25">
      <c r="A38" s="9" t="s">
        <v>181</v>
      </c>
      <c r="B38" s="14" t="s">
        <v>74</v>
      </c>
    </row>
  </sheetData>
  <mergeCells count="1">
    <mergeCell ref="B37:E37"/>
  </mergeCells>
  <pageMargins left="0.7" right="0.7" top="0.75" bottom="0.75" header="0.3" footer="0.3"/>
  <pageSetup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90228-7322-4D27-8260-0422838B5984}">
  <sheetPr>
    <pageSetUpPr fitToPage="1"/>
  </sheetPr>
  <dimension ref="A1:R144"/>
  <sheetViews>
    <sheetView view="pageBreakPreview" zoomScaleNormal="100" zoomScaleSheetLayoutView="100" workbookViewId="0">
      <selection activeCell="D41" sqref="D41:E41"/>
    </sheetView>
  </sheetViews>
  <sheetFormatPr defaultColWidth="9.140625" defaultRowHeight="12" x14ac:dyDescent="0.2"/>
  <cols>
    <col min="1" max="1" width="19.28515625" style="127" customWidth="1"/>
    <col min="2" max="2" width="17" style="127" bestFit="1" customWidth="1"/>
    <col min="3" max="3" width="21.85546875" style="127" bestFit="1" customWidth="1"/>
    <col min="4" max="4" width="8" style="127" bestFit="1" customWidth="1"/>
    <col min="5" max="5" width="11.140625" style="127" bestFit="1" customWidth="1"/>
    <col min="6" max="6" width="8" style="127" bestFit="1" customWidth="1"/>
    <col min="7" max="7" width="9.85546875" style="127" bestFit="1" customWidth="1"/>
    <col min="8" max="8" width="9.140625" style="127"/>
    <col min="9" max="9" width="9.140625" style="128" bestFit="1" customWidth="1"/>
    <col min="10" max="10" width="10.7109375" style="128" bestFit="1" customWidth="1"/>
    <col min="11" max="11" width="14.28515625" style="128" bestFit="1" customWidth="1"/>
    <col min="12" max="12" width="9.85546875" style="128" bestFit="1" customWidth="1"/>
    <col min="13" max="13" width="12.7109375" style="129" bestFit="1" customWidth="1"/>
    <col min="14" max="14" width="10.7109375" style="129" bestFit="1" customWidth="1"/>
    <col min="15" max="15" width="9.140625" style="129" bestFit="1" customWidth="1"/>
    <col min="16" max="16" width="9.140625" style="127"/>
    <col min="17" max="18" width="12" style="219" bestFit="1" customWidth="1"/>
    <col min="19" max="16384" width="9.140625" style="127"/>
  </cols>
  <sheetData>
    <row r="1" spans="1:18" x14ac:dyDescent="0.2">
      <c r="A1" s="173" t="s">
        <v>60</v>
      </c>
      <c r="B1" s="170"/>
      <c r="C1" s="169"/>
      <c r="E1" s="126"/>
      <c r="F1" s="169"/>
      <c r="G1" s="169"/>
    </row>
    <row r="2" spans="1:18" x14ac:dyDescent="0.2">
      <c r="A2" s="173" t="s">
        <v>130</v>
      </c>
      <c r="B2" s="170"/>
      <c r="C2" s="169"/>
      <c r="E2" s="130"/>
      <c r="F2" s="169"/>
      <c r="G2" s="169"/>
    </row>
    <row r="3" spans="1:18" x14ac:dyDescent="0.2">
      <c r="A3" s="173"/>
      <c r="B3" s="170"/>
      <c r="C3" s="169"/>
      <c r="E3" s="130"/>
      <c r="F3" s="169"/>
      <c r="G3" s="169"/>
    </row>
    <row r="4" spans="1:18" x14ac:dyDescent="0.2">
      <c r="A4" s="174"/>
      <c r="B4" s="170"/>
      <c r="C4" s="169"/>
      <c r="E4" s="130"/>
      <c r="F4" s="169"/>
      <c r="G4" s="169"/>
    </row>
    <row r="5" spans="1:18" x14ac:dyDescent="0.2">
      <c r="A5" s="169"/>
      <c r="B5" s="175" t="s">
        <v>64</v>
      </c>
      <c r="C5" s="170" t="s">
        <v>52</v>
      </c>
      <c r="D5" s="176"/>
      <c r="E5" s="131"/>
      <c r="F5" s="230" t="s">
        <v>116</v>
      </c>
      <c r="G5" s="230"/>
    </row>
    <row r="6" spans="1:18" ht="14.25" x14ac:dyDescent="0.35">
      <c r="A6" s="177" t="s">
        <v>65</v>
      </c>
      <c r="B6" s="178" t="s">
        <v>66</v>
      </c>
      <c r="C6" s="178" t="s">
        <v>67</v>
      </c>
      <c r="D6" s="179" t="s">
        <v>61</v>
      </c>
      <c r="E6" s="132" t="s">
        <v>68</v>
      </c>
      <c r="F6" s="178" t="s">
        <v>61</v>
      </c>
      <c r="G6" s="178" t="s">
        <v>68</v>
      </c>
      <c r="H6" s="133"/>
      <c r="I6" s="134" t="s">
        <v>54</v>
      </c>
      <c r="J6" s="134" t="s">
        <v>113</v>
      </c>
      <c r="K6" s="134" t="s">
        <v>86</v>
      </c>
      <c r="L6" s="134" t="s">
        <v>1</v>
      </c>
      <c r="M6" s="135" t="s">
        <v>87</v>
      </c>
      <c r="N6" s="136"/>
      <c r="O6" s="136"/>
      <c r="P6" s="127" t="s">
        <v>169</v>
      </c>
    </row>
    <row r="7" spans="1:18" x14ac:dyDescent="0.2">
      <c r="A7" s="169"/>
      <c r="B7" s="170"/>
      <c r="C7" s="169"/>
      <c r="E7" s="130"/>
      <c r="F7" s="169"/>
      <c r="G7" s="169"/>
    </row>
    <row r="8" spans="1:18" x14ac:dyDescent="0.2">
      <c r="A8" s="180" t="s">
        <v>50</v>
      </c>
      <c r="B8" s="181"/>
      <c r="C8" s="180" t="s">
        <v>69</v>
      </c>
      <c r="D8" s="138"/>
      <c r="E8" s="139">
        <v>163544</v>
      </c>
      <c r="F8" s="140"/>
      <c r="G8" s="141"/>
      <c r="I8" s="128">
        <f>+E8</f>
        <v>163544</v>
      </c>
      <c r="N8" s="129">
        <f>SUM(I8:M8)</f>
        <v>163544</v>
      </c>
    </row>
    <row r="9" spans="1:18" x14ac:dyDescent="0.2">
      <c r="A9" s="180"/>
      <c r="B9" s="181"/>
      <c r="C9" s="180"/>
      <c r="D9" s="138"/>
      <c r="E9" s="139"/>
      <c r="F9" s="140"/>
      <c r="G9" s="141"/>
    </row>
    <row r="10" spans="1:18" x14ac:dyDescent="0.2">
      <c r="A10" s="180"/>
      <c r="B10" s="181"/>
      <c r="C10" s="180"/>
      <c r="D10" s="138"/>
      <c r="E10" s="139"/>
      <c r="F10" s="140"/>
      <c r="G10" s="141"/>
    </row>
    <row r="11" spans="1:18" x14ac:dyDescent="0.2">
      <c r="A11" s="180" t="s">
        <v>131</v>
      </c>
      <c r="B11" s="182" t="s">
        <v>42</v>
      </c>
      <c r="C11" s="180" t="s">
        <v>85</v>
      </c>
      <c r="D11" s="138">
        <v>5695</v>
      </c>
      <c r="E11" s="142">
        <v>462</v>
      </c>
      <c r="F11" s="151"/>
      <c r="G11" s="231"/>
      <c r="J11" s="128">
        <f>E11</f>
        <v>462</v>
      </c>
      <c r="N11" s="129">
        <f>SUM(I11:M11)</f>
        <v>462</v>
      </c>
      <c r="O11" s="129">
        <f>+N11-E11</f>
        <v>0</v>
      </c>
      <c r="P11" s="127" t="s">
        <v>168</v>
      </c>
    </row>
    <row r="12" spans="1:18" x14ac:dyDescent="0.2">
      <c r="A12" s="180"/>
      <c r="B12" s="182" t="s">
        <v>42</v>
      </c>
      <c r="C12" s="180" t="s">
        <v>77</v>
      </c>
      <c r="D12" s="138">
        <v>2599</v>
      </c>
      <c r="E12" s="139">
        <v>282</v>
      </c>
      <c r="F12" s="151"/>
      <c r="G12" s="141"/>
      <c r="J12" s="128">
        <f>E12</f>
        <v>282</v>
      </c>
      <c r="N12" s="129">
        <f>SUM(I12:M12)</f>
        <v>282</v>
      </c>
      <c r="O12" s="129">
        <f>+N12-E12</f>
        <v>0</v>
      </c>
    </row>
    <row r="13" spans="1:18" x14ac:dyDescent="0.2">
      <c r="A13" s="180"/>
      <c r="B13" s="182" t="s">
        <v>1</v>
      </c>
      <c r="C13" s="180" t="s">
        <v>112</v>
      </c>
      <c r="D13" s="143" t="s">
        <v>78</v>
      </c>
      <c r="E13" s="142">
        <f>0</f>
        <v>0</v>
      </c>
      <c r="F13" s="151"/>
      <c r="G13" s="231"/>
      <c r="H13" s="184"/>
      <c r="I13" s="144"/>
      <c r="K13" s="144"/>
      <c r="L13" s="144">
        <f>E13</f>
        <v>0</v>
      </c>
      <c r="M13" s="145"/>
      <c r="N13" s="129">
        <f>SUM(I13:M13)</f>
        <v>0</v>
      </c>
      <c r="O13" s="129">
        <f>+N13-E13</f>
        <v>0</v>
      </c>
    </row>
    <row r="14" spans="1:18" x14ac:dyDescent="0.2">
      <c r="A14" s="180"/>
      <c r="B14" s="185"/>
      <c r="C14" s="180"/>
      <c r="D14" s="146">
        <f>SUM(D11:D12)</f>
        <v>8294</v>
      </c>
      <c r="E14" s="147">
        <f>SUM(E11:E13)</f>
        <v>744</v>
      </c>
      <c r="F14" s="140"/>
      <c r="G14" s="141"/>
      <c r="H14" s="184"/>
      <c r="I14" s="144"/>
      <c r="K14" s="144"/>
      <c r="L14" s="144"/>
      <c r="M14" s="145"/>
    </row>
    <row r="15" spans="1:18" x14ac:dyDescent="0.2">
      <c r="A15" s="180"/>
      <c r="B15" s="185"/>
      <c r="C15" s="180"/>
      <c r="D15" s="149"/>
      <c r="E15" s="150"/>
      <c r="F15" s="151"/>
      <c r="G15" s="152"/>
      <c r="H15" s="184"/>
      <c r="I15" s="144"/>
      <c r="K15" s="144"/>
      <c r="L15" s="144"/>
      <c r="M15" s="145"/>
    </row>
    <row r="16" spans="1:18" x14ac:dyDescent="0.2">
      <c r="A16" s="180" t="s">
        <v>132</v>
      </c>
      <c r="B16" s="185" t="s">
        <v>42</v>
      </c>
      <c r="C16" s="180" t="s">
        <v>85</v>
      </c>
      <c r="D16" s="138">
        <v>2211</v>
      </c>
      <c r="E16" s="142">
        <v>57657</v>
      </c>
      <c r="F16" s="140"/>
      <c r="G16" s="231"/>
      <c r="H16" s="184"/>
      <c r="I16" s="144"/>
      <c r="J16" s="128">
        <f>E16</f>
        <v>57657</v>
      </c>
      <c r="K16" s="144"/>
      <c r="L16" s="144"/>
      <c r="M16" s="145"/>
      <c r="N16" s="129">
        <f>SUM(I16:M16)</f>
        <v>57657</v>
      </c>
      <c r="O16" s="129">
        <f>+N16-E16</f>
        <v>0</v>
      </c>
      <c r="P16" s="218">
        <f>D16/SUM(D16:D17)</f>
        <v>0.85169491525423724</v>
      </c>
      <c r="Q16" s="219">
        <v>67832.37</v>
      </c>
      <c r="R16" s="219">
        <f>Q16*0.85</f>
        <v>57657.514499999997</v>
      </c>
    </row>
    <row r="17" spans="1:18" x14ac:dyDescent="0.2">
      <c r="A17" s="180"/>
      <c r="B17" s="185" t="s">
        <v>42</v>
      </c>
      <c r="C17" s="180" t="s">
        <v>77</v>
      </c>
      <c r="D17" s="138">
        <v>385</v>
      </c>
      <c r="E17" s="142">
        <v>10175</v>
      </c>
      <c r="F17" s="151"/>
      <c r="G17" s="231"/>
      <c r="H17" s="184"/>
      <c r="I17" s="144"/>
      <c r="J17" s="128">
        <f>E17</f>
        <v>10175</v>
      </c>
      <c r="K17" s="144"/>
      <c r="L17" s="144"/>
      <c r="M17" s="145"/>
      <c r="N17" s="129">
        <f>SUM(I17:M17)</f>
        <v>10175</v>
      </c>
      <c r="O17" s="129">
        <f>+N17-E17</f>
        <v>0</v>
      </c>
      <c r="P17" s="218">
        <f>1-P16</f>
        <v>0.14830508474576276</v>
      </c>
      <c r="Q17" s="219">
        <f>Q16</f>
        <v>67832.37</v>
      </c>
      <c r="R17" s="219">
        <f>Q17*0.15</f>
        <v>10174.8555</v>
      </c>
    </row>
    <row r="18" spans="1:18" x14ac:dyDescent="0.2">
      <c r="A18" s="180"/>
      <c r="B18" s="182" t="s">
        <v>1</v>
      </c>
      <c r="C18" s="180" t="s">
        <v>133</v>
      </c>
      <c r="D18" s="143" t="s">
        <v>78</v>
      </c>
      <c r="E18" s="153">
        <f>C18*1591.35</f>
        <v>19096.199999999997</v>
      </c>
      <c r="F18" s="151"/>
      <c r="G18" s="152"/>
      <c r="H18" s="184"/>
      <c r="I18" s="144"/>
      <c r="J18" s="144"/>
      <c r="K18" s="144"/>
      <c r="L18" s="144">
        <f>E18</f>
        <v>19096.199999999997</v>
      </c>
      <c r="M18" s="145"/>
      <c r="N18" s="129">
        <f>SUM(I18:M18)</f>
        <v>19096.199999999997</v>
      </c>
      <c r="O18" s="129">
        <f>+N18-E18</f>
        <v>0</v>
      </c>
    </row>
    <row r="19" spans="1:18" x14ac:dyDescent="0.2">
      <c r="A19" s="180"/>
      <c r="D19" s="146">
        <f>SUM(D16:D16)</f>
        <v>2211</v>
      </c>
      <c r="E19" s="147">
        <f>SUM(E16:E18)</f>
        <v>86928.2</v>
      </c>
      <c r="F19" s="140"/>
      <c r="G19" s="141"/>
      <c r="H19" s="184"/>
      <c r="I19" s="144"/>
      <c r="J19" s="144"/>
      <c r="K19" s="144"/>
      <c r="L19" s="144"/>
      <c r="M19" s="145"/>
    </row>
    <row r="20" spans="1:18" x14ac:dyDescent="0.2">
      <c r="A20" s="180"/>
      <c r="B20" s="185"/>
      <c r="C20" s="180"/>
      <c r="D20" s="154"/>
      <c r="E20" s="153"/>
      <c r="F20" s="140"/>
      <c r="G20" s="152"/>
      <c r="H20" s="184"/>
      <c r="I20" s="144"/>
      <c r="J20" s="144"/>
      <c r="K20" s="144"/>
      <c r="L20" s="144"/>
      <c r="M20" s="145"/>
    </row>
    <row r="21" spans="1:18" x14ac:dyDescent="0.2">
      <c r="A21" s="180" t="s">
        <v>134</v>
      </c>
      <c r="B21" s="185" t="s">
        <v>42</v>
      </c>
      <c r="C21" s="180" t="s">
        <v>77</v>
      </c>
      <c r="D21" s="138">
        <v>26944</v>
      </c>
      <c r="E21" s="139">
        <v>956174.74</v>
      </c>
      <c r="F21" s="140"/>
      <c r="G21" s="141"/>
      <c r="H21" s="184"/>
      <c r="I21" s="144"/>
      <c r="J21" s="128">
        <f>E21</f>
        <v>956174.74</v>
      </c>
      <c r="K21" s="144"/>
      <c r="L21" s="144"/>
      <c r="M21" s="145"/>
      <c r="N21" s="129">
        <f>SUM(I21:M21)</f>
        <v>956174.74</v>
      </c>
      <c r="O21" s="129">
        <f>+N21-E21</f>
        <v>0</v>
      </c>
    </row>
    <row r="22" spans="1:18" x14ac:dyDescent="0.2">
      <c r="A22" s="180"/>
      <c r="B22" s="182" t="s">
        <v>1</v>
      </c>
      <c r="C22" s="180" t="s">
        <v>135</v>
      </c>
      <c r="D22" s="143" t="s">
        <v>78</v>
      </c>
      <c r="E22" s="150">
        <f>C22*1591.35</f>
        <v>416933.69999999995</v>
      </c>
      <c r="F22" s="151"/>
      <c r="G22" s="152"/>
      <c r="H22" s="184"/>
      <c r="I22" s="144"/>
      <c r="K22" s="144"/>
      <c r="L22" s="144">
        <f>E22</f>
        <v>416933.69999999995</v>
      </c>
      <c r="M22" s="145"/>
      <c r="N22" s="129">
        <f>SUM(I22:M22)</f>
        <v>416933.69999999995</v>
      </c>
      <c r="O22" s="129">
        <f>+N22-E22</f>
        <v>0</v>
      </c>
    </row>
    <row r="23" spans="1:18" x14ac:dyDescent="0.2">
      <c r="A23" s="180"/>
      <c r="C23" s="180"/>
      <c r="D23" s="146">
        <f>SUM(D21:D21)</f>
        <v>26944</v>
      </c>
      <c r="E23" s="147">
        <f>SUM(E21:E22)</f>
        <v>1373108.44</v>
      </c>
      <c r="F23" s="140"/>
      <c r="G23" s="141"/>
      <c r="H23" s="184"/>
      <c r="I23" s="144"/>
      <c r="J23" s="144"/>
      <c r="K23" s="144"/>
      <c r="L23" s="144"/>
      <c r="M23" s="145"/>
    </row>
    <row r="24" spans="1:18" x14ac:dyDescent="0.2">
      <c r="A24" s="180"/>
      <c r="B24" s="185"/>
      <c r="C24" s="180"/>
      <c r="D24" s="149"/>
      <c r="E24" s="150"/>
      <c r="F24" s="151"/>
      <c r="G24" s="152"/>
      <c r="H24" s="184"/>
      <c r="I24" s="144"/>
      <c r="J24" s="144"/>
      <c r="K24" s="144"/>
      <c r="L24" s="144"/>
      <c r="M24" s="145"/>
    </row>
    <row r="25" spans="1:18" x14ac:dyDescent="0.2">
      <c r="A25" s="180" t="s">
        <v>136</v>
      </c>
      <c r="B25" s="182" t="s">
        <v>42</v>
      </c>
      <c r="C25" s="180" t="s">
        <v>85</v>
      </c>
      <c r="D25" s="155"/>
      <c r="E25" s="142">
        <v>1699</v>
      </c>
      <c r="F25" s="151"/>
      <c r="G25" s="231"/>
      <c r="H25" s="184"/>
      <c r="I25" s="144"/>
      <c r="J25" s="144">
        <f>E25</f>
        <v>1699</v>
      </c>
      <c r="K25" s="144"/>
      <c r="L25" s="144"/>
      <c r="M25" s="145"/>
      <c r="N25" s="129">
        <f>SUM(I25:M25)</f>
        <v>1699</v>
      </c>
      <c r="O25" s="129">
        <f>+N25-E25</f>
        <v>0</v>
      </c>
      <c r="P25" s="218">
        <v>0.5</v>
      </c>
      <c r="Q25" s="219">
        <v>3397.63</v>
      </c>
      <c r="R25" s="219">
        <f>Q25*0.5</f>
        <v>1698.8150000000001</v>
      </c>
    </row>
    <row r="26" spans="1:18" x14ac:dyDescent="0.2">
      <c r="A26" s="180"/>
      <c r="B26" s="182" t="s">
        <v>42</v>
      </c>
      <c r="C26" s="180" t="s">
        <v>77</v>
      </c>
      <c r="D26" s="155">
        <v>1457</v>
      </c>
      <c r="E26" s="142">
        <v>1699</v>
      </c>
      <c r="F26" s="151"/>
      <c r="G26" s="231"/>
      <c r="H26" s="184"/>
      <c r="I26" s="144"/>
      <c r="J26" s="144">
        <f>E26</f>
        <v>1699</v>
      </c>
      <c r="K26" s="144"/>
      <c r="L26" s="144"/>
      <c r="M26" s="145"/>
      <c r="N26" s="129">
        <f>SUM(I26:M26)</f>
        <v>1699</v>
      </c>
      <c r="O26" s="129">
        <f>+N26-E26</f>
        <v>0</v>
      </c>
      <c r="P26" s="218">
        <v>0.5</v>
      </c>
      <c r="Q26" s="219">
        <f>Q25</f>
        <v>3397.63</v>
      </c>
      <c r="R26" s="219">
        <f>Q26*0.5</f>
        <v>1698.8150000000001</v>
      </c>
    </row>
    <row r="27" spans="1:18" x14ac:dyDescent="0.2">
      <c r="A27" s="180"/>
      <c r="B27" s="182" t="s">
        <v>1</v>
      </c>
      <c r="C27" s="180" t="s">
        <v>137</v>
      </c>
      <c r="D27" s="143" t="s">
        <v>83</v>
      </c>
      <c r="E27" s="150">
        <f>C27*1591.35</f>
        <v>15913.5</v>
      </c>
      <c r="F27" s="151"/>
      <c r="G27" s="152"/>
      <c r="H27" s="184"/>
      <c r="I27" s="144"/>
      <c r="J27" s="144"/>
      <c r="K27" s="144"/>
      <c r="L27" s="144">
        <f>E27</f>
        <v>15913.5</v>
      </c>
      <c r="M27" s="145"/>
      <c r="N27" s="129">
        <f>SUM(I27:M27)</f>
        <v>15913.5</v>
      </c>
      <c r="O27" s="129">
        <f>+N27-E27</f>
        <v>0</v>
      </c>
    </row>
    <row r="28" spans="1:18" x14ac:dyDescent="0.2">
      <c r="A28" s="180"/>
      <c r="B28" s="182"/>
      <c r="C28" s="180"/>
      <c r="D28" s="146">
        <f>SUM(D25:D25)</f>
        <v>0</v>
      </c>
      <c r="E28" s="147">
        <f>SUM(E25:E27)</f>
        <v>19311.5</v>
      </c>
      <c r="F28" s="140"/>
      <c r="G28" s="141"/>
      <c r="H28" s="184"/>
      <c r="I28" s="144"/>
      <c r="J28" s="144"/>
      <c r="K28" s="144"/>
      <c r="L28" s="144"/>
      <c r="M28" s="145"/>
    </row>
    <row r="29" spans="1:18" x14ac:dyDescent="0.2">
      <c r="A29" s="180"/>
      <c r="B29" s="185"/>
      <c r="C29" s="180"/>
      <c r="D29" s="149"/>
      <c r="E29" s="150"/>
      <c r="F29" s="151"/>
      <c r="G29" s="152"/>
      <c r="H29" s="184"/>
      <c r="I29" s="144"/>
      <c r="J29" s="144"/>
      <c r="K29" s="144"/>
      <c r="L29" s="144"/>
      <c r="M29" s="145"/>
    </row>
    <row r="30" spans="1:18" x14ac:dyDescent="0.2">
      <c r="A30" s="180" t="s">
        <v>138</v>
      </c>
      <c r="B30" s="182" t="s">
        <v>42</v>
      </c>
      <c r="C30" s="180" t="s">
        <v>85</v>
      </c>
      <c r="D30" s="138">
        <v>3637</v>
      </c>
      <c r="E30" s="142">
        <v>165032</v>
      </c>
      <c r="F30" s="140"/>
      <c r="G30" s="231"/>
      <c r="H30" s="184"/>
      <c r="I30" s="144"/>
      <c r="J30" s="144">
        <f>E30</f>
        <v>165032</v>
      </c>
      <c r="K30" s="144"/>
      <c r="L30" s="144"/>
      <c r="M30" s="145"/>
      <c r="N30" s="129">
        <f>SUM(I30:M30)</f>
        <v>165032</v>
      </c>
      <c r="O30" s="129">
        <f>+N30-E30</f>
        <v>0</v>
      </c>
      <c r="P30" s="218">
        <f>D30/SUM(D30:D31)</f>
        <v>0.25884278699024982</v>
      </c>
      <c r="Q30" s="219">
        <v>634738.25</v>
      </c>
      <c r="R30" s="219">
        <f>Q30*0.26</f>
        <v>165031.94500000001</v>
      </c>
    </row>
    <row r="31" spans="1:18" x14ac:dyDescent="0.2">
      <c r="A31" s="180"/>
      <c r="B31" s="182" t="s">
        <v>42</v>
      </c>
      <c r="C31" s="180" t="s">
        <v>77</v>
      </c>
      <c r="D31" s="138">
        <v>10414</v>
      </c>
      <c r="E31" s="139">
        <v>469706</v>
      </c>
      <c r="F31" s="140"/>
      <c r="G31" s="141"/>
      <c r="H31" s="184"/>
      <c r="I31" s="144"/>
      <c r="J31" s="144">
        <f>E31</f>
        <v>469706</v>
      </c>
      <c r="K31" s="144"/>
      <c r="L31" s="144"/>
      <c r="M31" s="145"/>
      <c r="N31" s="129">
        <f>SUM(I31:M31)</f>
        <v>469706</v>
      </c>
      <c r="O31" s="129">
        <f>+N31-E31</f>
        <v>0</v>
      </c>
      <c r="P31" s="218">
        <f>1-P30</f>
        <v>0.74115721300975013</v>
      </c>
      <c r="Q31" s="219">
        <f>Q30</f>
        <v>634738.25</v>
      </c>
      <c r="R31" s="219">
        <f>Q31*0.74</f>
        <v>469706.30499999999</v>
      </c>
    </row>
    <row r="32" spans="1:18" x14ac:dyDescent="0.2">
      <c r="A32" s="180"/>
      <c r="B32" s="182" t="s">
        <v>1</v>
      </c>
      <c r="C32" s="180" t="s">
        <v>139</v>
      </c>
      <c r="D32" s="143" t="s">
        <v>83</v>
      </c>
      <c r="E32" s="150">
        <f>C32*1591.35</f>
        <v>6365.4</v>
      </c>
      <c r="F32" s="151"/>
      <c r="G32" s="152"/>
      <c r="H32" s="184"/>
      <c r="I32" s="144"/>
      <c r="J32" s="144"/>
      <c r="K32" s="144"/>
      <c r="L32" s="144">
        <f>E32</f>
        <v>6365.4</v>
      </c>
      <c r="M32" s="145"/>
      <c r="N32" s="129">
        <f>SUM(I32:M32)</f>
        <v>6365.4</v>
      </c>
      <c r="O32" s="129">
        <f>+N32-E32</f>
        <v>0</v>
      </c>
    </row>
    <row r="33" spans="1:18" x14ac:dyDescent="0.2">
      <c r="A33" s="180"/>
      <c r="B33" s="185"/>
      <c r="C33" s="180"/>
      <c r="D33" s="146">
        <f>SUM(D30:D31)</f>
        <v>14051</v>
      </c>
      <c r="E33" s="147">
        <f>SUM(E30:E32)</f>
        <v>641103.4</v>
      </c>
      <c r="F33" s="140"/>
      <c r="G33" s="141"/>
      <c r="H33" s="184"/>
      <c r="I33" s="144"/>
      <c r="J33" s="144"/>
      <c r="K33" s="144"/>
      <c r="L33" s="144"/>
      <c r="M33" s="145"/>
    </row>
    <row r="34" spans="1:18" x14ac:dyDescent="0.2">
      <c r="A34" s="180"/>
      <c r="B34" s="185"/>
      <c r="C34" s="180"/>
      <c r="D34" s="149"/>
      <c r="E34" s="150"/>
      <c r="F34" s="151"/>
      <c r="G34" s="152"/>
      <c r="H34" s="184"/>
      <c r="I34" s="144"/>
      <c r="J34" s="144"/>
      <c r="K34" s="144"/>
      <c r="L34" s="144"/>
      <c r="M34" s="145"/>
    </row>
    <row r="35" spans="1:18" x14ac:dyDescent="0.2">
      <c r="A35" s="180" t="s">
        <v>140</v>
      </c>
      <c r="B35" s="182" t="s">
        <v>42</v>
      </c>
      <c r="C35" s="180" t="s">
        <v>77</v>
      </c>
      <c r="D35" s="138">
        <v>470</v>
      </c>
      <c r="E35" s="139">
        <v>23732.28</v>
      </c>
      <c r="F35" s="140"/>
      <c r="G35" s="141"/>
      <c r="H35" s="184"/>
      <c r="I35" s="144"/>
      <c r="J35" s="144">
        <f>E35</f>
        <v>23732.28</v>
      </c>
      <c r="K35" s="144"/>
      <c r="L35" s="144"/>
      <c r="M35" s="145"/>
      <c r="N35" s="129">
        <f>SUM(I35:M35)</f>
        <v>23732.28</v>
      </c>
      <c r="O35" s="129">
        <f>+N35-E35</f>
        <v>0</v>
      </c>
    </row>
    <row r="36" spans="1:18" x14ac:dyDescent="0.2">
      <c r="A36" s="180"/>
      <c r="B36" s="182" t="s">
        <v>1</v>
      </c>
      <c r="C36" s="180" t="s">
        <v>112</v>
      </c>
      <c r="D36" s="143" t="s">
        <v>78</v>
      </c>
      <c r="E36" s="150">
        <f>C36*1500</f>
        <v>0</v>
      </c>
      <c r="F36" s="151"/>
      <c r="G36" s="152"/>
      <c r="H36" s="184"/>
      <c r="I36" s="144"/>
      <c r="J36" s="144"/>
      <c r="K36" s="144"/>
      <c r="L36" s="144">
        <f>E36</f>
        <v>0</v>
      </c>
      <c r="M36" s="145"/>
      <c r="N36" s="129">
        <f>SUM(I36:M36)</f>
        <v>0</v>
      </c>
      <c r="O36" s="129">
        <f>+N36-E36</f>
        <v>0</v>
      </c>
    </row>
    <row r="37" spans="1:18" x14ac:dyDescent="0.2">
      <c r="A37" s="180"/>
      <c r="B37" s="182"/>
      <c r="C37" s="180"/>
      <c r="D37" s="146">
        <f>SUM(D35)</f>
        <v>470</v>
      </c>
      <c r="E37" s="147">
        <f>SUM(E35:E36)</f>
        <v>23732.28</v>
      </c>
      <c r="F37" s="140"/>
      <c r="G37" s="141"/>
      <c r="H37" s="184"/>
      <c r="I37" s="144"/>
      <c r="J37" s="144"/>
      <c r="K37" s="144"/>
      <c r="L37" s="144"/>
      <c r="M37" s="145"/>
    </row>
    <row r="38" spans="1:18" x14ac:dyDescent="0.2">
      <c r="A38" s="180"/>
      <c r="B38" s="185"/>
      <c r="C38" s="180"/>
      <c r="D38" s="138"/>
      <c r="E38" s="150"/>
      <c r="F38" s="140"/>
      <c r="G38" s="152"/>
      <c r="H38" s="184"/>
      <c r="I38" s="144"/>
      <c r="J38" s="144"/>
      <c r="K38" s="144"/>
      <c r="L38" s="144"/>
      <c r="M38" s="145"/>
    </row>
    <row r="39" spans="1:18" x14ac:dyDescent="0.2">
      <c r="A39" s="180" t="s">
        <v>141</v>
      </c>
      <c r="B39" s="182" t="s">
        <v>42</v>
      </c>
      <c r="C39" s="180" t="s">
        <v>142</v>
      </c>
      <c r="D39" s="138">
        <v>1217</v>
      </c>
      <c r="E39" s="142">
        <v>78014</v>
      </c>
      <c r="F39" s="140"/>
      <c r="G39" s="231"/>
      <c r="H39" s="184"/>
      <c r="I39" s="144"/>
      <c r="J39" s="144">
        <f>E39</f>
        <v>78014</v>
      </c>
      <c r="K39" s="144"/>
      <c r="L39" s="144"/>
      <c r="M39" s="145"/>
      <c r="N39" s="129">
        <f>SUM(I39:M39)</f>
        <v>78014</v>
      </c>
      <c r="O39" s="129">
        <f>+N39-E39</f>
        <v>0</v>
      </c>
      <c r="P39" s="218">
        <f>D39/SUM(D39:D40)</f>
        <v>0.98383185125303152</v>
      </c>
      <c r="Q39" s="219">
        <v>79606</v>
      </c>
      <c r="R39" s="219">
        <f>Q39*0.98</f>
        <v>78013.88</v>
      </c>
    </row>
    <row r="40" spans="1:18" x14ac:dyDescent="0.2">
      <c r="A40" s="180"/>
      <c r="B40" s="182" t="s">
        <v>42</v>
      </c>
      <c r="C40" s="180" t="s">
        <v>143</v>
      </c>
      <c r="D40" s="138">
        <v>20</v>
      </c>
      <c r="E40" s="150">
        <v>1592</v>
      </c>
      <c r="F40" s="140"/>
      <c r="G40" s="152"/>
      <c r="H40" s="184"/>
      <c r="I40" s="144"/>
      <c r="J40" s="144">
        <f>E40</f>
        <v>1592</v>
      </c>
      <c r="K40" s="144"/>
      <c r="L40" s="144"/>
      <c r="M40" s="145"/>
      <c r="N40" s="129">
        <f>SUM(I40:M40)</f>
        <v>1592</v>
      </c>
      <c r="O40" s="129">
        <f>+N40-E40</f>
        <v>0</v>
      </c>
      <c r="P40" s="218">
        <v>0.02</v>
      </c>
      <c r="Q40" s="219">
        <f>Q39</f>
        <v>79606</v>
      </c>
      <c r="R40" s="219">
        <f>Q40*0.02</f>
        <v>1592.1200000000001</v>
      </c>
    </row>
    <row r="41" spans="1:18" x14ac:dyDescent="0.2">
      <c r="A41" s="180"/>
      <c r="B41" s="182" t="s">
        <v>1</v>
      </c>
      <c r="C41" s="180" t="s">
        <v>111</v>
      </c>
      <c r="D41" s="143" t="s">
        <v>78</v>
      </c>
      <c r="E41" s="150">
        <f>C41*1591.35</f>
        <v>3182.7</v>
      </c>
      <c r="F41" s="151"/>
      <c r="G41" s="152"/>
      <c r="H41" s="184"/>
      <c r="I41" s="144"/>
      <c r="J41" s="144"/>
      <c r="K41" s="144"/>
      <c r="L41" s="144">
        <f>E41</f>
        <v>3182.7</v>
      </c>
      <c r="M41" s="145"/>
      <c r="N41" s="129">
        <f>SUM(I41:M41)</f>
        <v>3182.7</v>
      </c>
      <c r="O41" s="129">
        <f>+N41-E41</f>
        <v>0</v>
      </c>
    </row>
    <row r="42" spans="1:18" x14ac:dyDescent="0.2">
      <c r="A42" s="180"/>
      <c r="B42" s="182"/>
      <c r="C42" s="180"/>
      <c r="D42" s="146">
        <f>SUM(D39:D40)</f>
        <v>1237</v>
      </c>
      <c r="E42" s="147">
        <f>SUM(E39:E41)</f>
        <v>82788.7</v>
      </c>
      <c r="F42" s="140"/>
      <c r="G42" s="141"/>
      <c r="H42" s="184"/>
      <c r="I42" s="144"/>
      <c r="J42" s="144"/>
      <c r="K42" s="144"/>
      <c r="L42" s="144"/>
      <c r="M42" s="145"/>
    </row>
    <row r="43" spans="1:18" x14ac:dyDescent="0.2">
      <c r="A43" s="180"/>
      <c r="B43" s="185"/>
      <c r="C43" s="180"/>
      <c r="D43" s="149"/>
      <c r="E43" s="150"/>
      <c r="F43" s="151"/>
      <c r="G43" s="152"/>
      <c r="H43" s="184"/>
      <c r="I43" s="144"/>
      <c r="J43" s="144"/>
      <c r="K43" s="144"/>
      <c r="L43" s="144"/>
      <c r="M43" s="145"/>
    </row>
    <row r="44" spans="1:18" x14ac:dyDescent="0.2">
      <c r="A44" s="180" t="s">
        <v>144</v>
      </c>
      <c r="B44" s="182" t="s">
        <v>42</v>
      </c>
      <c r="C44" s="180" t="s">
        <v>142</v>
      </c>
      <c r="D44" s="138">
        <v>580</v>
      </c>
      <c r="E44" s="142">
        <v>71453.22</v>
      </c>
      <c r="F44" s="140"/>
      <c r="G44" s="231"/>
      <c r="H44" s="184"/>
      <c r="I44" s="144"/>
      <c r="J44" s="144">
        <f>E44</f>
        <v>71453.22</v>
      </c>
      <c r="K44" s="144"/>
      <c r="L44" s="144"/>
      <c r="M44" s="145"/>
      <c r="N44" s="129">
        <f>SUM(I44:M44)</f>
        <v>71453.22</v>
      </c>
      <c r="O44" s="129">
        <f>+N44-E44</f>
        <v>0</v>
      </c>
    </row>
    <row r="45" spans="1:18" x14ac:dyDescent="0.2">
      <c r="A45" s="180"/>
      <c r="B45" s="182" t="s">
        <v>1</v>
      </c>
      <c r="C45" s="180" t="s">
        <v>84</v>
      </c>
      <c r="D45" s="149" t="s">
        <v>78</v>
      </c>
      <c r="E45" s="150">
        <f>C45*1591.35</f>
        <v>1591.35</v>
      </c>
      <c r="F45" s="151"/>
      <c r="G45" s="152"/>
      <c r="H45" s="184"/>
      <c r="I45" s="144"/>
      <c r="J45" s="144"/>
      <c r="K45" s="144"/>
      <c r="L45" s="144">
        <f>E45</f>
        <v>1591.35</v>
      </c>
      <c r="M45" s="145"/>
      <c r="N45" s="129">
        <f>SUM(I45:M45)</f>
        <v>1591.35</v>
      </c>
      <c r="O45" s="129">
        <f>+N45-E45</f>
        <v>0</v>
      </c>
    </row>
    <row r="46" spans="1:18" x14ac:dyDescent="0.2">
      <c r="A46" s="180"/>
      <c r="B46" s="182"/>
      <c r="C46" s="180"/>
      <c r="D46" s="146">
        <f>SUM(D44:D44)</f>
        <v>580</v>
      </c>
      <c r="E46" s="147">
        <f>SUM(E44:E45)</f>
        <v>73044.570000000007</v>
      </c>
      <c r="F46" s="140"/>
      <c r="G46" s="141"/>
      <c r="H46" s="184"/>
      <c r="I46" s="144"/>
      <c r="J46" s="144"/>
      <c r="K46" s="144"/>
      <c r="L46" s="144"/>
      <c r="M46" s="145"/>
    </row>
    <row r="47" spans="1:18" x14ac:dyDescent="0.2">
      <c r="A47" s="180"/>
      <c r="B47" s="185"/>
      <c r="C47" s="180"/>
      <c r="D47" s="149"/>
      <c r="E47" s="150"/>
      <c r="F47" s="151"/>
      <c r="G47" s="152"/>
      <c r="H47" s="184"/>
      <c r="I47" s="144"/>
      <c r="J47" s="144"/>
      <c r="K47" s="144"/>
      <c r="L47" s="144"/>
      <c r="M47" s="145"/>
    </row>
    <row r="48" spans="1:18" x14ac:dyDescent="0.2">
      <c r="A48" s="180" t="s">
        <v>145</v>
      </c>
      <c r="B48" s="182" t="s">
        <v>42</v>
      </c>
      <c r="C48" s="180" t="s">
        <v>142</v>
      </c>
      <c r="D48" s="138">
        <v>313</v>
      </c>
      <c r="E48" s="142">
        <v>74151.37</v>
      </c>
      <c r="F48" s="140"/>
      <c r="G48" s="231"/>
      <c r="H48" s="184"/>
      <c r="I48" s="144"/>
      <c r="J48" s="144">
        <f>E48</f>
        <v>74151.37</v>
      </c>
      <c r="K48" s="144"/>
      <c r="L48" s="144"/>
      <c r="M48" s="145"/>
      <c r="N48" s="129">
        <f>SUM(I48:M48)</f>
        <v>74151.37</v>
      </c>
      <c r="O48" s="129">
        <f>+N48-E48</f>
        <v>0</v>
      </c>
    </row>
    <row r="49" spans="1:18" x14ac:dyDescent="0.2">
      <c r="A49" s="180"/>
      <c r="B49" s="182" t="s">
        <v>1</v>
      </c>
      <c r="C49" s="180" t="s">
        <v>112</v>
      </c>
      <c r="D49" s="143" t="s">
        <v>78</v>
      </c>
      <c r="E49" s="150">
        <v>0</v>
      </c>
      <c r="F49" s="151"/>
      <c r="G49" s="152"/>
      <c r="H49" s="184"/>
      <c r="I49" s="144"/>
      <c r="J49" s="144"/>
      <c r="K49" s="144"/>
      <c r="L49" s="144">
        <f>E49</f>
        <v>0</v>
      </c>
      <c r="M49" s="145"/>
      <c r="N49" s="129">
        <f>SUM(I49:M49)</f>
        <v>0</v>
      </c>
      <c r="O49" s="129">
        <f>+N49-E49</f>
        <v>0</v>
      </c>
    </row>
    <row r="50" spans="1:18" x14ac:dyDescent="0.2">
      <c r="A50" s="180"/>
      <c r="B50" s="182"/>
      <c r="C50" s="180"/>
      <c r="D50" s="146">
        <f>SUM(D48:D48)</f>
        <v>313</v>
      </c>
      <c r="E50" s="147">
        <f>SUM(E48:E49)</f>
        <v>74151.37</v>
      </c>
      <c r="F50" s="140"/>
      <c r="G50" s="141"/>
      <c r="H50" s="184"/>
      <c r="I50" s="144"/>
      <c r="J50" s="144"/>
      <c r="K50" s="144"/>
      <c r="L50" s="144"/>
      <c r="M50" s="145"/>
    </row>
    <row r="51" spans="1:18" x14ac:dyDescent="0.2">
      <c r="A51" s="180"/>
      <c r="B51" s="182"/>
      <c r="C51" s="180"/>
      <c r="D51" s="156"/>
      <c r="E51" s="157"/>
      <c r="F51" s="140"/>
      <c r="G51" s="141"/>
      <c r="H51" s="184"/>
      <c r="I51" s="144"/>
      <c r="J51" s="144"/>
      <c r="K51" s="144"/>
      <c r="L51" s="144"/>
      <c r="M51" s="145"/>
    </row>
    <row r="52" spans="1:18" x14ac:dyDescent="0.2">
      <c r="A52" s="180" t="s">
        <v>146</v>
      </c>
      <c r="B52" s="182" t="s">
        <v>42</v>
      </c>
      <c r="C52" s="180" t="s">
        <v>142</v>
      </c>
      <c r="D52" s="138">
        <v>500</v>
      </c>
      <c r="E52" s="142">
        <v>34412.74</v>
      </c>
      <c r="F52" s="140"/>
      <c r="G52" s="231"/>
      <c r="H52" s="184"/>
      <c r="I52" s="144"/>
      <c r="J52" s="144">
        <f>E52</f>
        <v>34412.74</v>
      </c>
      <c r="K52" s="144"/>
      <c r="L52" s="144"/>
      <c r="M52" s="145"/>
      <c r="N52" s="129">
        <f>SUM(I52:M52)</f>
        <v>34412.74</v>
      </c>
      <c r="O52" s="129">
        <f>+N52-E52</f>
        <v>0</v>
      </c>
      <c r="P52" s="218">
        <f>D52/SUM(D52:D53)</f>
        <v>3.0625995344848708E-2</v>
      </c>
      <c r="Q52" s="219">
        <v>1147091.47</v>
      </c>
      <c r="R52" s="219">
        <f>Q52*0.03</f>
        <v>34412.744099999996</v>
      </c>
    </row>
    <row r="53" spans="1:18" x14ac:dyDescent="0.2">
      <c r="A53" s="180"/>
      <c r="B53" s="182" t="s">
        <v>42</v>
      </c>
      <c r="C53" s="180" t="s">
        <v>143</v>
      </c>
      <c r="D53" s="138">
        <v>15826</v>
      </c>
      <c r="E53" s="139">
        <v>1112678.73</v>
      </c>
      <c r="F53" s="140"/>
      <c r="G53" s="141"/>
      <c r="H53" s="184"/>
      <c r="I53" s="144"/>
      <c r="J53" s="144">
        <f>E53</f>
        <v>1112678.73</v>
      </c>
      <c r="K53" s="144"/>
      <c r="L53" s="144"/>
      <c r="M53" s="145"/>
      <c r="N53" s="129">
        <f>SUM(I53:M53)</f>
        <v>1112678.73</v>
      </c>
      <c r="O53" s="129">
        <f>+N53-E53</f>
        <v>0</v>
      </c>
      <c r="P53" s="218">
        <f>1-P52</f>
        <v>0.96937400465515133</v>
      </c>
      <c r="Q53" s="219">
        <f>Q52</f>
        <v>1147091.47</v>
      </c>
      <c r="R53" s="219">
        <f>Q53*0.97</f>
        <v>1112678.7259</v>
      </c>
    </row>
    <row r="54" spans="1:18" x14ac:dyDescent="0.2">
      <c r="A54" s="180"/>
      <c r="B54" s="182" t="s">
        <v>1</v>
      </c>
      <c r="C54" s="180" t="s">
        <v>147</v>
      </c>
      <c r="D54" s="143" t="s">
        <v>83</v>
      </c>
      <c r="E54" s="150">
        <f>C54*1591.35</f>
        <v>187779.3</v>
      </c>
      <c r="F54" s="151"/>
      <c r="G54" s="152"/>
      <c r="H54" s="184"/>
      <c r="I54" s="144"/>
      <c r="J54" s="144"/>
      <c r="K54" s="144"/>
      <c r="L54" s="144">
        <f>E54</f>
        <v>187779.3</v>
      </c>
      <c r="M54" s="145"/>
      <c r="N54" s="129">
        <f>SUM(I54:M54)</f>
        <v>187779.3</v>
      </c>
      <c r="O54" s="129">
        <f>+N54-E54</f>
        <v>0</v>
      </c>
    </row>
    <row r="55" spans="1:18" x14ac:dyDescent="0.2">
      <c r="A55" s="180"/>
      <c r="B55" s="182"/>
      <c r="C55" s="180"/>
      <c r="D55" s="146">
        <f>SUM(D52:D53)</f>
        <v>16326</v>
      </c>
      <c r="E55" s="147">
        <f>SUM(E52:E54)</f>
        <v>1334870.77</v>
      </c>
      <c r="F55" s="140"/>
      <c r="G55" s="141"/>
      <c r="H55" s="184"/>
      <c r="I55" s="144"/>
      <c r="J55" s="144"/>
      <c r="K55" s="144"/>
      <c r="L55" s="144"/>
      <c r="M55" s="145"/>
    </row>
    <row r="56" spans="1:18" x14ac:dyDescent="0.2">
      <c r="A56" s="180"/>
      <c r="B56" s="185"/>
      <c r="C56" s="180"/>
      <c r="D56" s="149"/>
      <c r="E56" s="150"/>
      <c r="F56" s="151"/>
      <c r="G56" s="152"/>
      <c r="H56" s="184"/>
      <c r="I56" s="144"/>
      <c r="J56" s="144"/>
      <c r="K56" s="144"/>
      <c r="L56" s="144"/>
      <c r="M56" s="145"/>
    </row>
    <row r="57" spans="1:18" x14ac:dyDescent="0.2">
      <c r="A57" s="137" t="s">
        <v>148</v>
      </c>
      <c r="B57" s="182" t="s">
        <v>42</v>
      </c>
      <c r="C57" s="180" t="s">
        <v>142</v>
      </c>
      <c r="D57" s="168">
        <v>2496</v>
      </c>
      <c r="E57" s="142">
        <v>142912</v>
      </c>
      <c r="F57" s="232"/>
      <c r="G57" s="231"/>
      <c r="H57" s="184"/>
      <c r="I57" s="144"/>
      <c r="J57" s="144">
        <f>E57</f>
        <v>142912</v>
      </c>
      <c r="K57" s="144"/>
      <c r="L57" s="144"/>
      <c r="M57" s="145"/>
      <c r="N57" s="129">
        <f>SUM(I57:M57)</f>
        <v>142912</v>
      </c>
      <c r="O57" s="129">
        <f>+N57-E57</f>
        <v>0</v>
      </c>
      <c r="P57" s="218">
        <f>D57/SUM(D57:D58)</f>
        <v>0.25412339645693344</v>
      </c>
      <c r="Q57" s="219">
        <v>571648.61</v>
      </c>
      <c r="R57" s="219">
        <f>Q57*0.25</f>
        <v>142912.1525</v>
      </c>
    </row>
    <row r="58" spans="1:18" x14ac:dyDescent="0.2">
      <c r="A58" s="137"/>
      <c r="B58" s="182" t="s">
        <v>42</v>
      </c>
      <c r="C58" s="180" t="s">
        <v>143</v>
      </c>
      <c r="D58" s="168">
        <v>7326</v>
      </c>
      <c r="E58" s="142">
        <v>428737</v>
      </c>
      <c r="F58" s="232"/>
      <c r="G58" s="231"/>
      <c r="H58" s="184"/>
      <c r="I58" s="144"/>
      <c r="J58" s="144">
        <f>E58</f>
        <v>428737</v>
      </c>
      <c r="K58" s="144"/>
      <c r="L58" s="144"/>
      <c r="M58" s="145"/>
      <c r="N58" s="129">
        <f>SUM(I58:M58)</f>
        <v>428737</v>
      </c>
      <c r="O58" s="129">
        <f>+N58-E58</f>
        <v>0</v>
      </c>
      <c r="P58" s="218">
        <f>1-P57</f>
        <v>0.74587660354306662</v>
      </c>
      <c r="Q58" s="219">
        <f>Q57</f>
        <v>571648.61</v>
      </c>
      <c r="R58" s="219">
        <f>Q58*0.75</f>
        <v>428736.45750000002</v>
      </c>
    </row>
    <row r="59" spans="1:18" x14ac:dyDescent="0.2">
      <c r="A59" s="137"/>
      <c r="B59" s="182" t="s">
        <v>1</v>
      </c>
      <c r="C59" s="180" t="s">
        <v>149</v>
      </c>
      <c r="D59" s="143" t="s">
        <v>78</v>
      </c>
      <c r="E59" s="139">
        <f>C59*1591.35</f>
        <v>52514.549999999996</v>
      </c>
      <c r="F59" s="151"/>
      <c r="G59" s="141"/>
      <c r="H59" s="184"/>
      <c r="I59" s="144"/>
      <c r="J59" s="144"/>
      <c r="K59" s="144"/>
      <c r="L59" s="144">
        <f>E59</f>
        <v>52514.549999999996</v>
      </c>
      <c r="M59" s="145"/>
      <c r="N59" s="129">
        <f>SUM(I59:M59)</f>
        <v>52514.549999999996</v>
      </c>
      <c r="O59" s="129">
        <f>+N59-E59</f>
        <v>0</v>
      </c>
    </row>
    <row r="60" spans="1:18" x14ac:dyDescent="0.2">
      <c r="A60" s="180"/>
      <c r="B60" s="185"/>
      <c r="C60" s="180"/>
      <c r="D60" s="146">
        <f>SUM(D57)</f>
        <v>2496</v>
      </c>
      <c r="E60" s="147">
        <f>SUM(E57:E59)</f>
        <v>624163.55000000005</v>
      </c>
      <c r="F60" s="140"/>
      <c r="G60" s="141"/>
      <c r="H60" s="184"/>
      <c r="I60" s="144"/>
      <c r="J60" s="144"/>
      <c r="K60" s="144"/>
      <c r="L60" s="144"/>
      <c r="M60" s="145"/>
    </row>
    <row r="61" spans="1:18" x14ac:dyDescent="0.2">
      <c r="A61" s="180"/>
      <c r="B61" s="185"/>
      <c r="C61" s="180"/>
      <c r="D61" s="149"/>
      <c r="E61" s="150"/>
      <c r="F61" s="151"/>
      <c r="G61" s="152"/>
      <c r="H61" s="184"/>
      <c r="I61" s="144"/>
      <c r="J61" s="144"/>
      <c r="K61" s="144"/>
      <c r="L61" s="144"/>
      <c r="M61" s="145"/>
    </row>
    <row r="62" spans="1:18" x14ac:dyDescent="0.2">
      <c r="A62" s="180" t="s">
        <v>150</v>
      </c>
      <c r="B62" s="182" t="s">
        <v>42</v>
      </c>
      <c r="C62" s="180" t="s">
        <v>143</v>
      </c>
      <c r="D62" s="168">
        <v>442</v>
      </c>
      <c r="E62" s="142">
        <v>16146</v>
      </c>
      <c r="F62" s="232"/>
      <c r="G62" s="231"/>
      <c r="H62" s="184"/>
      <c r="I62" s="144"/>
      <c r="J62" s="144">
        <f>E62</f>
        <v>16146</v>
      </c>
      <c r="K62" s="144"/>
      <c r="L62" s="144"/>
      <c r="M62" s="145"/>
      <c r="N62" s="129">
        <f>SUM(I62:M62)</f>
        <v>16146</v>
      </c>
      <c r="O62" s="129">
        <f>+N62-E62</f>
        <v>0</v>
      </c>
    </row>
    <row r="63" spans="1:18" x14ac:dyDescent="0.2">
      <c r="A63" s="180"/>
      <c r="B63" s="182" t="s">
        <v>1</v>
      </c>
      <c r="C63" s="180" t="s">
        <v>84</v>
      </c>
      <c r="D63" s="143" t="s">
        <v>78</v>
      </c>
      <c r="E63" s="139">
        <f>C63*1591.35</f>
        <v>1591.35</v>
      </c>
      <c r="F63" s="151"/>
      <c r="G63" s="141"/>
      <c r="H63" s="184"/>
      <c r="I63" s="144"/>
      <c r="J63" s="144"/>
      <c r="K63" s="144"/>
      <c r="L63" s="144">
        <f>E63</f>
        <v>1591.35</v>
      </c>
      <c r="M63" s="145"/>
      <c r="N63" s="129">
        <f>SUM(I63:M63)</f>
        <v>1591.35</v>
      </c>
      <c r="O63" s="129">
        <f>+N63-E63</f>
        <v>0</v>
      </c>
    </row>
    <row r="64" spans="1:18" x14ac:dyDescent="0.2">
      <c r="A64" s="180"/>
      <c r="B64" s="185"/>
      <c r="C64" s="180"/>
      <c r="D64" s="146">
        <f>SUM(D62)</f>
        <v>442</v>
      </c>
      <c r="E64" s="147">
        <f>SUM(E62:E63)</f>
        <v>17737.349999999999</v>
      </c>
      <c r="F64" s="140"/>
      <c r="G64" s="141"/>
      <c r="H64" s="184"/>
      <c r="I64" s="144"/>
      <c r="J64" s="144"/>
      <c r="K64" s="144"/>
      <c r="L64" s="144"/>
      <c r="M64" s="145"/>
    </row>
    <row r="65" spans="1:18" x14ac:dyDescent="0.2">
      <c r="A65" s="180"/>
      <c r="B65" s="185"/>
      <c r="C65" s="180"/>
      <c r="D65" s="149"/>
      <c r="E65" s="150"/>
      <c r="F65" s="151"/>
      <c r="G65" s="152"/>
      <c r="H65" s="184"/>
      <c r="I65" s="144"/>
      <c r="J65" s="144"/>
      <c r="K65" s="144"/>
      <c r="L65" s="144"/>
      <c r="M65" s="145"/>
    </row>
    <row r="66" spans="1:18" x14ac:dyDescent="0.2">
      <c r="A66" s="180" t="s">
        <v>151</v>
      </c>
      <c r="B66" s="185" t="s">
        <v>42</v>
      </c>
      <c r="C66" s="180" t="s">
        <v>143</v>
      </c>
      <c r="D66" s="138">
        <v>164</v>
      </c>
      <c r="E66" s="142">
        <v>9330.26</v>
      </c>
      <c r="F66" s="140"/>
      <c r="G66" s="231"/>
      <c r="H66" s="184"/>
      <c r="I66" s="144"/>
      <c r="J66" s="144">
        <f>E66</f>
        <v>9330.26</v>
      </c>
      <c r="K66" s="144"/>
      <c r="L66" s="144"/>
      <c r="M66" s="145"/>
      <c r="N66" s="129">
        <f>SUM(I66:M66)</f>
        <v>9330.26</v>
      </c>
      <c r="O66" s="129">
        <f>+N66-E66</f>
        <v>0</v>
      </c>
    </row>
    <row r="67" spans="1:18" x14ac:dyDescent="0.2">
      <c r="A67" s="180"/>
      <c r="B67" s="182" t="s">
        <v>1</v>
      </c>
      <c r="C67" s="180" t="s">
        <v>112</v>
      </c>
      <c r="D67" s="143" t="s">
        <v>83</v>
      </c>
      <c r="E67" s="139">
        <f>C67*1500</f>
        <v>0</v>
      </c>
      <c r="F67" s="151"/>
      <c r="G67" s="141"/>
      <c r="H67" s="184"/>
      <c r="I67" s="144"/>
      <c r="J67" s="144"/>
      <c r="K67" s="144"/>
      <c r="L67" s="144">
        <f>E67</f>
        <v>0</v>
      </c>
      <c r="M67" s="145"/>
      <c r="N67" s="129">
        <f>SUM(I67:M67)</f>
        <v>0</v>
      </c>
      <c r="O67" s="129">
        <f>+N67-E67</f>
        <v>0</v>
      </c>
    </row>
    <row r="68" spans="1:18" x14ac:dyDescent="0.2">
      <c r="A68" s="180"/>
      <c r="B68" s="185"/>
      <c r="C68" s="180"/>
      <c r="D68" s="146">
        <f>SUM(D66)</f>
        <v>164</v>
      </c>
      <c r="E68" s="147">
        <f>SUM(E66:E67)</f>
        <v>9330.26</v>
      </c>
      <c r="F68" s="140"/>
      <c r="G68" s="141"/>
      <c r="H68" s="184"/>
      <c r="I68" s="144"/>
      <c r="J68" s="144"/>
      <c r="K68" s="144"/>
      <c r="L68" s="144"/>
      <c r="M68" s="145"/>
    </row>
    <row r="69" spans="1:18" x14ac:dyDescent="0.2">
      <c r="A69" s="180"/>
      <c r="B69" s="185"/>
      <c r="C69" s="180"/>
      <c r="D69" s="149"/>
      <c r="E69" s="150"/>
      <c r="F69" s="151"/>
      <c r="G69" s="152"/>
      <c r="H69" s="184"/>
      <c r="I69" s="144"/>
      <c r="J69" s="144"/>
      <c r="K69" s="144"/>
      <c r="L69" s="144"/>
      <c r="M69" s="145"/>
    </row>
    <row r="70" spans="1:18" x14ac:dyDescent="0.2">
      <c r="A70" s="180" t="s">
        <v>152</v>
      </c>
      <c r="B70" s="182" t="s">
        <v>42</v>
      </c>
      <c r="C70" s="180" t="s">
        <v>142</v>
      </c>
      <c r="D70" s="138">
        <v>4116</v>
      </c>
      <c r="E70" s="139">
        <v>407469</v>
      </c>
      <c r="F70" s="140"/>
      <c r="G70" s="141"/>
      <c r="H70" s="184"/>
      <c r="I70" s="144"/>
      <c r="J70" s="144">
        <f>E70</f>
        <v>407469</v>
      </c>
      <c r="K70" s="144"/>
      <c r="L70" s="144"/>
      <c r="M70" s="145"/>
      <c r="N70" s="129">
        <f>SUM(I70:M70)</f>
        <v>407469</v>
      </c>
      <c r="O70" s="129">
        <f>+N70-E70</f>
        <v>0</v>
      </c>
      <c r="P70" s="218">
        <f>D70/SUM(D70:D71)</f>
        <v>0.97258979206049145</v>
      </c>
      <c r="Q70" s="219">
        <v>420071.45</v>
      </c>
      <c r="R70" s="219">
        <f>Q70*0.97</f>
        <v>407469.30650000001</v>
      </c>
    </row>
    <row r="71" spans="1:18" x14ac:dyDescent="0.2">
      <c r="A71" s="180"/>
      <c r="B71" s="182" t="s">
        <v>42</v>
      </c>
      <c r="C71" s="180" t="s">
        <v>143</v>
      </c>
      <c r="D71" s="138">
        <v>116</v>
      </c>
      <c r="E71" s="139">
        <v>12602</v>
      </c>
      <c r="F71" s="140"/>
      <c r="G71" s="141"/>
      <c r="H71" s="184"/>
      <c r="I71" s="144"/>
      <c r="J71" s="144">
        <f>E71</f>
        <v>12602</v>
      </c>
      <c r="K71" s="144"/>
      <c r="L71" s="144"/>
      <c r="M71" s="145"/>
      <c r="N71" s="129">
        <f>SUM(I71:M71)</f>
        <v>12602</v>
      </c>
      <c r="O71" s="129">
        <f>+N71-E71</f>
        <v>0</v>
      </c>
      <c r="P71" s="218">
        <v>0.03</v>
      </c>
      <c r="Q71" s="219">
        <f>Q70</f>
        <v>420071.45</v>
      </c>
      <c r="R71" s="219">
        <f>Q71*0.03</f>
        <v>12602.1435</v>
      </c>
    </row>
    <row r="72" spans="1:18" x14ac:dyDescent="0.2">
      <c r="A72" s="180"/>
      <c r="B72" s="182" t="s">
        <v>1</v>
      </c>
      <c r="C72" s="180" t="s">
        <v>110</v>
      </c>
      <c r="D72" s="143" t="s">
        <v>78</v>
      </c>
      <c r="E72" s="139">
        <f>C72*1591.35</f>
        <v>20687.55</v>
      </c>
      <c r="F72" s="151"/>
      <c r="G72" s="141"/>
      <c r="H72" s="184"/>
      <c r="I72" s="144"/>
      <c r="J72" s="144"/>
      <c r="K72" s="144"/>
      <c r="L72" s="144">
        <f>E72</f>
        <v>20687.55</v>
      </c>
      <c r="M72" s="145"/>
      <c r="N72" s="129">
        <f>SUM(I72:M72)</f>
        <v>20687.55</v>
      </c>
      <c r="O72" s="129">
        <f>+N72-E127</f>
        <v>7956.75</v>
      </c>
    </row>
    <row r="73" spans="1:18" x14ac:dyDescent="0.2">
      <c r="A73" s="180"/>
      <c r="B73" s="185"/>
      <c r="C73" s="180"/>
      <c r="D73" s="146">
        <f>SUM(D70)</f>
        <v>4116</v>
      </c>
      <c r="E73" s="147">
        <f>SUM(E70:E72)</f>
        <v>440758.55</v>
      </c>
      <c r="F73" s="140"/>
      <c r="G73" s="141"/>
      <c r="H73" s="184"/>
      <c r="I73" s="144"/>
      <c r="J73" s="144"/>
      <c r="K73" s="144"/>
      <c r="L73" s="144"/>
      <c r="M73" s="145"/>
    </row>
    <row r="74" spans="1:18" x14ac:dyDescent="0.2">
      <c r="A74" s="180"/>
      <c r="B74" s="185"/>
      <c r="C74" s="180"/>
      <c r="D74" s="149"/>
      <c r="E74" s="150"/>
      <c r="F74" s="151"/>
      <c r="G74" s="152"/>
      <c r="H74" s="184"/>
      <c r="I74" s="144"/>
      <c r="J74" s="144"/>
      <c r="K74" s="144"/>
      <c r="L74" s="144"/>
      <c r="M74" s="145"/>
    </row>
    <row r="75" spans="1:18" x14ac:dyDescent="0.2">
      <c r="A75" s="127" t="s">
        <v>153</v>
      </c>
      <c r="B75" s="182" t="s">
        <v>42</v>
      </c>
      <c r="C75" s="180" t="s">
        <v>142</v>
      </c>
      <c r="D75" s="149">
        <v>1397</v>
      </c>
      <c r="E75" s="142">
        <v>81331</v>
      </c>
      <c r="F75" s="140"/>
      <c r="G75" s="231"/>
      <c r="H75" s="184"/>
      <c r="I75" s="144"/>
      <c r="J75" s="144">
        <f>E75</f>
        <v>81331</v>
      </c>
      <c r="K75" s="144"/>
      <c r="L75" s="144"/>
      <c r="M75" s="145"/>
      <c r="N75" s="129">
        <f>SUM(I75:M75)</f>
        <v>81331</v>
      </c>
      <c r="O75" s="129">
        <f>+N75-E75</f>
        <v>0</v>
      </c>
      <c r="P75" s="218">
        <f>E75/SUM(E75:E77)</f>
        <v>0.17000022992493996</v>
      </c>
      <c r="Q75" s="219">
        <v>478416.44</v>
      </c>
      <c r="R75" s="219">
        <f>Q75*0.17</f>
        <v>81330.794800000003</v>
      </c>
    </row>
    <row r="76" spans="1:18" x14ac:dyDescent="0.2">
      <c r="B76" s="182" t="s">
        <v>42</v>
      </c>
      <c r="C76" s="180" t="s">
        <v>143</v>
      </c>
      <c r="D76" s="149">
        <v>3303</v>
      </c>
      <c r="E76" s="142">
        <v>392302</v>
      </c>
      <c r="F76" s="140"/>
      <c r="G76" s="231"/>
      <c r="H76" s="184"/>
      <c r="I76" s="144"/>
      <c r="J76" s="144">
        <f t="shared" ref="J76:J77" si="0">E76</f>
        <v>392302</v>
      </c>
      <c r="K76" s="144"/>
      <c r="L76" s="144"/>
      <c r="M76" s="145"/>
      <c r="N76" s="129">
        <f t="shared" ref="N76:N77" si="1">SUM(I76:M76)</f>
        <v>392302</v>
      </c>
      <c r="O76" s="129">
        <f t="shared" ref="O76:O77" si="2">+N76-E76</f>
        <v>0</v>
      </c>
      <c r="P76" s="218">
        <f>E76/SUM(E75:E77)</f>
        <v>0.82000012541360356</v>
      </c>
      <c r="Q76" s="219">
        <f>Q75</f>
        <v>478416.44</v>
      </c>
      <c r="R76" s="219">
        <f>Q76*0.82</f>
        <v>392301.48079999996</v>
      </c>
    </row>
    <row r="77" spans="1:18" x14ac:dyDescent="0.2">
      <c r="B77" s="182" t="s">
        <v>42</v>
      </c>
      <c r="C77" s="180" t="s">
        <v>154</v>
      </c>
      <c r="D77" s="149" t="s">
        <v>108</v>
      </c>
      <c r="E77" s="142">
        <v>4784</v>
      </c>
      <c r="F77" s="140"/>
      <c r="G77" s="231"/>
      <c r="H77" s="184"/>
      <c r="I77" s="144"/>
      <c r="J77" s="144">
        <f t="shared" si="0"/>
        <v>4784</v>
      </c>
      <c r="K77" s="144"/>
      <c r="L77" s="144"/>
      <c r="M77" s="145"/>
      <c r="N77" s="129">
        <f t="shared" si="1"/>
        <v>4784</v>
      </c>
      <c r="O77" s="129">
        <f t="shared" si="2"/>
        <v>0</v>
      </c>
      <c r="P77" s="218">
        <f>1-P76-P75</f>
        <v>9.9996446614564749E-3</v>
      </c>
      <c r="Q77" s="219">
        <f>Q76</f>
        <v>478416.44</v>
      </c>
      <c r="R77" s="219">
        <f>Q77*0.01</f>
        <v>4784.1644000000006</v>
      </c>
    </row>
    <row r="78" spans="1:18" x14ac:dyDescent="0.2">
      <c r="A78" s="180"/>
      <c r="B78" s="182" t="s">
        <v>1</v>
      </c>
      <c r="C78" s="180" t="s">
        <v>155</v>
      </c>
      <c r="D78" s="143" t="s">
        <v>78</v>
      </c>
      <c r="E78" s="139">
        <f>C78*1591.35</f>
        <v>89115.599999999991</v>
      </c>
      <c r="F78" s="151"/>
      <c r="G78" s="141"/>
      <c r="H78" s="184"/>
      <c r="I78" s="144"/>
      <c r="J78" s="144"/>
      <c r="K78" s="144"/>
      <c r="L78" s="144">
        <f>E78</f>
        <v>89115.599999999991</v>
      </c>
      <c r="M78" s="145"/>
      <c r="N78" s="129">
        <f>SUM(I78:M78)</f>
        <v>89115.599999999991</v>
      </c>
      <c r="O78" s="129">
        <f>+N78-E78</f>
        <v>0</v>
      </c>
    </row>
    <row r="79" spans="1:18" x14ac:dyDescent="0.2">
      <c r="A79" s="180"/>
      <c r="B79" s="185"/>
      <c r="C79" s="180"/>
      <c r="D79" s="146">
        <f>SUM(D75:D78)</f>
        <v>4700</v>
      </c>
      <c r="E79" s="147">
        <f>SUM(E75:E78)</f>
        <v>567532.6</v>
      </c>
      <c r="F79" s="140"/>
      <c r="G79" s="141"/>
      <c r="H79" s="184"/>
      <c r="I79" s="144"/>
      <c r="J79" s="144"/>
      <c r="K79" s="144"/>
      <c r="L79" s="144"/>
      <c r="M79" s="145"/>
    </row>
    <row r="80" spans="1:18" x14ac:dyDescent="0.2">
      <c r="A80" s="180"/>
      <c r="B80" s="185"/>
      <c r="C80" s="180"/>
      <c r="D80" s="149"/>
      <c r="E80" s="150"/>
      <c r="F80" s="151"/>
      <c r="G80" s="152"/>
      <c r="H80" s="184"/>
      <c r="I80" s="144"/>
      <c r="J80" s="144"/>
      <c r="K80" s="144"/>
      <c r="L80" s="144"/>
      <c r="M80" s="145"/>
    </row>
    <row r="81" spans="1:18" x14ac:dyDescent="0.2">
      <c r="A81" s="180" t="s">
        <v>156</v>
      </c>
      <c r="B81" s="182" t="s">
        <v>42</v>
      </c>
      <c r="C81" s="180" t="s">
        <v>142</v>
      </c>
      <c r="D81" s="149">
        <v>0</v>
      </c>
      <c r="E81" s="142">
        <v>2980.89</v>
      </c>
      <c r="F81" s="140"/>
      <c r="G81" s="231"/>
      <c r="H81" s="184"/>
      <c r="I81" s="144"/>
      <c r="J81" s="144">
        <f>E81</f>
        <v>2980.89</v>
      </c>
      <c r="K81" s="144"/>
      <c r="L81" s="144"/>
      <c r="M81" s="145"/>
      <c r="N81" s="129">
        <f>SUM(I81:M81)</f>
        <v>2980.89</v>
      </c>
      <c r="O81" s="129">
        <f>+N81-E81</f>
        <v>0</v>
      </c>
      <c r="P81" s="220">
        <v>5.0000000000000001E-3</v>
      </c>
      <c r="Q81" s="219">
        <v>596177.67000000004</v>
      </c>
      <c r="R81" s="219">
        <f>Q81*0.005</f>
        <v>2980.8883500000002</v>
      </c>
    </row>
    <row r="82" spans="1:18" x14ac:dyDescent="0.2">
      <c r="A82" s="180"/>
      <c r="B82" s="182" t="s">
        <v>42</v>
      </c>
      <c r="C82" s="180" t="s">
        <v>143</v>
      </c>
      <c r="D82" s="149">
        <v>11213</v>
      </c>
      <c r="E82" s="142">
        <v>591706.34</v>
      </c>
      <c r="F82" s="140"/>
      <c r="G82" s="231"/>
      <c r="H82" s="184"/>
      <c r="I82" s="144"/>
      <c r="J82" s="144">
        <f t="shared" ref="J82:J83" si="3">E82</f>
        <v>591706.34</v>
      </c>
      <c r="K82" s="144"/>
      <c r="L82" s="144"/>
      <c r="M82" s="145"/>
      <c r="N82" s="129">
        <f t="shared" ref="N82:N83" si="4">SUM(I82:M82)</f>
        <v>591706.34</v>
      </c>
      <c r="O82" s="129">
        <f t="shared" ref="O82:O83" si="5">+N82-E82</f>
        <v>0</v>
      </c>
      <c r="P82" s="220">
        <v>0.99250000000000005</v>
      </c>
      <c r="Q82" s="219">
        <v>596177.67000000004</v>
      </c>
      <c r="R82" s="219">
        <f>Q82*0.9925</f>
        <v>591706.33747500007</v>
      </c>
    </row>
    <row r="83" spans="1:18" x14ac:dyDescent="0.2">
      <c r="A83" s="180"/>
      <c r="B83" s="182" t="s">
        <v>42</v>
      </c>
      <c r="C83" s="180" t="s">
        <v>154</v>
      </c>
      <c r="D83" s="149" t="s">
        <v>108</v>
      </c>
      <c r="E83" s="142">
        <v>1490.44</v>
      </c>
      <c r="F83" s="140"/>
      <c r="G83" s="231"/>
      <c r="H83" s="184"/>
      <c r="I83" s="144"/>
      <c r="J83" s="144">
        <f t="shared" si="3"/>
        <v>1490.44</v>
      </c>
      <c r="K83" s="144"/>
      <c r="L83" s="144"/>
      <c r="M83" s="145"/>
      <c r="N83" s="129">
        <f t="shared" si="4"/>
        <v>1490.44</v>
      </c>
      <c r="O83" s="129">
        <f t="shared" si="5"/>
        <v>0</v>
      </c>
      <c r="P83" s="220">
        <v>2.5000000000000001E-3</v>
      </c>
      <c r="Q83" s="219">
        <v>596177.67000000004</v>
      </c>
      <c r="R83" s="219">
        <f>Q83*0.0025</f>
        <v>1490.4441750000001</v>
      </c>
    </row>
    <row r="84" spans="1:18" x14ac:dyDescent="0.2">
      <c r="A84" s="180"/>
      <c r="B84" s="182" t="s">
        <v>1</v>
      </c>
      <c r="C84" s="180" t="s">
        <v>157</v>
      </c>
      <c r="D84" s="143" t="s">
        <v>78</v>
      </c>
      <c r="E84" s="139">
        <f>1591.35*C84</f>
        <v>119351.25</v>
      </c>
      <c r="F84" s="151"/>
      <c r="G84" s="141"/>
      <c r="H84" s="184"/>
      <c r="I84" s="144"/>
      <c r="J84" s="144"/>
      <c r="K84" s="144"/>
      <c r="L84" s="144">
        <f>E84</f>
        <v>119351.25</v>
      </c>
      <c r="M84" s="145"/>
      <c r="N84" s="129">
        <f>SUM(I84:M84)</f>
        <v>119351.25</v>
      </c>
      <c r="O84" s="129">
        <f>+N84-E84</f>
        <v>0</v>
      </c>
    </row>
    <row r="85" spans="1:18" x14ac:dyDescent="0.2">
      <c r="A85" s="180"/>
      <c r="B85" s="182"/>
      <c r="C85" s="180"/>
      <c r="D85" s="146">
        <f>SUM(D81)</f>
        <v>0</v>
      </c>
      <c r="E85" s="147">
        <f>SUM(E81:E84)</f>
        <v>715528.91999999993</v>
      </c>
      <c r="F85" s="140"/>
      <c r="G85" s="141"/>
      <c r="H85" s="184"/>
      <c r="I85" s="144"/>
      <c r="J85" s="144"/>
      <c r="K85" s="144"/>
      <c r="L85" s="144"/>
      <c r="M85" s="145"/>
    </row>
    <row r="86" spans="1:18" x14ac:dyDescent="0.2">
      <c r="A86" s="180"/>
      <c r="B86" s="185"/>
      <c r="C86" s="180"/>
      <c r="D86" s="138"/>
      <c r="E86" s="139"/>
      <c r="F86" s="140"/>
      <c r="G86" s="141"/>
      <c r="H86" s="184"/>
      <c r="I86" s="144"/>
      <c r="J86" s="144"/>
      <c r="K86" s="144"/>
      <c r="L86" s="144"/>
      <c r="M86" s="145"/>
    </row>
    <row r="87" spans="1:18" x14ac:dyDescent="0.2">
      <c r="A87" s="180" t="s">
        <v>158</v>
      </c>
      <c r="B87" s="182" t="s">
        <v>42</v>
      </c>
      <c r="C87" s="180" t="s">
        <v>142</v>
      </c>
      <c r="D87" s="138">
        <v>40</v>
      </c>
      <c r="E87" s="142">
        <v>2487.21</v>
      </c>
      <c r="F87" s="140"/>
      <c r="G87" s="231"/>
      <c r="H87" s="184"/>
      <c r="I87" s="144"/>
      <c r="J87" s="144">
        <f>E87</f>
        <v>2487.21</v>
      </c>
      <c r="K87" s="144"/>
      <c r="L87" s="144"/>
      <c r="M87" s="145"/>
      <c r="N87" s="129">
        <f>SUM(I87:M87)</f>
        <v>2487.21</v>
      </c>
      <c r="O87" s="129">
        <f>+N87-E87</f>
        <v>0</v>
      </c>
      <c r="P87" s="223">
        <f>D87/SUM(D87:D89)</f>
        <v>6.5220935920430462E-3</v>
      </c>
      <c r="Q87" s="219">
        <v>355315.85</v>
      </c>
      <c r="R87" s="219">
        <f>Q87*0.007</f>
        <v>2487.2109499999997</v>
      </c>
    </row>
    <row r="88" spans="1:18" x14ac:dyDescent="0.2">
      <c r="A88" s="180"/>
      <c r="B88" s="182" t="s">
        <v>42</v>
      </c>
      <c r="C88" s="180" t="s">
        <v>143</v>
      </c>
      <c r="D88" s="138">
        <v>6063</v>
      </c>
      <c r="E88" s="142">
        <v>351052.06</v>
      </c>
      <c r="F88" s="140"/>
      <c r="G88" s="231"/>
      <c r="H88" s="184"/>
      <c r="I88" s="144"/>
      <c r="J88" s="144">
        <f t="shared" ref="J88:J89" si="6">E88</f>
        <v>351052.06</v>
      </c>
      <c r="K88" s="144"/>
      <c r="L88" s="144"/>
      <c r="M88" s="145"/>
      <c r="N88" s="129">
        <f t="shared" ref="N88:N89" si="7">SUM(I88:M88)</f>
        <v>351052.06</v>
      </c>
      <c r="O88" s="129">
        <f t="shared" ref="O88:O89" si="8">+N88-E88</f>
        <v>0</v>
      </c>
      <c r="P88" s="223">
        <f>D88/SUM(D87:D89)</f>
        <v>0.98858633621392467</v>
      </c>
      <c r="Q88" s="219">
        <v>355315.85</v>
      </c>
      <c r="R88" s="219">
        <f>Q88*0.988</f>
        <v>351052.05979999999</v>
      </c>
    </row>
    <row r="89" spans="1:18" x14ac:dyDescent="0.2">
      <c r="A89" s="180"/>
      <c r="B89" s="182" t="s">
        <v>42</v>
      </c>
      <c r="C89" s="180" t="s">
        <v>154</v>
      </c>
      <c r="D89" s="138">
        <v>30</v>
      </c>
      <c r="E89" s="142">
        <v>1776.58</v>
      </c>
      <c r="F89" s="140"/>
      <c r="G89" s="231"/>
      <c r="H89" s="184"/>
      <c r="I89" s="144"/>
      <c r="J89" s="144">
        <f t="shared" si="6"/>
        <v>1776.58</v>
      </c>
      <c r="K89" s="144"/>
      <c r="L89" s="144"/>
      <c r="M89" s="145"/>
      <c r="N89" s="129">
        <f t="shared" si="7"/>
        <v>1776.58</v>
      </c>
      <c r="O89" s="129">
        <f t="shared" si="8"/>
        <v>0</v>
      </c>
      <c r="P89" s="223">
        <f>1-P88-P87</f>
        <v>4.8915701940322881E-3</v>
      </c>
      <c r="Q89" s="219">
        <v>355315.85</v>
      </c>
      <c r="R89" s="219">
        <f>Q89*0.005</f>
        <v>1776.57925</v>
      </c>
    </row>
    <row r="90" spans="1:18" x14ac:dyDescent="0.2">
      <c r="A90" s="180"/>
      <c r="B90" s="182" t="s">
        <v>1</v>
      </c>
      <c r="C90" s="180" t="s">
        <v>159</v>
      </c>
      <c r="D90" s="143" t="s">
        <v>78</v>
      </c>
      <c r="E90" s="139">
        <f>C90*1591.35</f>
        <v>28644.3</v>
      </c>
      <c r="F90" s="151"/>
      <c r="G90" s="141"/>
      <c r="H90" s="184"/>
      <c r="I90" s="144"/>
      <c r="J90" s="144"/>
      <c r="K90" s="144"/>
      <c r="L90" s="144">
        <f>E90</f>
        <v>28644.3</v>
      </c>
      <c r="M90" s="145"/>
      <c r="N90" s="129">
        <f>SUM(I90:M90)</f>
        <v>28644.3</v>
      </c>
      <c r="O90" s="129">
        <f>+N90-E90</f>
        <v>0</v>
      </c>
    </row>
    <row r="91" spans="1:18" x14ac:dyDescent="0.2">
      <c r="A91" s="186"/>
      <c r="B91" s="187"/>
      <c r="C91" s="186"/>
      <c r="D91" s="146">
        <f>SUM(D87)</f>
        <v>40</v>
      </c>
      <c r="E91" s="147">
        <f>SUM(E87:E90)</f>
        <v>383960.15</v>
      </c>
      <c r="F91" s="140"/>
      <c r="G91" s="141"/>
      <c r="I91" s="144"/>
      <c r="J91" s="144"/>
      <c r="K91" s="144"/>
      <c r="L91" s="144"/>
      <c r="M91" s="145"/>
    </row>
    <row r="92" spans="1:18" x14ac:dyDescent="0.2">
      <c r="A92" s="186"/>
      <c r="B92" s="187"/>
      <c r="C92" s="186"/>
      <c r="D92" s="158"/>
      <c r="E92" s="159"/>
      <c r="F92" s="160"/>
      <c r="G92" s="161"/>
    </row>
    <row r="93" spans="1:18" x14ac:dyDescent="0.2">
      <c r="A93" s="186" t="s">
        <v>160</v>
      </c>
      <c r="B93" s="182" t="s">
        <v>42</v>
      </c>
      <c r="C93" s="180" t="s">
        <v>143</v>
      </c>
      <c r="D93" s="168">
        <v>3047</v>
      </c>
      <c r="E93" s="142">
        <v>180662.61</v>
      </c>
      <c r="F93" s="232"/>
      <c r="G93" s="231"/>
      <c r="J93" s="128">
        <f>E93</f>
        <v>180662.61</v>
      </c>
      <c r="N93" s="129">
        <f>SUM(I93:M93)</f>
        <v>180662.61</v>
      </c>
      <c r="O93" s="129">
        <f>+N93-E93</f>
        <v>0</v>
      </c>
    </row>
    <row r="94" spans="1:18" x14ac:dyDescent="0.2">
      <c r="A94" s="186"/>
      <c r="B94" s="182" t="s">
        <v>1</v>
      </c>
      <c r="C94" s="186" t="s">
        <v>161</v>
      </c>
      <c r="D94" s="143" t="s">
        <v>78</v>
      </c>
      <c r="E94" s="139">
        <f>C94*1591.35</f>
        <v>23870.25</v>
      </c>
      <c r="F94" s="151"/>
      <c r="G94" s="141"/>
      <c r="L94" s="128">
        <f>E94</f>
        <v>23870.25</v>
      </c>
      <c r="N94" s="129">
        <f>SUM(I94:M94)</f>
        <v>23870.25</v>
      </c>
      <c r="O94" s="129">
        <f>+N94-E94</f>
        <v>0</v>
      </c>
    </row>
    <row r="95" spans="1:18" x14ac:dyDescent="0.2">
      <c r="A95" s="186"/>
      <c r="B95" s="187"/>
      <c r="C95" s="186"/>
      <c r="D95" s="162">
        <f>SUM(D93)</f>
        <v>3047</v>
      </c>
      <c r="E95" s="163">
        <f>SUM(E93:E94)</f>
        <v>204532.86</v>
      </c>
      <c r="F95" s="166"/>
      <c r="G95" s="167"/>
    </row>
    <row r="96" spans="1:18" x14ac:dyDescent="0.2">
      <c r="A96" s="186"/>
      <c r="B96" s="187"/>
      <c r="C96" s="186"/>
      <c r="D96" s="158"/>
      <c r="E96" s="159"/>
      <c r="F96" s="160"/>
      <c r="G96" s="161"/>
    </row>
    <row r="97" spans="1:18" x14ac:dyDescent="0.2">
      <c r="A97" s="186" t="s">
        <v>178</v>
      </c>
      <c r="B97" s="182" t="s">
        <v>42</v>
      </c>
      <c r="C97" s="180" t="s">
        <v>142</v>
      </c>
      <c r="D97" s="138">
        <v>0</v>
      </c>
      <c r="E97" s="142">
        <v>0</v>
      </c>
      <c r="F97" s="140"/>
      <c r="G97" s="231"/>
      <c r="J97" s="128">
        <f>E97</f>
        <v>0</v>
      </c>
      <c r="N97" s="129">
        <f>SUM(I97:M97)</f>
        <v>0</v>
      </c>
      <c r="O97" s="129">
        <f>+N97-E97</f>
        <v>0</v>
      </c>
    </row>
    <row r="98" spans="1:18" x14ac:dyDescent="0.2">
      <c r="A98" s="186"/>
      <c r="B98" s="182" t="s">
        <v>1</v>
      </c>
      <c r="C98" s="186" t="s">
        <v>112</v>
      </c>
      <c r="D98" s="143" t="s">
        <v>83</v>
      </c>
      <c r="E98" s="139">
        <v>0</v>
      </c>
      <c r="F98" s="151"/>
      <c r="G98" s="141"/>
      <c r="L98" s="128">
        <f>E98</f>
        <v>0</v>
      </c>
      <c r="N98" s="129">
        <f>SUM(I98:M98)</f>
        <v>0</v>
      </c>
      <c r="O98" s="129">
        <f>+N98-E98</f>
        <v>0</v>
      </c>
    </row>
    <row r="99" spans="1:18" x14ac:dyDescent="0.2">
      <c r="A99" s="186"/>
      <c r="B99" s="182"/>
      <c r="C99" s="186"/>
      <c r="D99" s="162">
        <f>SUM(D97)</f>
        <v>0</v>
      </c>
      <c r="E99" s="163">
        <f>SUM(E97:E98)</f>
        <v>0</v>
      </c>
      <c r="F99" s="166"/>
      <c r="G99" s="167"/>
    </row>
    <row r="100" spans="1:18" x14ac:dyDescent="0.2">
      <c r="A100" s="186"/>
      <c r="B100" s="187"/>
      <c r="C100" s="186"/>
      <c r="D100" s="164"/>
      <c r="E100" s="165"/>
      <c r="F100" s="166"/>
      <c r="G100" s="167"/>
    </row>
    <row r="101" spans="1:18" x14ac:dyDescent="0.2">
      <c r="A101" s="186" t="s">
        <v>162</v>
      </c>
      <c r="B101" s="182" t="s">
        <v>42</v>
      </c>
      <c r="C101" s="180" t="s">
        <v>142</v>
      </c>
      <c r="D101" s="138">
        <v>931</v>
      </c>
      <c r="E101" s="142">
        <v>56358.78</v>
      </c>
      <c r="F101" s="140"/>
      <c r="G101" s="231"/>
      <c r="J101" s="128">
        <f>E101</f>
        <v>56358.78</v>
      </c>
      <c r="N101" s="129">
        <f>SUM(I101:M101)</f>
        <v>56358.78</v>
      </c>
      <c r="O101" s="129">
        <f>+N101-E101</f>
        <v>0</v>
      </c>
    </row>
    <row r="102" spans="1:18" x14ac:dyDescent="0.2">
      <c r="A102" s="186"/>
      <c r="B102" s="182" t="s">
        <v>1</v>
      </c>
      <c r="C102" s="186" t="s">
        <v>112</v>
      </c>
      <c r="D102" s="143" t="s">
        <v>78</v>
      </c>
      <c r="E102" s="139">
        <f>0</f>
        <v>0</v>
      </c>
      <c r="F102" s="151"/>
      <c r="G102" s="141"/>
      <c r="L102" s="128">
        <f>E102</f>
        <v>0</v>
      </c>
      <c r="N102" s="129">
        <f>SUM(I102:M102)</f>
        <v>0</v>
      </c>
      <c r="O102" s="129">
        <f>+N102-E102</f>
        <v>0</v>
      </c>
    </row>
    <row r="103" spans="1:18" x14ac:dyDescent="0.2">
      <c r="A103" s="186"/>
      <c r="B103" s="182"/>
      <c r="C103" s="186"/>
      <c r="D103" s="162">
        <f>SUM(D101)</f>
        <v>931</v>
      </c>
      <c r="E103" s="163">
        <f>SUM(E101:E102)</f>
        <v>56358.78</v>
      </c>
      <c r="F103" s="166"/>
      <c r="G103" s="167"/>
    </row>
    <row r="104" spans="1:18" x14ac:dyDescent="0.2">
      <c r="A104" s="186"/>
      <c r="B104" s="187"/>
      <c r="C104" s="186"/>
      <c r="D104" s="164"/>
      <c r="E104" s="165"/>
      <c r="F104" s="166"/>
      <c r="G104" s="167"/>
    </row>
    <row r="105" spans="1:18" x14ac:dyDescent="0.2">
      <c r="A105" s="186" t="s">
        <v>163</v>
      </c>
      <c r="B105" s="182" t="s">
        <v>42</v>
      </c>
      <c r="C105" s="180" t="s">
        <v>143</v>
      </c>
      <c r="D105" s="149">
        <v>6174</v>
      </c>
      <c r="E105" s="142">
        <v>490242.51</v>
      </c>
      <c r="F105" s="140"/>
      <c r="G105" s="231"/>
      <c r="J105" s="128">
        <f>E105</f>
        <v>490242.51</v>
      </c>
      <c r="N105" s="129">
        <f>SUM(I105:M105)</f>
        <v>490242.51</v>
      </c>
      <c r="O105" s="129">
        <f>+N105-E105</f>
        <v>0</v>
      </c>
      <c r="P105" s="220">
        <v>0.998</v>
      </c>
      <c r="Q105" s="219">
        <v>491224.96</v>
      </c>
      <c r="R105" s="219">
        <f>Q105*0.998</f>
        <v>490242.51008000004</v>
      </c>
    </row>
    <row r="106" spans="1:18" x14ac:dyDescent="0.2">
      <c r="A106" s="186"/>
      <c r="B106" s="182" t="s">
        <v>42</v>
      </c>
      <c r="C106" s="180" t="s">
        <v>154</v>
      </c>
      <c r="D106" s="149">
        <v>0</v>
      </c>
      <c r="E106" s="142">
        <v>982.45</v>
      </c>
      <c r="F106" s="140"/>
      <c r="G106" s="231"/>
      <c r="J106" s="128">
        <f>E106</f>
        <v>982.45</v>
      </c>
      <c r="N106" s="129">
        <f>SUM(I106:M106)</f>
        <v>982.45</v>
      </c>
      <c r="O106" s="129">
        <f>+N106-E106</f>
        <v>0</v>
      </c>
      <c r="P106" s="220">
        <v>2.0000000000000001E-4</v>
      </c>
      <c r="Q106" s="219">
        <v>491224.96</v>
      </c>
      <c r="R106" s="219">
        <f>Q106*0.002</f>
        <v>982.44992000000002</v>
      </c>
    </row>
    <row r="107" spans="1:18" x14ac:dyDescent="0.2">
      <c r="A107" s="186"/>
      <c r="B107" s="182" t="s">
        <v>1</v>
      </c>
      <c r="C107" s="186" t="s">
        <v>164</v>
      </c>
      <c r="D107" s="143" t="s">
        <v>78</v>
      </c>
      <c r="E107" s="139">
        <f>C107*1591.35</f>
        <v>98663.7</v>
      </c>
      <c r="F107" s="151"/>
      <c r="G107" s="141"/>
      <c r="L107" s="128">
        <f>E107</f>
        <v>98663.7</v>
      </c>
      <c r="N107" s="129">
        <f>SUM(I107:M107)</f>
        <v>98663.7</v>
      </c>
      <c r="O107" s="129">
        <f>+N107-E107</f>
        <v>0</v>
      </c>
    </row>
    <row r="108" spans="1:18" x14ac:dyDescent="0.2">
      <c r="A108" s="186"/>
      <c r="B108" s="182"/>
      <c r="C108" s="186"/>
      <c r="D108" s="162">
        <f>SUM(D105)</f>
        <v>6174</v>
      </c>
      <c r="E108" s="163">
        <f>SUM(E105:E107)</f>
        <v>589888.66</v>
      </c>
      <c r="F108" s="166"/>
      <c r="G108" s="167"/>
    </row>
    <row r="109" spans="1:18" x14ac:dyDescent="0.2">
      <c r="A109" s="186"/>
      <c r="B109" s="187"/>
      <c r="C109" s="186"/>
      <c r="D109" s="164"/>
      <c r="E109" s="165"/>
      <c r="F109" s="166"/>
      <c r="G109" s="167"/>
    </row>
    <row r="110" spans="1:18" x14ac:dyDescent="0.2">
      <c r="A110" s="186" t="s">
        <v>165</v>
      </c>
      <c r="B110" s="182" t="s">
        <v>42</v>
      </c>
      <c r="C110" s="180" t="s">
        <v>109</v>
      </c>
      <c r="D110" s="149" t="s">
        <v>108</v>
      </c>
      <c r="E110" s="142">
        <v>209003.64</v>
      </c>
      <c r="F110" s="232"/>
      <c r="G110" s="231"/>
      <c r="J110" s="128">
        <f>E110</f>
        <v>209003.64</v>
      </c>
      <c r="N110" s="129">
        <f>SUM(I110:M110)</f>
        <v>209003.64</v>
      </c>
      <c r="O110" s="129">
        <f>+N110-E110</f>
        <v>0</v>
      </c>
    </row>
    <row r="111" spans="1:18" x14ac:dyDescent="0.2">
      <c r="A111" s="180"/>
      <c r="B111" s="182" t="s">
        <v>1</v>
      </c>
      <c r="C111" s="180"/>
      <c r="D111" s="143" t="s">
        <v>78</v>
      </c>
      <c r="E111" s="139"/>
      <c r="F111" s="151"/>
      <c r="G111" s="141"/>
      <c r="L111" s="128">
        <f>E111</f>
        <v>0</v>
      </c>
      <c r="N111" s="129">
        <f>SUM(I111:M111)</f>
        <v>0</v>
      </c>
      <c r="O111" s="129">
        <f>+N111-E111</f>
        <v>0</v>
      </c>
    </row>
    <row r="112" spans="1:18" x14ac:dyDescent="0.2">
      <c r="A112" s="180"/>
      <c r="B112" s="182"/>
      <c r="C112" s="180"/>
      <c r="D112" s="162">
        <f>SUM(D110)</f>
        <v>0</v>
      </c>
      <c r="E112" s="163">
        <f>SUM(E110:E111)</f>
        <v>209003.64</v>
      </c>
      <c r="F112" s="166"/>
      <c r="G112" s="167"/>
    </row>
    <row r="113" spans="1:15" x14ac:dyDescent="0.2">
      <c r="A113" s="180"/>
      <c r="B113" s="185"/>
      <c r="C113" s="180"/>
      <c r="D113" s="138"/>
      <c r="E113" s="150"/>
      <c r="F113" s="140"/>
      <c r="G113" s="152"/>
    </row>
    <row r="114" spans="1:15" x14ac:dyDescent="0.2">
      <c r="A114" s="186" t="s">
        <v>176</v>
      </c>
      <c r="B114" s="182" t="s">
        <v>42</v>
      </c>
      <c r="C114" s="186" t="s">
        <v>109</v>
      </c>
      <c r="D114" s="168"/>
      <c r="E114" s="142">
        <v>170348</v>
      </c>
      <c r="F114" s="232"/>
      <c r="G114" s="231"/>
      <c r="J114" s="128">
        <f>E114</f>
        <v>170348</v>
      </c>
      <c r="N114" s="129">
        <f>SUM(I114:M114)</f>
        <v>170348</v>
      </c>
      <c r="O114" s="129">
        <f>+N114-E114</f>
        <v>0</v>
      </c>
    </row>
    <row r="115" spans="1:15" x14ac:dyDescent="0.2">
      <c r="A115" s="180"/>
      <c r="B115" s="182" t="s">
        <v>1</v>
      </c>
      <c r="C115" s="180"/>
      <c r="D115" s="143" t="s">
        <v>83</v>
      </c>
      <c r="E115" s="139"/>
      <c r="F115" s="151"/>
      <c r="G115" s="141"/>
      <c r="L115" s="128">
        <f>E115</f>
        <v>0</v>
      </c>
      <c r="N115" s="129">
        <f>SUM(I115:M115)</f>
        <v>0</v>
      </c>
      <c r="O115" s="129">
        <f>+N115-E115</f>
        <v>0</v>
      </c>
    </row>
    <row r="116" spans="1:15" x14ac:dyDescent="0.2">
      <c r="A116" s="180"/>
      <c r="B116" s="182"/>
      <c r="C116" s="180"/>
      <c r="D116" s="162">
        <f>SUM(D114:D114)</f>
        <v>0</v>
      </c>
      <c r="E116" s="163">
        <f>SUM(E114:E115)</f>
        <v>170348</v>
      </c>
      <c r="F116" s="166"/>
      <c r="G116" s="167"/>
    </row>
    <row r="117" spans="1:15" x14ac:dyDescent="0.2">
      <c r="A117" s="180"/>
      <c r="B117" s="182"/>
      <c r="C117" s="180"/>
      <c r="D117" s="138"/>
      <c r="E117" s="150"/>
      <c r="F117" s="140"/>
      <c r="G117" s="152"/>
    </row>
    <row r="118" spans="1:15" x14ac:dyDescent="0.2">
      <c r="A118" s="186" t="s">
        <v>166</v>
      </c>
      <c r="B118" s="182" t="s">
        <v>42</v>
      </c>
      <c r="C118" s="186" t="s">
        <v>109</v>
      </c>
      <c r="D118" s="222" t="s">
        <v>108</v>
      </c>
      <c r="E118" s="142">
        <v>194253.06</v>
      </c>
      <c r="F118" s="232"/>
      <c r="G118" s="231"/>
      <c r="J118" s="128">
        <f>E118</f>
        <v>194253.06</v>
      </c>
      <c r="N118" s="129">
        <f>SUM(I118:M118)</f>
        <v>194253.06</v>
      </c>
      <c r="O118" s="129">
        <f>+N118-E118</f>
        <v>0</v>
      </c>
    </row>
    <row r="119" spans="1:15" x14ac:dyDescent="0.2">
      <c r="A119" s="180"/>
      <c r="B119" s="182" t="s">
        <v>1</v>
      </c>
      <c r="C119" s="180"/>
      <c r="D119" s="143" t="s">
        <v>83</v>
      </c>
      <c r="E119" s="139"/>
      <c r="F119" s="151"/>
      <c r="G119" s="141"/>
      <c r="L119" s="128">
        <f>E119</f>
        <v>0</v>
      </c>
      <c r="N119" s="129">
        <f>SUM(I119:M119)</f>
        <v>0</v>
      </c>
      <c r="O119" s="129">
        <f>+N119-E119</f>
        <v>0</v>
      </c>
    </row>
    <row r="120" spans="1:15" x14ac:dyDescent="0.2">
      <c r="A120" s="180"/>
      <c r="B120" s="182"/>
      <c r="C120" s="180"/>
      <c r="D120" s="162">
        <f>SUM(D118:D118)</f>
        <v>0</v>
      </c>
      <c r="E120" s="163">
        <f>SUM(E118:E119)</f>
        <v>194253.06</v>
      </c>
      <c r="F120" s="166"/>
      <c r="G120" s="167"/>
    </row>
    <row r="121" spans="1:15" x14ac:dyDescent="0.2">
      <c r="A121" s="180"/>
      <c r="B121" s="182"/>
      <c r="C121" s="180"/>
      <c r="D121" s="164"/>
      <c r="E121" s="165"/>
      <c r="F121" s="166"/>
      <c r="G121" s="167"/>
    </row>
    <row r="122" spans="1:15" x14ac:dyDescent="0.2">
      <c r="A122" s="186" t="s">
        <v>177</v>
      </c>
      <c r="B122" s="182" t="s">
        <v>42</v>
      </c>
      <c r="C122" s="186" t="s">
        <v>143</v>
      </c>
      <c r="D122" s="222">
        <v>9300</v>
      </c>
      <c r="E122" s="142">
        <v>476039</v>
      </c>
      <c r="F122" s="232"/>
      <c r="G122" s="231"/>
      <c r="J122" s="128">
        <f>E122</f>
        <v>476039</v>
      </c>
      <c r="N122" s="129">
        <f>SUM(I122:M122)</f>
        <v>476039</v>
      </c>
      <c r="O122" s="129">
        <f>+N122-E122</f>
        <v>0</v>
      </c>
    </row>
    <row r="123" spans="1:15" x14ac:dyDescent="0.2">
      <c r="A123" s="180"/>
      <c r="B123" s="182" t="s">
        <v>1</v>
      </c>
      <c r="C123" s="180" t="s">
        <v>139</v>
      </c>
      <c r="D123" s="143" t="s">
        <v>83</v>
      </c>
      <c r="E123" s="139">
        <f>C123*1591.35</f>
        <v>6365.4</v>
      </c>
      <c r="F123" s="151"/>
      <c r="G123" s="141"/>
      <c r="L123" s="128">
        <f>E123</f>
        <v>6365.4</v>
      </c>
      <c r="N123" s="129">
        <f>SUM(I123:M123)</f>
        <v>6365.4</v>
      </c>
      <c r="O123" s="129">
        <f>+N123-E123</f>
        <v>0</v>
      </c>
    </row>
    <row r="124" spans="1:15" x14ac:dyDescent="0.2">
      <c r="A124" s="180"/>
      <c r="B124" s="182"/>
      <c r="C124" s="180"/>
      <c r="D124" s="162">
        <f>SUM(D122:D122)</f>
        <v>9300</v>
      </c>
      <c r="E124" s="163">
        <f>SUM(E122:E123)</f>
        <v>482404.4</v>
      </c>
      <c r="F124" s="166"/>
      <c r="G124" s="167"/>
    </row>
    <row r="125" spans="1:15" x14ac:dyDescent="0.2">
      <c r="A125" s="180"/>
      <c r="B125" s="182"/>
      <c r="C125" s="180"/>
      <c r="D125" s="164"/>
      <c r="E125" s="165"/>
      <c r="F125" s="166"/>
      <c r="G125" s="167"/>
    </row>
    <row r="126" spans="1:15" x14ac:dyDescent="0.2">
      <c r="A126" s="186">
        <v>10135920</v>
      </c>
      <c r="B126" s="182" t="s">
        <v>42</v>
      </c>
      <c r="C126" s="186" t="s">
        <v>143</v>
      </c>
      <c r="D126" s="222">
        <v>5261</v>
      </c>
      <c r="E126" s="142">
        <v>182924</v>
      </c>
      <c r="F126" s="232"/>
      <c r="G126" s="231"/>
      <c r="J126" s="128">
        <f>E126</f>
        <v>182924</v>
      </c>
      <c r="N126" s="129">
        <f>SUM(I126:M126)</f>
        <v>182924</v>
      </c>
      <c r="O126" s="129">
        <f>+N126-E126</f>
        <v>0</v>
      </c>
    </row>
    <row r="127" spans="1:15" x14ac:dyDescent="0.2">
      <c r="A127" s="180"/>
      <c r="B127" s="182" t="s">
        <v>1</v>
      </c>
      <c r="C127" s="180" t="s">
        <v>174</v>
      </c>
      <c r="D127" s="143" t="s">
        <v>83</v>
      </c>
      <c r="E127" s="139">
        <f>C127*1591.35</f>
        <v>12730.8</v>
      </c>
      <c r="F127" s="151"/>
      <c r="G127" s="141"/>
      <c r="L127" s="128">
        <f>E127</f>
        <v>12730.8</v>
      </c>
      <c r="N127" s="129">
        <f>SUM(I127:M127)</f>
        <v>12730.8</v>
      </c>
      <c r="O127" s="129">
        <f>+N127-E127</f>
        <v>0</v>
      </c>
    </row>
    <row r="128" spans="1:15" x14ac:dyDescent="0.2">
      <c r="A128" s="180"/>
      <c r="B128" s="182"/>
      <c r="C128" s="180"/>
      <c r="D128" s="162">
        <f>SUM(D126:D126)</f>
        <v>5261</v>
      </c>
      <c r="E128" s="163">
        <f>SUM(E126:E127)</f>
        <v>195654.8</v>
      </c>
      <c r="F128" s="166"/>
      <c r="G128" s="167"/>
    </row>
    <row r="129" spans="1:15" x14ac:dyDescent="0.2">
      <c r="A129" s="180"/>
      <c r="B129" s="182"/>
      <c r="C129" s="180"/>
      <c r="D129" s="164"/>
      <c r="E129" s="165"/>
      <c r="F129" s="166"/>
      <c r="G129" s="167"/>
    </row>
    <row r="130" spans="1:15" x14ac:dyDescent="0.2">
      <c r="A130" s="186">
        <v>10137414</v>
      </c>
      <c r="B130" s="182" t="s">
        <v>42</v>
      </c>
      <c r="C130" s="186" t="s">
        <v>143</v>
      </c>
      <c r="D130" s="222">
        <v>15</v>
      </c>
      <c r="E130" s="142">
        <v>1156.74</v>
      </c>
      <c r="F130" s="232"/>
      <c r="G130" s="231"/>
      <c r="J130" s="128">
        <f>E130</f>
        <v>1156.74</v>
      </c>
      <c r="N130" s="129">
        <f>SUM(I130:M130)</f>
        <v>1156.74</v>
      </c>
      <c r="O130" s="129">
        <f>+N130-E130</f>
        <v>0</v>
      </c>
    </row>
    <row r="131" spans="1:15" x14ac:dyDescent="0.2">
      <c r="A131" s="180"/>
      <c r="B131" s="182" t="s">
        <v>1</v>
      </c>
      <c r="C131" s="180" t="s">
        <v>112</v>
      </c>
      <c r="D131" s="143" t="s">
        <v>83</v>
      </c>
      <c r="E131" s="139"/>
      <c r="F131" s="151"/>
      <c r="G131" s="141"/>
      <c r="L131" s="128">
        <f>E131</f>
        <v>0</v>
      </c>
      <c r="N131" s="129">
        <f>SUM(I131:M131)</f>
        <v>0</v>
      </c>
      <c r="O131" s="129">
        <f>+N131-E131</f>
        <v>0</v>
      </c>
    </row>
    <row r="132" spans="1:15" x14ac:dyDescent="0.2">
      <c r="A132" s="180"/>
      <c r="B132" s="182"/>
      <c r="C132" s="180"/>
      <c r="D132" s="162">
        <f>SUM(D130:D130)</f>
        <v>15</v>
      </c>
      <c r="E132" s="163">
        <f>SUM(E130:E131)</f>
        <v>1156.74</v>
      </c>
      <c r="F132" s="166"/>
      <c r="G132" s="167"/>
    </row>
    <row r="133" spans="1:15" x14ac:dyDescent="0.2">
      <c r="A133" s="180"/>
      <c r="B133" s="182"/>
      <c r="C133" s="180"/>
      <c r="D133" s="164"/>
      <c r="E133" s="165"/>
      <c r="F133" s="166"/>
      <c r="G133" s="167"/>
    </row>
    <row r="134" spans="1:15" x14ac:dyDescent="0.2">
      <c r="A134" s="186" t="s">
        <v>170</v>
      </c>
      <c r="B134" s="182" t="s">
        <v>42</v>
      </c>
      <c r="C134" s="186" t="s">
        <v>143</v>
      </c>
      <c r="D134" s="168">
        <v>4886</v>
      </c>
      <c r="E134" s="142">
        <v>128220</v>
      </c>
      <c r="F134" s="232"/>
      <c r="G134" s="231"/>
      <c r="J134" s="128">
        <f>E134</f>
        <v>128220</v>
      </c>
      <c r="N134" s="129">
        <f>SUM(I134:M134)</f>
        <v>128220</v>
      </c>
      <c r="O134" s="129">
        <f>+N134-E134</f>
        <v>0</v>
      </c>
    </row>
    <row r="135" spans="1:15" x14ac:dyDescent="0.2">
      <c r="A135" s="180"/>
      <c r="B135" s="182" t="s">
        <v>1</v>
      </c>
      <c r="C135" s="180" t="s">
        <v>175</v>
      </c>
      <c r="D135" s="143" t="s">
        <v>78</v>
      </c>
      <c r="E135" s="139">
        <f>C135*1591.35</f>
        <v>50923.199999999997</v>
      </c>
      <c r="F135" s="151"/>
      <c r="G135" s="141"/>
      <c r="L135" s="128">
        <f>E135</f>
        <v>50923.199999999997</v>
      </c>
      <c r="N135" s="129">
        <f>SUM(I135:M135)</f>
        <v>50923.199999999997</v>
      </c>
      <c r="O135" s="129">
        <f>+N135-E135</f>
        <v>0</v>
      </c>
    </row>
    <row r="136" spans="1:15" x14ac:dyDescent="0.2">
      <c r="A136" s="180"/>
      <c r="B136" s="182"/>
      <c r="C136" s="180"/>
      <c r="D136" s="162">
        <f>SUM(D134:D134)</f>
        <v>4886</v>
      </c>
      <c r="E136" s="163">
        <f>SUM(E134:E135)</f>
        <v>179143.2</v>
      </c>
      <c r="F136" s="166"/>
      <c r="G136" s="167"/>
    </row>
    <row r="137" spans="1:15" x14ac:dyDescent="0.2">
      <c r="A137" s="180"/>
      <c r="B137" s="182"/>
      <c r="C137" s="180"/>
      <c r="D137" s="168"/>
      <c r="E137" s="142"/>
      <c r="F137" s="232"/>
      <c r="G137" s="231"/>
    </row>
    <row r="138" spans="1:15" x14ac:dyDescent="0.2">
      <c r="A138" s="180"/>
      <c r="B138" s="185"/>
      <c r="C138" s="180"/>
      <c r="D138" s="168"/>
      <c r="E138" s="142"/>
      <c r="G138" s="183"/>
    </row>
    <row r="139" spans="1:15" x14ac:dyDescent="0.2">
      <c r="A139" s="169"/>
      <c r="B139" s="170" t="s">
        <v>53</v>
      </c>
      <c r="C139" s="169"/>
      <c r="D139" s="146">
        <f>SUM(D116,D112,D108,D103,D95,D91,D85,D79,D73,D68,D64,D120,D60,D55,D50,D46,D42,D37,D33,D28,D23,D19,D14+D8+D124+D128+D132+D136)</f>
        <v>111998</v>
      </c>
      <c r="E139" s="146">
        <f>SUM(E116,E112,E108,E103,E95,E91,E85,E79,E73,E68,E64,E120,E60,E55,E50,E46,E42,E37,E33,E28,E23,E19,E14+E8+E124+E128+E132+E136)</f>
        <v>8915082.7500000019</v>
      </c>
      <c r="F139" s="148">
        <v>94253</v>
      </c>
      <c r="G139" s="148">
        <v>7121295</v>
      </c>
      <c r="I139" s="134">
        <f>SUM(I7:I138)</f>
        <v>163544</v>
      </c>
      <c r="J139" s="134">
        <f t="shared" ref="J139:N139" si="9">SUM(J7:J138)</f>
        <v>7596218.6499999994</v>
      </c>
      <c r="K139" s="134">
        <f t="shared" si="9"/>
        <v>0</v>
      </c>
      <c r="L139" s="134">
        <f>SUM(L7:L138)</f>
        <v>1155320.0999999999</v>
      </c>
      <c r="M139" s="134">
        <f t="shared" si="9"/>
        <v>0</v>
      </c>
      <c r="N139" s="134">
        <f t="shared" si="9"/>
        <v>8915082.75</v>
      </c>
      <c r="O139" s="136">
        <f>E139-N139</f>
        <v>0</v>
      </c>
    </row>
    <row r="140" spans="1:15" x14ac:dyDescent="0.2">
      <c r="A140" s="169"/>
      <c r="B140" s="170"/>
      <c r="C140" s="169"/>
      <c r="D140" s="171"/>
      <c r="E140" s="171"/>
      <c r="F140" s="130"/>
      <c r="G140" s="130"/>
    </row>
    <row r="141" spans="1:15" x14ac:dyDescent="0.2">
      <c r="A141" s="188" t="s">
        <v>62</v>
      </c>
      <c r="B141" s="170"/>
      <c r="C141" s="169"/>
      <c r="D141" s="172"/>
      <c r="E141" s="171"/>
      <c r="F141" s="130"/>
      <c r="G141" s="130"/>
    </row>
    <row r="142" spans="1:15" x14ac:dyDescent="0.2">
      <c r="A142" s="188" t="s">
        <v>80</v>
      </c>
      <c r="B142" s="170"/>
      <c r="C142" s="169"/>
      <c r="E142" s="171"/>
      <c r="F142" s="169"/>
      <c r="G142" s="169"/>
    </row>
    <row r="143" spans="1:15" x14ac:dyDescent="0.2">
      <c r="A143" s="188" t="s">
        <v>79</v>
      </c>
      <c r="B143" s="170"/>
      <c r="C143" s="169"/>
      <c r="E143" s="171"/>
      <c r="F143" s="169"/>
      <c r="G143" s="169"/>
    </row>
    <row r="144" spans="1:15" x14ac:dyDescent="0.2">
      <c r="A144" s="188" t="s">
        <v>107</v>
      </c>
      <c r="B144" s="170"/>
      <c r="C144" s="169"/>
      <c r="E144" s="171"/>
      <c r="F144" s="169"/>
      <c r="G144" s="169"/>
    </row>
  </sheetData>
  <mergeCells count="1">
    <mergeCell ref="F5:G5"/>
  </mergeCells>
  <pageMargins left="0.7" right="0.7" top="0.75" bottom="0.75" header="0.3" footer="0.3"/>
  <pageSetup scale="95" fitToHeight="0" orientation="portrait" r:id="rId1"/>
  <headerFooter>
    <oddHeader>&amp;R 2024 Schedule IV
Page &amp;P of &amp;N</oddHeader>
  </headerFooter>
  <rowBreaks count="1" manualBreakCount="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20"/>
  <sheetViews>
    <sheetView zoomScaleNormal="100" workbookViewId="0">
      <selection activeCell="L35" sqref="L35"/>
    </sheetView>
  </sheetViews>
  <sheetFormatPr defaultColWidth="9.140625" defaultRowHeight="15" x14ac:dyDescent="0.25"/>
  <cols>
    <col min="1" max="1" width="3.7109375" style="10" customWidth="1"/>
    <col min="2" max="2" width="19.5703125" style="10" customWidth="1"/>
    <col min="3" max="3" width="9.140625" style="10" bestFit="1" customWidth="1"/>
    <col min="4" max="6" width="9" style="10" bestFit="1" customWidth="1"/>
    <col min="7" max="14" width="10.5703125" style="10" bestFit="1" customWidth="1"/>
    <col min="15" max="15" width="12.85546875" style="10" bestFit="1" customWidth="1"/>
    <col min="16" max="16" width="11.28515625" style="10" bestFit="1" customWidth="1"/>
    <col min="17" max="17" width="10.5703125" style="10" bestFit="1" customWidth="1"/>
    <col min="18" max="18" width="13.5703125" style="10" bestFit="1" customWidth="1"/>
    <col min="19" max="16384" width="9.140625" style="10"/>
  </cols>
  <sheetData>
    <row r="1" spans="1:22" x14ac:dyDescent="0.25">
      <c r="A1" s="189" t="s">
        <v>60</v>
      </c>
      <c r="B1" s="189"/>
      <c r="C1" s="190"/>
      <c r="D1" s="191"/>
      <c r="E1" s="192"/>
      <c r="F1" s="193"/>
      <c r="G1" s="193"/>
      <c r="H1" s="193"/>
      <c r="I1" s="193"/>
      <c r="J1" s="193"/>
      <c r="K1" s="193"/>
      <c r="L1" s="192"/>
      <c r="M1" s="193"/>
      <c r="N1" s="193"/>
      <c r="O1" s="193"/>
      <c r="P1" s="192"/>
      <c r="Q1" s="193"/>
      <c r="R1" s="192" t="s">
        <v>76</v>
      </c>
    </row>
    <row r="2" spans="1:22" x14ac:dyDescent="0.25">
      <c r="A2" s="189" t="s">
        <v>129</v>
      </c>
      <c r="B2" s="189"/>
      <c r="C2" s="190"/>
      <c r="D2" s="191"/>
      <c r="E2" s="194"/>
      <c r="F2" s="193"/>
      <c r="G2" s="193"/>
      <c r="H2" s="193"/>
      <c r="I2" s="193"/>
      <c r="J2" s="193"/>
      <c r="K2" s="193"/>
      <c r="L2" s="193"/>
      <c r="M2" s="193"/>
      <c r="N2" s="193"/>
      <c r="O2" s="193"/>
      <c r="P2" s="193"/>
      <c r="Q2" s="193"/>
      <c r="R2" s="193"/>
    </row>
    <row r="3" spans="1:22" x14ac:dyDescent="0.25">
      <c r="C3" s="193"/>
      <c r="D3" s="193"/>
      <c r="E3" s="193"/>
      <c r="F3" s="193"/>
      <c r="G3" s="193"/>
      <c r="H3" s="193"/>
      <c r="I3" s="193"/>
      <c r="J3" s="193"/>
      <c r="K3" s="193"/>
      <c r="L3" s="193"/>
      <c r="M3" s="193"/>
      <c r="N3" s="193"/>
      <c r="O3" s="193"/>
      <c r="P3" s="193"/>
      <c r="Q3" s="193"/>
      <c r="R3" s="193"/>
      <c r="V3" s="221"/>
    </row>
    <row r="4" spans="1:22" x14ac:dyDescent="0.25">
      <c r="C4" s="195" t="s">
        <v>88</v>
      </c>
      <c r="D4" s="195"/>
      <c r="E4" s="195"/>
      <c r="F4" s="195"/>
      <c r="G4" s="195"/>
      <c r="H4" s="195"/>
      <c r="I4" s="195"/>
      <c r="J4" s="195"/>
      <c r="K4" s="195"/>
      <c r="L4" s="195"/>
      <c r="M4" s="195"/>
      <c r="N4" s="195"/>
      <c r="O4" s="195"/>
      <c r="P4" s="195"/>
      <c r="Q4" s="193"/>
      <c r="R4" s="193"/>
    </row>
    <row r="5" spans="1:22" ht="45" x14ac:dyDescent="0.25">
      <c r="A5" s="196" t="s">
        <v>89</v>
      </c>
      <c r="B5" s="196"/>
      <c r="C5" s="197">
        <v>45291</v>
      </c>
      <c r="D5" s="197">
        <v>45322</v>
      </c>
      <c r="E5" s="197">
        <v>45350</v>
      </c>
      <c r="F5" s="197">
        <v>45382</v>
      </c>
      <c r="G5" s="197">
        <v>45412</v>
      </c>
      <c r="H5" s="197">
        <v>45443</v>
      </c>
      <c r="I5" s="197">
        <v>45473</v>
      </c>
      <c r="J5" s="197">
        <v>45504</v>
      </c>
      <c r="K5" s="197">
        <v>45535</v>
      </c>
      <c r="L5" s="197">
        <v>45565</v>
      </c>
      <c r="M5" s="197">
        <v>45596</v>
      </c>
      <c r="N5" s="197">
        <v>45626</v>
      </c>
      <c r="O5" s="233" t="s">
        <v>184</v>
      </c>
      <c r="P5" s="234" t="s">
        <v>185</v>
      </c>
      <c r="Q5" s="198" t="s">
        <v>90</v>
      </c>
      <c r="R5" s="199" t="s">
        <v>92</v>
      </c>
    </row>
    <row r="6" spans="1:22" x14ac:dyDescent="0.25">
      <c r="A6" s="3" t="s">
        <v>50</v>
      </c>
      <c r="C6" s="200">
        <v>1207</v>
      </c>
      <c r="D6" s="200">
        <f>C6+55972</f>
        <v>57179</v>
      </c>
      <c r="E6" s="200">
        <f>D6</f>
        <v>57179</v>
      </c>
      <c r="F6" s="200">
        <f>E6+11826</f>
        <v>69005</v>
      </c>
      <c r="G6" s="200">
        <f>F6+629</f>
        <v>69634</v>
      </c>
      <c r="H6" s="200">
        <f>G6+475</f>
        <v>70109</v>
      </c>
      <c r="I6" s="200">
        <f>H6+20158</f>
        <v>90267</v>
      </c>
      <c r="J6" s="200">
        <f>I6+39153</f>
        <v>129420</v>
      </c>
      <c r="K6" s="200">
        <f>J6+43.59</f>
        <v>129463.59</v>
      </c>
      <c r="L6" s="200">
        <f>K6</f>
        <v>129463.59</v>
      </c>
      <c r="M6" s="200">
        <f>L6+2021.12</f>
        <v>131484.71</v>
      </c>
      <c r="N6" s="200">
        <f>M6+18021.64</f>
        <v>149506.34999999998</v>
      </c>
      <c r="O6" s="201">
        <f>N6+15244.56</f>
        <v>164750.90999999997</v>
      </c>
      <c r="P6" s="202">
        <f>O6-C6</f>
        <v>163543.90999999997</v>
      </c>
      <c r="Q6" s="203">
        <f>SUM(C6:O6)/13</f>
        <v>96051.473076923052</v>
      </c>
      <c r="R6" s="193">
        <v>170000</v>
      </c>
    </row>
    <row r="7" spans="1:22" x14ac:dyDescent="0.25">
      <c r="C7" s="191"/>
      <c r="D7" s="191"/>
      <c r="E7" s="191"/>
      <c r="F7" s="191"/>
      <c r="G7" s="191"/>
      <c r="H7" s="191"/>
      <c r="I7" s="191"/>
      <c r="J7" s="191"/>
      <c r="K7" s="191"/>
      <c r="L7" s="191"/>
      <c r="M7" s="191"/>
      <c r="N7" s="191"/>
      <c r="O7" s="204"/>
      <c r="P7" s="205"/>
      <c r="Q7" s="203"/>
      <c r="R7" s="193"/>
    </row>
    <row r="8" spans="1:22" x14ac:dyDescent="0.25">
      <c r="A8" s="3" t="s">
        <v>42</v>
      </c>
      <c r="C8" s="191"/>
      <c r="D8" s="191"/>
      <c r="E8" s="191"/>
      <c r="F8" s="191"/>
      <c r="G8" s="191"/>
      <c r="H8" s="191"/>
      <c r="I8" s="191"/>
      <c r="J8" s="191"/>
      <c r="K8" s="191"/>
      <c r="L8" s="191"/>
      <c r="M8" s="191"/>
      <c r="N8" s="191"/>
      <c r="O8" s="204"/>
      <c r="P8" s="205"/>
      <c r="Q8" s="203"/>
      <c r="R8" s="193">
        <v>3062898</v>
      </c>
    </row>
    <row r="9" spans="1:22" x14ac:dyDescent="0.25">
      <c r="B9" s="10" t="s">
        <v>85</v>
      </c>
      <c r="C9" s="200">
        <v>67782</v>
      </c>
      <c r="D9" s="200">
        <f>C9+12928.81</f>
        <v>80710.81</v>
      </c>
      <c r="E9" s="200">
        <f>D9+23975.71</f>
        <v>104686.51999999999</v>
      </c>
      <c r="F9" s="200">
        <f>E9+38611.95</f>
        <v>143298.46999999997</v>
      </c>
      <c r="G9" s="200">
        <f>F9+58708.21</f>
        <v>202006.67999999996</v>
      </c>
      <c r="H9" s="200">
        <f>G9+104554.33</f>
        <v>306561.00999999995</v>
      </c>
      <c r="I9" s="200">
        <f>H9+87660.48</f>
        <v>394221.48999999993</v>
      </c>
      <c r="J9" s="200">
        <f>I9+92523.51</f>
        <v>486744.99999999994</v>
      </c>
      <c r="K9" s="200">
        <f>J9+194883.98</f>
        <v>681628.98</v>
      </c>
      <c r="L9" s="200">
        <f>K9+142394.07</f>
        <v>824023.05</v>
      </c>
      <c r="M9" s="200">
        <f>L9+218885.78</f>
        <v>1042908.8300000001</v>
      </c>
      <c r="N9" s="200">
        <f>M9+34670.39</f>
        <v>1077579.22</v>
      </c>
      <c r="O9" s="206">
        <f>N9+1076.94</f>
        <v>1078656.1599999999</v>
      </c>
      <c r="P9" s="202">
        <f>O9-C9</f>
        <v>1010874.1599999999</v>
      </c>
      <c r="Q9" s="203">
        <f t="shared" ref="Q9:Q10" si="0">SUM(C9:O9)/13</f>
        <v>499292.94</v>
      </c>
      <c r="R9" s="193"/>
    </row>
    <row r="10" spans="1:22" x14ac:dyDescent="0.25">
      <c r="B10" s="10" t="s">
        <v>77</v>
      </c>
      <c r="C10" s="200">
        <v>67109</v>
      </c>
      <c r="D10" s="200">
        <f>C10+32886.65</f>
        <v>99995.65</v>
      </c>
      <c r="E10" s="200">
        <f>D10+78656.29</f>
        <v>178651.94</v>
      </c>
      <c r="F10" s="200">
        <f>E10+50497.45</f>
        <v>229149.39</v>
      </c>
      <c r="G10" s="200">
        <f>F10+276333.78</f>
        <v>505483.17000000004</v>
      </c>
      <c r="H10" s="200">
        <f>G10+559599.54</f>
        <v>1065082.71</v>
      </c>
      <c r="I10" s="200">
        <f>H10+547407.11</f>
        <v>1612489.8199999998</v>
      </c>
      <c r="J10" s="200">
        <f>I10+940891.77</f>
        <v>2553381.59</v>
      </c>
      <c r="K10" s="200">
        <f>J10+618730.35</f>
        <v>3172111.94</v>
      </c>
      <c r="L10" s="200">
        <f>K10+743418.49</f>
        <v>3915530.4299999997</v>
      </c>
      <c r="M10" s="200">
        <f>L10+1214379.14</f>
        <v>5129909.5699999994</v>
      </c>
      <c r="N10" s="200">
        <f>M10+649699.72</f>
        <v>5779609.2899999991</v>
      </c>
      <c r="O10" s="206">
        <f>N10+289908.48</f>
        <v>6069517.7699999996</v>
      </c>
      <c r="P10" s="202">
        <f>O10-C10</f>
        <v>6002408.7699999996</v>
      </c>
      <c r="Q10" s="203">
        <f t="shared" si="0"/>
        <v>2336770.9438461536</v>
      </c>
      <c r="R10" s="193"/>
    </row>
    <row r="11" spans="1:22" x14ac:dyDescent="0.25">
      <c r="B11" s="10" t="s">
        <v>122</v>
      </c>
      <c r="C11" s="200"/>
      <c r="D11" s="200">
        <f t="shared" ref="D11:J11" si="1">C11</f>
        <v>0</v>
      </c>
      <c r="E11" s="200">
        <f t="shared" si="1"/>
        <v>0</v>
      </c>
      <c r="F11" s="200">
        <f t="shared" si="1"/>
        <v>0</v>
      </c>
      <c r="G11" s="200">
        <f t="shared" si="1"/>
        <v>0</v>
      </c>
      <c r="H11" s="200">
        <f t="shared" si="1"/>
        <v>0</v>
      </c>
      <c r="I11" s="200">
        <f t="shared" si="1"/>
        <v>0</v>
      </c>
      <c r="J11" s="200">
        <f t="shared" si="1"/>
        <v>0</v>
      </c>
      <c r="K11" s="200">
        <v>3565.11</v>
      </c>
      <c r="L11" s="200">
        <f>K11+4784.16</f>
        <v>8349.27</v>
      </c>
      <c r="M11" s="200">
        <f>L11+982.45</f>
        <v>9331.7200000000012</v>
      </c>
      <c r="N11" s="200">
        <f>M11</f>
        <v>9331.7200000000012</v>
      </c>
      <c r="O11" s="206">
        <f>N11</f>
        <v>9331.7200000000012</v>
      </c>
      <c r="P11" s="202">
        <f>O11-C11</f>
        <v>9331.7200000000012</v>
      </c>
      <c r="Q11" s="203">
        <f t="shared" ref="Q11" si="2">SUM(C11:O11)/13</f>
        <v>3069.9646153846161</v>
      </c>
      <c r="R11" s="193"/>
    </row>
    <row r="12" spans="1:22" x14ac:dyDescent="0.25">
      <c r="A12" s="3" t="s">
        <v>117</v>
      </c>
      <c r="C12" s="194"/>
      <c r="D12" s="194"/>
      <c r="E12" s="194"/>
      <c r="F12" s="194"/>
      <c r="G12" s="194"/>
      <c r="H12" s="194"/>
      <c r="I12" s="207"/>
      <c r="J12" s="194"/>
      <c r="K12" s="194"/>
      <c r="L12" s="207"/>
      <c r="M12" s="207"/>
      <c r="N12" s="207"/>
      <c r="O12" s="204"/>
      <c r="P12" s="205"/>
      <c r="Q12" s="203"/>
      <c r="R12" s="191"/>
    </row>
    <row r="13" spans="1:22" x14ac:dyDescent="0.25">
      <c r="B13" s="10" t="s">
        <v>118</v>
      </c>
      <c r="C13" s="208"/>
      <c r="D13" s="208">
        <v>0</v>
      </c>
      <c r="E13" s="208">
        <v>0</v>
      </c>
      <c r="F13" s="208">
        <v>16645.36</v>
      </c>
      <c r="G13" s="208">
        <v>22443.83</v>
      </c>
      <c r="H13" s="208">
        <v>22443.83</v>
      </c>
      <c r="I13" s="208">
        <v>38099.740000000005</v>
      </c>
      <c r="J13" s="208">
        <v>193622.31</v>
      </c>
      <c r="K13" s="208">
        <v>324680.16000000003</v>
      </c>
      <c r="L13" s="208">
        <v>445981.93000000005</v>
      </c>
      <c r="M13" s="208">
        <v>547101.41</v>
      </c>
      <c r="N13" s="208">
        <v>573604.77</v>
      </c>
      <c r="O13" s="209">
        <v>573604.77</v>
      </c>
      <c r="P13" s="210">
        <f>O13-C13</f>
        <v>573604.77</v>
      </c>
      <c r="Q13" s="210">
        <f>SUM(C13:O13)/13</f>
        <v>212171.39307692309</v>
      </c>
      <c r="R13" s="211"/>
    </row>
    <row r="14" spans="1:22" x14ac:dyDescent="0.25">
      <c r="C14" s="203">
        <f t="shared" ref="C14:O14" si="3">SUM(C9:C13)</f>
        <v>134891</v>
      </c>
      <c r="D14" s="203">
        <f t="shared" si="3"/>
        <v>180706.46</v>
      </c>
      <c r="E14" s="203">
        <f t="shared" si="3"/>
        <v>283338.45999999996</v>
      </c>
      <c r="F14" s="203">
        <f t="shared" si="3"/>
        <v>389093.22</v>
      </c>
      <c r="G14" s="203">
        <f t="shared" si="3"/>
        <v>729933.67999999993</v>
      </c>
      <c r="H14" s="203">
        <f t="shared" si="3"/>
        <v>1394087.55</v>
      </c>
      <c r="I14" s="203">
        <f t="shared" si="3"/>
        <v>2044811.0499999998</v>
      </c>
      <c r="J14" s="203">
        <f t="shared" si="3"/>
        <v>3233748.9</v>
      </c>
      <c r="K14" s="203">
        <f t="shared" si="3"/>
        <v>4181986.19</v>
      </c>
      <c r="L14" s="203">
        <f t="shared" si="3"/>
        <v>5193884.6799999988</v>
      </c>
      <c r="M14" s="203">
        <f t="shared" si="3"/>
        <v>6729251.5299999993</v>
      </c>
      <c r="N14" s="203">
        <f t="shared" si="3"/>
        <v>7440124.9999999981</v>
      </c>
      <c r="O14" s="206">
        <f t="shared" si="3"/>
        <v>7731110.4199999999</v>
      </c>
      <c r="P14" s="202">
        <f>O14-C14</f>
        <v>7596219.4199999999</v>
      </c>
      <c r="Q14" s="203">
        <f t="shared" ref="Q14:Q17" si="4">SUM(C14:O14)/13</f>
        <v>3051305.2415384618</v>
      </c>
      <c r="R14" s="193">
        <f>SUM(R8:R13)</f>
        <v>3062898</v>
      </c>
    </row>
    <row r="15" spans="1:22" x14ac:dyDescent="0.25">
      <c r="C15" s="207"/>
      <c r="D15" s="207"/>
      <c r="E15" s="207"/>
      <c r="F15" s="207"/>
      <c r="G15" s="207"/>
      <c r="H15" s="207"/>
      <c r="I15" s="207"/>
      <c r="J15" s="194"/>
      <c r="K15" s="194"/>
      <c r="L15" s="207"/>
      <c r="M15" s="207"/>
      <c r="N15" s="207"/>
      <c r="O15" s="204"/>
      <c r="P15" s="205"/>
      <c r="Q15" s="203">
        <f t="shared" si="4"/>
        <v>0</v>
      </c>
      <c r="R15" s="191"/>
    </row>
    <row r="16" spans="1:22" x14ac:dyDescent="0.25">
      <c r="C16" s="207"/>
      <c r="D16" s="207"/>
      <c r="E16" s="207"/>
      <c r="F16" s="207"/>
      <c r="G16" s="207"/>
      <c r="H16" s="207"/>
      <c r="I16" s="207"/>
      <c r="J16" s="207"/>
      <c r="K16" s="207"/>
      <c r="L16" s="207"/>
      <c r="M16" s="207"/>
      <c r="N16" s="207"/>
      <c r="O16" s="204"/>
      <c r="P16" s="205"/>
      <c r="Q16" s="203">
        <f t="shared" si="4"/>
        <v>0</v>
      </c>
      <c r="R16" s="191"/>
    </row>
    <row r="17" spans="1:18" x14ac:dyDescent="0.25">
      <c r="A17" s="3" t="s">
        <v>1</v>
      </c>
      <c r="C17" s="212">
        <v>78299</v>
      </c>
      <c r="D17" s="212">
        <v>78299.340000000084</v>
      </c>
      <c r="E17" s="212">
        <v>78299.340000000084</v>
      </c>
      <c r="F17" s="212">
        <v>78299.340000000084</v>
      </c>
      <c r="G17" s="212">
        <v>78299.340000000084</v>
      </c>
      <c r="H17" s="212">
        <v>78299.340000000084</v>
      </c>
      <c r="I17" s="212">
        <v>78299.340000000084</v>
      </c>
      <c r="J17" s="212">
        <v>78299.340000000084</v>
      </c>
      <c r="K17" s="212">
        <v>397630.34000000008</v>
      </c>
      <c r="L17" s="212">
        <v>632619.34000000008</v>
      </c>
      <c r="M17" s="212">
        <v>867608.69000000006</v>
      </c>
      <c r="N17" s="212">
        <v>1015604.6900000001</v>
      </c>
      <c r="O17" s="210">
        <v>1233619.24</v>
      </c>
      <c r="P17" s="213">
        <f>O17-C17</f>
        <v>1155320.24</v>
      </c>
      <c r="Q17" s="210">
        <f t="shared" si="4"/>
        <v>367190.51384615392</v>
      </c>
      <c r="R17" s="211">
        <v>327750</v>
      </c>
    </row>
    <row r="18" spans="1:18" x14ac:dyDescent="0.25">
      <c r="B18" s="19" t="s">
        <v>91</v>
      </c>
      <c r="C18" s="203">
        <f t="shared" ref="C18:Q18" si="5">C6+C14+C17</f>
        <v>214397</v>
      </c>
      <c r="D18" s="203">
        <f t="shared" si="5"/>
        <v>316184.80000000005</v>
      </c>
      <c r="E18" s="203">
        <f t="shared" si="5"/>
        <v>418816.80000000005</v>
      </c>
      <c r="F18" s="203">
        <f t="shared" si="5"/>
        <v>536397.56000000006</v>
      </c>
      <c r="G18" s="203">
        <f t="shared" si="5"/>
        <v>877867.02</v>
      </c>
      <c r="H18" s="203">
        <f t="shared" si="5"/>
        <v>1542495.8900000001</v>
      </c>
      <c r="I18" s="203">
        <f t="shared" si="5"/>
        <v>2213377.3899999997</v>
      </c>
      <c r="J18" s="203">
        <f t="shared" si="5"/>
        <v>3441468.24</v>
      </c>
      <c r="K18" s="203">
        <f t="shared" si="5"/>
        <v>4709080.12</v>
      </c>
      <c r="L18" s="203">
        <f t="shared" si="5"/>
        <v>5955967.6099999985</v>
      </c>
      <c r="M18" s="203">
        <f t="shared" si="5"/>
        <v>7728344.9299999997</v>
      </c>
      <c r="N18" s="203">
        <f t="shared" si="5"/>
        <v>8605236.0399999972</v>
      </c>
      <c r="O18" s="203">
        <f t="shared" si="5"/>
        <v>9129480.5700000003</v>
      </c>
      <c r="P18" s="203">
        <f t="shared" si="5"/>
        <v>8915083.5700000003</v>
      </c>
      <c r="Q18" s="203">
        <f t="shared" si="5"/>
        <v>3514547.2284615389</v>
      </c>
      <c r="R18" s="194">
        <f>R6+R14+R17</f>
        <v>3560648</v>
      </c>
    </row>
    <row r="20" spans="1:18" x14ac:dyDescent="0.25">
      <c r="O20" s="221"/>
    </row>
  </sheetData>
  <pageMargins left="0.7" right="0.7" top="0.75" bottom="0.75" header="0.3" footer="0.3"/>
  <pageSetup scale="63"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W21"/>
  <sheetViews>
    <sheetView view="pageBreakPreview" zoomScaleNormal="100" zoomScaleSheetLayoutView="100" workbookViewId="0">
      <selection activeCell="G13" sqref="G13"/>
    </sheetView>
  </sheetViews>
  <sheetFormatPr defaultRowHeight="15" x14ac:dyDescent="0.25"/>
  <cols>
    <col min="22" max="22" width="9.140625" style="10"/>
  </cols>
  <sheetData>
    <row r="1" spans="1:23" x14ac:dyDescent="0.25">
      <c r="B1">
        <v>1</v>
      </c>
      <c r="C1">
        <v>2</v>
      </c>
      <c r="D1">
        <v>3</v>
      </c>
      <c r="E1">
        <v>4</v>
      </c>
      <c r="F1">
        <v>5</v>
      </c>
      <c r="G1">
        <v>6</v>
      </c>
      <c r="H1">
        <v>7</v>
      </c>
      <c r="I1">
        <v>8</v>
      </c>
      <c r="J1" s="10">
        <v>9</v>
      </c>
      <c r="K1" s="10">
        <v>10</v>
      </c>
      <c r="L1" s="10">
        <v>11</v>
      </c>
      <c r="M1" s="10">
        <v>12</v>
      </c>
      <c r="N1" s="10">
        <v>13</v>
      </c>
      <c r="O1" s="10">
        <v>14</v>
      </c>
      <c r="P1" s="10">
        <v>15</v>
      </c>
      <c r="Q1" s="10">
        <v>16</v>
      </c>
      <c r="R1" s="10">
        <v>17</v>
      </c>
      <c r="S1" s="10">
        <v>18</v>
      </c>
      <c r="T1" s="10">
        <v>19</v>
      </c>
      <c r="U1" s="10">
        <v>20</v>
      </c>
      <c r="V1" s="10">
        <v>21</v>
      </c>
    </row>
    <row r="2" spans="1:23" x14ac:dyDescent="0.25">
      <c r="A2">
        <v>7</v>
      </c>
      <c r="B2" s="1">
        <v>0.14285999999999999</v>
      </c>
      <c r="C2" s="1">
        <v>0.24490000000000001</v>
      </c>
      <c r="D2" s="1">
        <v>0.17491999999999999</v>
      </c>
      <c r="E2" s="1">
        <v>0.12495000000000001</v>
      </c>
      <c r="F2" s="1">
        <v>8.9249999999999996E-2</v>
      </c>
      <c r="G2" s="1">
        <v>8.9249999999999996E-2</v>
      </c>
      <c r="H2" s="1">
        <v>8.9249999999999996E-2</v>
      </c>
      <c r="I2" s="1">
        <v>4.462E-2</v>
      </c>
      <c r="J2" s="1"/>
      <c r="K2" s="1"/>
      <c r="W2" s="15">
        <f>SUM(B2:V2)</f>
        <v>1.0000000000000002</v>
      </c>
    </row>
    <row r="3" spans="1:23" x14ac:dyDescent="0.25">
      <c r="A3">
        <v>15</v>
      </c>
      <c r="B3" s="1">
        <v>0.05</v>
      </c>
      <c r="C3" s="1">
        <v>9.5000000000000001E-2</v>
      </c>
      <c r="D3" s="1">
        <v>8.5500000000000007E-2</v>
      </c>
      <c r="E3" s="1">
        <v>7.6950000000000005E-2</v>
      </c>
      <c r="F3" s="1">
        <v>6.9250000000000006E-2</v>
      </c>
      <c r="G3" s="1">
        <v>6.2330000000000003E-2</v>
      </c>
      <c r="H3" s="1">
        <v>5.9049999999999998E-2</v>
      </c>
      <c r="I3" s="1">
        <v>5.9049999999999998E-2</v>
      </c>
      <c r="J3" s="1">
        <v>5.9049999999999998E-2</v>
      </c>
      <c r="K3" s="1">
        <v>5.9049999999999998E-2</v>
      </c>
      <c r="L3" s="1">
        <v>5.9049999999999998E-2</v>
      </c>
      <c r="M3" s="1">
        <v>5.9049999999999998E-2</v>
      </c>
      <c r="N3" s="1">
        <v>5.9049999999999998E-2</v>
      </c>
      <c r="O3" s="1">
        <v>5.9049999999999998E-2</v>
      </c>
      <c r="P3" s="1">
        <v>5.9049999999999998E-2</v>
      </c>
      <c r="Q3" s="1">
        <v>2.9520000000000001E-2</v>
      </c>
      <c r="W3" s="15">
        <f>SUM(B3:V3)</f>
        <v>1.0000000000000004</v>
      </c>
    </row>
    <row r="4" spans="1:23" x14ac:dyDescent="0.25">
      <c r="A4">
        <v>20</v>
      </c>
      <c r="B4" s="1">
        <v>3.7499999999999999E-2</v>
      </c>
      <c r="C4" s="1">
        <v>7.2190000000000004E-2</v>
      </c>
      <c r="D4" s="1">
        <v>6.6769999999999996E-2</v>
      </c>
      <c r="E4" s="1">
        <v>6.1769999999999999E-2</v>
      </c>
      <c r="F4" s="1">
        <v>5.713E-2</v>
      </c>
      <c r="G4" s="1">
        <v>5.2850000000000001E-2</v>
      </c>
      <c r="H4" s="1">
        <v>4.888E-2</v>
      </c>
      <c r="I4" s="1">
        <v>4.5220000000000003E-2</v>
      </c>
      <c r="J4" s="1">
        <v>4.462E-2</v>
      </c>
      <c r="K4" s="1">
        <v>4.4609999999999997E-2</v>
      </c>
      <c r="L4" s="1">
        <v>4.462E-2</v>
      </c>
      <c r="M4" s="1">
        <v>4.4610000000000004E-2</v>
      </c>
      <c r="N4" s="1">
        <v>4.462E-2</v>
      </c>
      <c r="O4" s="1">
        <v>4.4610000000000004E-2</v>
      </c>
      <c r="P4" s="1">
        <v>4.462E-2</v>
      </c>
      <c r="Q4" s="1">
        <v>4.4610000000000004E-2</v>
      </c>
      <c r="R4" s="1">
        <v>4.462E-2</v>
      </c>
      <c r="S4" s="1">
        <v>4.4610000000000004E-2</v>
      </c>
      <c r="T4" s="1">
        <v>4.462E-2</v>
      </c>
      <c r="U4" s="1">
        <v>4.4610000000000004E-2</v>
      </c>
      <c r="V4" s="1">
        <v>2.231E-2</v>
      </c>
      <c r="W4" s="15">
        <f>SUM(B4:V4)</f>
        <v>1.0000000000000002</v>
      </c>
    </row>
    <row r="5" spans="1:23" x14ac:dyDescent="0.25">
      <c r="K5" s="1"/>
    </row>
    <row r="21" spans="4:4" x14ac:dyDescent="0.25">
      <c r="D21" s="2"/>
    </row>
  </sheetData>
  <pageMargins left="0.7" right="0.7" top="0.75" bottom="0.75" header="0.3" footer="0.3"/>
  <pageSetup scale="4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Sch I Summary</vt:lpstr>
      <vt:lpstr>Sch II 2024</vt:lpstr>
      <vt:lpstr>Schedule III</vt:lpstr>
      <vt:lpstr>Schedule IV 2024</vt:lpstr>
      <vt:lpstr>Schedule IV 2024 Monthly</vt:lpstr>
      <vt:lpstr>Tax Rates</vt:lpstr>
      <vt:lpstr>'Sch I Summary'!Print_Area</vt:lpstr>
      <vt:lpstr>'Schedule III'!Print_Area</vt:lpstr>
      <vt:lpstr>'Schedule IV 2024'!Print_Area</vt:lpstr>
      <vt:lpstr>'Schedule IV 2024'!Print_Titles</vt:lpstr>
    </vt:vector>
  </TitlesOfParts>
  <Company>Delta Natural Gas Company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Wesolosky</dc:creator>
  <cp:lastModifiedBy>Cascio, Allison D</cp:lastModifiedBy>
  <cp:lastPrinted>2025-03-21T15:13:32Z</cp:lastPrinted>
  <dcterms:created xsi:type="dcterms:W3CDTF">2010-04-18T23:26:28Z</dcterms:created>
  <dcterms:modified xsi:type="dcterms:W3CDTF">2025-03-21T15:26:28Z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2025 PRP Filing 2024 Actuals.xlsx</vt:lpwstr>
  </property>
</Properties>
</file>