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msserver2\KPSC Cases\0.0 - BR 2025-00078 - FAC Rvw Nov. 23 thru Apr. 24\Rsp to 1st IRs Prep\Initial Drafts\"/>
    </mc:Choice>
  </mc:AlternateContent>
  <xr:revisionPtr revIDLastSave="0" documentId="13_ncr:1_{8CA84F91-8AFA-4353-BF9B-3AEF1306DBC6}" xr6:coauthVersionLast="47" xr6:coauthVersionMax="47" xr10:uidLastSave="{00000000-0000-0000-0000-000000000000}"/>
  <bookViews>
    <workbookView xWindow="28680" yWindow="-135" windowWidth="29040" windowHeight="15720" xr2:uid="{93499A93-68D9-474D-A479-6916923F96A8}"/>
  </bookViews>
  <sheets>
    <sheet name="PSC 1-16" sheetId="1" r:id="rId1"/>
    <sheet name="Form B FuelBurned 11.2023" sheetId="2" r:id="rId2"/>
    <sheet name="Form B FuelBurned 12.2023" sheetId="3" r:id="rId3"/>
    <sheet name="Form B FuelBurned 01.2024" sheetId="4" r:id="rId4"/>
    <sheet name="Form B FuelBurned 02.2024" sheetId="5" r:id="rId5"/>
    <sheet name="Form B FuelBurned 03.2024" sheetId="7" r:id="rId6"/>
    <sheet name="Form B FuelBurned 04.2024" sheetId="8" r:id="rId7"/>
    <sheet name="Form A Pg 2 11.2023" sheetId="10" r:id="rId8"/>
    <sheet name="Form A Pg 2 12.2023" sheetId="14" r:id="rId9"/>
    <sheet name="Form A Pg 2 01.2024" sheetId="15" r:id="rId10"/>
    <sheet name="Form A Pg 2 02.2024" sheetId="9" r:id="rId11"/>
    <sheet name="Form A Pg 2 03.2024" sheetId="11" r:id="rId12"/>
    <sheet name="Form A Pg 2 04.2024" sheetId="12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9" i="3" l="1"/>
  <c r="T39" i="3" s="1"/>
  <c r="T42" i="3" s="1"/>
  <c r="O39" i="3"/>
  <c r="S38" i="3"/>
  <c r="T38" i="3" s="1"/>
  <c r="S37" i="3"/>
  <c r="R37" i="3" s="1"/>
  <c r="Q37" i="3" s="1"/>
  <c r="S36" i="3"/>
  <c r="T36" i="3" s="1"/>
  <c r="T35" i="3"/>
  <c r="S35" i="3"/>
  <c r="R35" i="3" s="1"/>
  <c r="Q35" i="3" s="1"/>
  <c r="S34" i="3"/>
  <c r="T34" i="3" s="1"/>
  <c r="T43" i="3" s="1"/>
  <c r="S33" i="3"/>
  <c r="R33" i="3" s="1"/>
  <c r="Q33" i="3" s="1"/>
  <c r="S32" i="3"/>
  <c r="T32" i="3" s="1"/>
  <c r="T31" i="3"/>
  <c r="S31" i="3"/>
  <c r="R31" i="3" s="1"/>
  <c r="Q31" i="3" s="1"/>
  <c r="S30" i="3"/>
  <c r="T30" i="3" s="1"/>
  <c r="S29" i="3"/>
  <c r="R29" i="3" s="1"/>
  <c r="Q29" i="3" s="1"/>
  <c r="S28" i="3"/>
  <c r="T28" i="3" s="1"/>
  <c r="T27" i="3"/>
  <c r="S27" i="3"/>
  <c r="R27" i="3" s="1"/>
  <c r="Q27" i="3" s="1"/>
  <c r="S26" i="3"/>
  <c r="T26" i="3" s="1"/>
  <c r="S25" i="3"/>
  <c r="R25" i="3" s="1"/>
  <c r="Q25" i="3" s="1"/>
  <c r="S24" i="3"/>
  <c r="T24" i="3" s="1"/>
  <c r="T23" i="3"/>
  <c r="S23" i="3"/>
  <c r="R23" i="3" s="1"/>
  <c r="Q23" i="3" s="1"/>
  <c r="S22" i="3"/>
  <c r="T22" i="3" s="1"/>
  <c r="S21" i="3"/>
  <c r="R21" i="3" s="1"/>
  <c r="Q21" i="3" s="1"/>
  <c r="S20" i="3"/>
  <c r="T20" i="3" s="1"/>
  <c r="T19" i="3"/>
  <c r="S19" i="3"/>
  <c r="R19" i="3" s="1"/>
  <c r="Q19" i="3" s="1"/>
  <c r="S18" i="3"/>
  <c r="T18" i="3" s="1"/>
  <c r="S17" i="3"/>
  <c r="R17" i="3" s="1"/>
  <c r="Q17" i="3" s="1"/>
  <c r="S16" i="3"/>
  <c r="T16" i="3" s="1"/>
  <c r="T15" i="3"/>
  <c r="S15" i="3"/>
  <c r="R15" i="3" s="1"/>
  <c r="Q15" i="3" s="1"/>
  <c r="S14" i="3"/>
  <c r="T14" i="3" s="1"/>
  <c r="S13" i="3"/>
  <c r="R13" i="3" s="1"/>
  <c r="Q13" i="3" s="1"/>
  <c r="S12" i="3"/>
  <c r="T12" i="3" s="1"/>
  <c r="T11" i="3"/>
  <c r="S11" i="3"/>
  <c r="R11" i="3" s="1"/>
  <c r="Q11" i="3" s="1"/>
  <c r="S10" i="3"/>
  <c r="T10" i="3" s="1"/>
  <c r="N10" i="3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S9" i="3"/>
  <c r="R9" i="3" s="1"/>
  <c r="Q9" i="3" s="1"/>
  <c r="N9" i="3"/>
  <c r="S8" i="3"/>
  <c r="R8" i="3" s="1"/>
  <c r="Q8" i="3" s="1"/>
  <c r="N8" i="3"/>
  <c r="R10" i="3" l="1"/>
  <c r="Q10" i="3" s="1"/>
  <c r="R14" i="3"/>
  <c r="Q14" i="3" s="1"/>
  <c r="R18" i="3"/>
  <c r="Q18" i="3" s="1"/>
  <c r="R22" i="3"/>
  <c r="Q22" i="3" s="1"/>
  <c r="R26" i="3"/>
  <c r="Q26" i="3" s="1"/>
  <c r="R30" i="3"/>
  <c r="Q30" i="3" s="1"/>
  <c r="R34" i="3"/>
  <c r="Q34" i="3" s="1"/>
  <c r="R38" i="3"/>
  <c r="Q38" i="3" s="1"/>
  <c r="R39" i="3"/>
  <c r="Q39" i="3" s="1"/>
  <c r="T8" i="3"/>
  <c r="T9" i="3"/>
  <c r="R12" i="3"/>
  <c r="Q12" i="3" s="1"/>
  <c r="T13" i="3"/>
  <c r="R16" i="3"/>
  <c r="Q16" i="3" s="1"/>
  <c r="T17" i="3"/>
  <c r="R20" i="3"/>
  <c r="Q20" i="3" s="1"/>
  <c r="T21" i="3"/>
  <c r="R24" i="3"/>
  <c r="Q24" i="3" s="1"/>
  <c r="T25" i="3"/>
  <c r="R28" i="3"/>
  <c r="Q28" i="3" s="1"/>
  <c r="T29" i="3"/>
  <c r="R32" i="3"/>
  <c r="Q32" i="3" s="1"/>
  <c r="T33" i="3"/>
  <c r="R36" i="3"/>
  <c r="Q36" i="3" s="1"/>
  <c r="T37" i="3"/>
  <c r="S39" i="4" l="1"/>
  <c r="T39" i="4" s="1"/>
  <c r="T42" i="4" s="1"/>
  <c r="R39" i="4"/>
  <c r="Q39" i="4" s="1"/>
  <c r="O39" i="4"/>
  <c r="S38" i="4"/>
  <c r="T38" i="4" s="1"/>
  <c r="T43" i="4" s="1"/>
  <c r="B11" i="1" s="1"/>
  <c r="S37" i="4"/>
  <c r="R37" i="4" s="1"/>
  <c r="Q37" i="4" s="1"/>
  <c r="S36" i="4"/>
  <c r="T36" i="4" s="1"/>
  <c r="R36" i="4"/>
  <c r="Q36" i="4" s="1"/>
  <c r="T35" i="4"/>
  <c r="S35" i="4"/>
  <c r="R35" i="4"/>
  <c r="Q35" i="4" s="1"/>
  <c r="S34" i="4"/>
  <c r="T34" i="4" s="1"/>
  <c r="R34" i="4"/>
  <c r="Q34" i="4" s="1"/>
  <c r="S33" i="4"/>
  <c r="R33" i="4" s="1"/>
  <c r="Q33" i="4" s="1"/>
  <c r="S32" i="4"/>
  <c r="T32" i="4" s="1"/>
  <c r="T31" i="4"/>
  <c r="S31" i="4"/>
  <c r="R31" i="4"/>
  <c r="Q31" i="4"/>
  <c r="S30" i="4"/>
  <c r="T30" i="4" s="1"/>
  <c r="R30" i="4"/>
  <c r="Q30" i="4" s="1"/>
  <c r="T29" i="4"/>
  <c r="S29" i="4"/>
  <c r="R29" i="4" s="1"/>
  <c r="Q29" i="4" s="1"/>
  <c r="S28" i="4"/>
  <c r="T28" i="4" s="1"/>
  <c r="S27" i="4"/>
  <c r="T27" i="4" s="1"/>
  <c r="R27" i="4"/>
  <c r="Q27" i="4"/>
  <c r="S26" i="4"/>
  <c r="T26" i="4" s="1"/>
  <c r="T25" i="4"/>
  <c r="S25" i="4"/>
  <c r="R25" i="4" s="1"/>
  <c r="Q25" i="4" s="1"/>
  <c r="S24" i="4"/>
  <c r="R24" i="4" s="1"/>
  <c r="Q24" i="4" s="1"/>
  <c r="S23" i="4"/>
  <c r="T23" i="4" s="1"/>
  <c r="R23" i="4"/>
  <c r="Q23" i="4" s="1"/>
  <c r="T22" i="4"/>
  <c r="S22" i="4"/>
  <c r="R22" i="4" s="1"/>
  <c r="Q22" i="4" s="1"/>
  <c r="S21" i="4"/>
  <c r="R21" i="4" s="1"/>
  <c r="Q21" i="4" s="1"/>
  <c r="S20" i="4"/>
  <c r="T20" i="4" s="1"/>
  <c r="R20" i="4"/>
  <c r="Q20" i="4" s="1"/>
  <c r="T19" i="4"/>
  <c r="S19" i="4"/>
  <c r="R19" i="4" s="1"/>
  <c r="Q19" i="4" s="1"/>
  <c r="S18" i="4"/>
  <c r="T18" i="4" s="1"/>
  <c r="R18" i="4"/>
  <c r="Q18" i="4" s="1"/>
  <c r="S17" i="4"/>
  <c r="R17" i="4" s="1"/>
  <c r="Q17" i="4" s="1"/>
  <c r="S16" i="4"/>
  <c r="T16" i="4" s="1"/>
  <c r="R16" i="4"/>
  <c r="Q16" i="4" s="1"/>
  <c r="S15" i="4"/>
  <c r="T15" i="4" s="1"/>
  <c r="R15" i="4"/>
  <c r="Q15" i="4"/>
  <c r="S14" i="4"/>
  <c r="R14" i="4" s="1"/>
  <c r="Q14" i="4" s="1"/>
  <c r="T13" i="4"/>
  <c r="S13" i="4"/>
  <c r="R13" i="4" s="1"/>
  <c r="Q13" i="4" s="1"/>
  <c r="S12" i="4"/>
  <c r="T12" i="4" s="1"/>
  <c r="R12" i="4"/>
  <c r="Q12" i="4" s="1"/>
  <c r="S11" i="4"/>
  <c r="T11" i="4" s="1"/>
  <c r="R11" i="4"/>
  <c r="Q11" i="4" s="1"/>
  <c r="S10" i="4"/>
  <c r="T10" i="4" s="1"/>
  <c r="R10" i="4"/>
  <c r="Q10" i="4" s="1"/>
  <c r="N10" i="4"/>
  <c r="N11" i="4" s="1"/>
  <c r="N12" i="4" s="1"/>
  <c r="N13" i="4" s="1"/>
  <c r="N14" i="4" s="1"/>
  <c r="N15" i="4" s="1"/>
  <c r="N16" i="4" s="1"/>
  <c r="N17" i="4" s="1"/>
  <c r="N18" i="4" s="1"/>
  <c r="N19" i="4" s="1"/>
  <c r="N20" i="4" s="1"/>
  <c r="N21" i="4" s="1"/>
  <c r="N22" i="4" s="1"/>
  <c r="N23" i="4" s="1"/>
  <c r="N24" i="4" s="1"/>
  <c r="N25" i="4" s="1"/>
  <c r="N26" i="4" s="1"/>
  <c r="N27" i="4" s="1"/>
  <c r="N28" i="4" s="1"/>
  <c r="N29" i="4" s="1"/>
  <c r="N30" i="4" s="1"/>
  <c r="N31" i="4" s="1"/>
  <c r="N32" i="4" s="1"/>
  <c r="N33" i="4" s="1"/>
  <c r="N34" i="4" s="1"/>
  <c r="N35" i="4" s="1"/>
  <c r="N36" i="4" s="1"/>
  <c r="N37" i="4" s="1"/>
  <c r="N38" i="4" s="1"/>
  <c r="S9" i="4"/>
  <c r="R9" i="4" s="1"/>
  <c r="Q9" i="4" s="1"/>
  <c r="N9" i="4"/>
  <c r="S8" i="4"/>
  <c r="T8" i="4" s="1"/>
  <c r="N8" i="4"/>
  <c r="T17" i="4" l="1"/>
  <c r="T9" i="4"/>
  <c r="T21" i="4"/>
  <c r="T37" i="4"/>
  <c r="T33" i="4"/>
  <c r="R8" i="4"/>
  <c r="Q8" i="4" s="1"/>
  <c r="R28" i="4"/>
  <c r="Q28" i="4" s="1"/>
  <c r="R38" i="4"/>
  <c r="Q38" i="4" s="1"/>
  <c r="T14" i="4"/>
  <c r="R26" i="4"/>
  <c r="Q26" i="4" s="1"/>
  <c r="R32" i="4"/>
  <c r="Q32" i="4" s="1"/>
  <c r="T24" i="4"/>
  <c r="B14" i="1" l="1"/>
  <c r="B13" i="1"/>
  <c r="B12" i="1"/>
  <c r="B9" i="1"/>
  <c r="E37" i="12"/>
  <c r="E34" i="12"/>
  <c r="E30" i="12"/>
  <c r="E29" i="12"/>
  <c r="E28" i="12"/>
  <c r="E26" i="12"/>
  <c r="E25" i="12"/>
  <c r="E24" i="12"/>
  <c r="E20" i="12"/>
  <c r="E19" i="12"/>
  <c r="E18" i="12"/>
  <c r="E14" i="1" s="1"/>
  <c r="E17" i="12"/>
  <c r="E16" i="12"/>
  <c r="E15" i="12"/>
  <c r="E14" i="12"/>
  <c r="E13" i="12"/>
  <c r="E12" i="12"/>
  <c r="E11" i="12"/>
  <c r="A8" i="12"/>
  <c r="E27" i="12" l="1"/>
  <c r="D14" i="1" s="1"/>
  <c r="F14" i="1"/>
  <c r="E21" i="12"/>
  <c r="E31" i="12" l="1"/>
  <c r="E39" i="12" s="1"/>
  <c r="E37" i="11"/>
  <c r="E34" i="11"/>
  <c r="E30" i="11"/>
  <c r="E29" i="11"/>
  <c r="E28" i="11"/>
  <c r="E26" i="11"/>
  <c r="E25" i="11"/>
  <c r="E24" i="11"/>
  <c r="E20" i="11"/>
  <c r="E19" i="11"/>
  <c r="E18" i="11"/>
  <c r="E13" i="1" s="1"/>
  <c r="E17" i="11"/>
  <c r="E16" i="11"/>
  <c r="E15" i="11"/>
  <c r="E14" i="11"/>
  <c r="E13" i="11"/>
  <c r="E12" i="11"/>
  <c r="E11" i="11"/>
  <c r="A8" i="11"/>
  <c r="E27" i="11" l="1"/>
  <c r="D13" i="1" s="1"/>
  <c r="F13" i="1"/>
  <c r="E21" i="11"/>
  <c r="E31" i="11" l="1"/>
  <c r="E39" i="11"/>
  <c r="E37" i="9"/>
  <c r="E34" i="9"/>
  <c r="E30" i="9"/>
  <c r="E29" i="9"/>
  <c r="E28" i="9"/>
  <c r="E26" i="9"/>
  <c r="E25" i="9"/>
  <c r="E24" i="9"/>
  <c r="E20" i="9"/>
  <c r="E19" i="9"/>
  <c r="E18" i="9"/>
  <c r="E12" i="1" s="1"/>
  <c r="E17" i="9"/>
  <c r="E16" i="9"/>
  <c r="E15" i="9"/>
  <c r="E14" i="9"/>
  <c r="E13" i="9"/>
  <c r="E12" i="9"/>
  <c r="E11" i="9"/>
  <c r="A8" i="9"/>
  <c r="E27" i="9" l="1"/>
  <c r="F12" i="1"/>
  <c r="E21" i="9"/>
  <c r="E31" i="9" l="1"/>
  <c r="E39" i="9" s="1"/>
  <c r="D12" i="1"/>
  <c r="E37" i="15"/>
  <c r="E34" i="15"/>
  <c r="E30" i="15"/>
  <c r="E29" i="15"/>
  <c r="E28" i="15"/>
  <c r="E26" i="15"/>
  <c r="E25" i="15"/>
  <c r="E24" i="15"/>
  <c r="E20" i="15"/>
  <c r="E19" i="15"/>
  <c r="E18" i="15"/>
  <c r="E11" i="1" s="1"/>
  <c r="E17" i="15"/>
  <c r="E16" i="15"/>
  <c r="E15" i="15"/>
  <c r="E14" i="15"/>
  <c r="E13" i="15"/>
  <c r="E12" i="15"/>
  <c r="E11" i="15"/>
  <c r="A8" i="15"/>
  <c r="E21" i="15" l="1"/>
  <c r="E27" i="15"/>
  <c r="D11" i="1" s="1"/>
  <c r="F11" i="1"/>
  <c r="E31" i="15" l="1"/>
  <c r="E39" i="15" s="1"/>
  <c r="E37" i="14"/>
  <c r="E34" i="14"/>
  <c r="E30" i="14"/>
  <c r="E29" i="14"/>
  <c r="E28" i="14"/>
  <c r="E26" i="14"/>
  <c r="E25" i="14"/>
  <c r="E24" i="14"/>
  <c r="E20" i="14"/>
  <c r="E19" i="14"/>
  <c r="E18" i="14"/>
  <c r="E10" i="1" s="1"/>
  <c r="E17" i="14"/>
  <c r="E16" i="14"/>
  <c r="E15" i="14"/>
  <c r="E14" i="14"/>
  <c r="E13" i="14"/>
  <c r="E12" i="14"/>
  <c r="E11" i="14"/>
  <c r="A8" i="14"/>
  <c r="E21" i="14" l="1"/>
  <c r="E27" i="14"/>
  <c r="D10" i="1" s="1"/>
  <c r="F10" i="1"/>
  <c r="E31" i="14"/>
  <c r="E39" i="14" s="1"/>
  <c r="E37" i="10" l="1"/>
  <c r="E34" i="10"/>
  <c r="E30" i="10"/>
  <c r="E29" i="10"/>
  <c r="E28" i="10"/>
  <c r="E26" i="10"/>
  <c r="E25" i="10"/>
  <c r="E24" i="10"/>
  <c r="E20" i="10"/>
  <c r="E19" i="10"/>
  <c r="E18" i="10"/>
  <c r="E9" i="1" s="1"/>
  <c r="E17" i="10"/>
  <c r="E16" i="10"/>
  <c r="E15" i="10"/>
  <c r="E14" i="10"/>
  <c r="E13" i="10"/>
  <c r="E12" i="10"/>
  <c r="E11" i="10"/>
  <c r="A8" i="10"/>
  <c r="E27" i="10" l="1"/>
  <c r="D9" i="1" s="1"/>
  <c r="F9" i="1"/>
  <c r="E21" i="10"/>
  <c r="E31" i="10" l="1"/>
  <c r="E39" i="10" s="1"/>
  <c r="E60" i="7"/>
  <c r="E57" i="7"/>
  <c r="E61" i="7" s="1"/>
  <c r="G49" i="7"/>
  <c r="E47" i="7"/>
  <c r="C47" i="7"/>
  <c r="E46" i="7"/>
  <c r="E58" i="7" s="1"/>
  <c r="C46" i="7"/>
  <c r="E45" i="7"/>
  <c r="C45" i="7"/>
  <c r="I44" i="7"/>
  <c r="G44" i="7"/>
  <c r="E39" i="7"/>
  <c r="K39" i="7" s="1"/>
  <c r="E34" i="7"/>
  <c r="K34" i="7" s="1"/>
  <c r="E32" i="7"/>
  <c r="E59" i="7" s="1"/>
  <c r="C32" i="7"/>
  <c r="E31" i="7"/>
  <c r="C31" i="7"/>
  <c r="I30" i="7"/>
  <c r="I49" i="7" s="1"/>
  <c r="I52" i="7" s="1"/>
  <c r="G30" i="7"/>
  <c r="E26" i="7"/>
  <c r="K26" i="7" s="1"/>
  <c r="E22" i="7"/>
  <c r="K22" i="7" s="1"/>
  <c r="E17" i="7"/>
  <c r="K17" i="7" s="1"/>
  <c r="E13" i="7"/>
  <c r="K13" i="7" s="1"/>
  <c r="E8" i="7"/>
  <c r="K8" i="7" s="1"/>
  <c r="I54" i="7" l="1"/>
  <c r="E44" i="7"/>
  <c r="K44" i="7" s="1"/>
  <c r="I53" i="7"/>
  <c r="E30" i="7"/>
  <c r="K30" i="7" s="1"/>
  <c r="E49" i="7" l="1"/>
  <c r="K49" i="7" l="1"/>
  <c r="K54" i="7"/>
  <c r="K52" i="7"/>
  <c r="E60" i="5" l="1"/>
  <c r="E57" i="5"/>
  <c r="G49" i="5"/>
  <c r="E47" i="5"/>
  <c r="C47" i="5"/>
  <c r="E46" i="5"/>
  <c r="E58" i="5" s="1"/>
  <c r="C46" i="5"/>
  <c r="E45" i="5"/>
  <c r="C45" i="5"/>
  <c r="I44" i="5"/>
  <c r="G44" i="5"/>
  <c r="E39" i="5"/>
  <c r="K39" i="5" s="1"/>
  <c r="E34" i="5"/>
  <c r="K34" i="5" s="1"/>
  <c r="E32" i="5"/>
  <c r="E59" i="5" s="1"/>
  <c r="C32" i="5"/>
  <c r="E31" i="5"/>
  <c r="C31" i="5"/>
  <c r="I30" i="5"/>
  <c r="I49" i="5" s="1"/>
  <c r="I52" i="5" s="1"/>
  <c r="G30" i="5"/>
  <c r="E26" i="5"/>
  <c r="K26" i="5" s="1"/>
  <c r="I22" i="5"/>
  <c r="E22" i="5"/>
  <c r="K22" i="5" s="1"/>
  <c r="K17" i="5"/>
  <c r="E17" i="5"/>
  <c r="E13" i="5"/>
  <c r="K13" i="5" s="1"/>
  <c r="K8" i="5"/>
  <c r="E8" i="5"/>
  <c r="E61" i="5" l="1"/>
  <c r="E44" i="5"/>
  <c r="K44" i="5" s="1"/>
  <c r="I53" i="5"/>
  <c r="I54" i="5" s="1"/>
  <c r="E30" i="5"/>
  <c r="E49" i="5" l="1"/>
  <c r="K30" i="5"/>
  <c r="K49" i="5" l="1"/>
  <c r="K54" i="5"/>
  <c r="K52" i="5"/>
  <c r="E47" i="4" l="1"/>
  <c r="C47" i="4"/>
  <c r="E46" i="4"/>
  <c r="E58" i="4" s="1"/>
  <c r="C46" i="4"/>
  <c r="E45" i="4"/>
  <c r="C45" i="4"/>
  <c r="I44" i="4"/>
  <c r="G44" i="4"/>
  <c r="E39" i="4"/>
  <c r="K39" i="4" s="1"/>
  <c r="E34" i="4"/>
  <c r="K34" i="4" s="1"/>
  <c r="E32" i="4"/>
  <c r="C32" i="4"/>
  <c r="E31" i="4"/>
  <c r="C31" i="4"/>
  <c r="I30" i="4"/>
  <c r="G30" i="4"/>
  <c r="G49" i="4" s="1"/>
  <c r="E26" i="4"/>
  <c r="K26" i="4" s="1"/>
  <c r="E22" i="4"/>
  <c r="K22" i="4" s="1"/>
  <c r="E17" i="4"/>
  <c r="K17" i="4" s="1"/>
  <c r="E15" i="4"/>
  <c r="E13" i="4" s="1"/>
  <c r="K13" i="4" s="1"/>
  <c r="E8" i="4"/>
  <c r="K8" i="4" s="1"/>
  <c r="E57" i="4" l="1"/>
  <c r="E30" i="4"/>
  <c r="K30" i="4" s="1"/>
  <c r="I49" i="4"/>
  <c r="I52" i="4" s="1"/>
  <c r="E59" i="4"/>
  <c r="I53" i="4"/>
  <c r="E60" i="4"/>
  <c r="E61" i="4" s="1"/>
  <c r="E44" i="4"/>
  <c r="K44" i="4" s="1"/>
  <c r="I54" i="4" l="1"/>
  <c r="E49" i="4"/>
  <c r="K49" i="4" l="1"/>
  <c r="K54" i="4"/>
  <c r="K52" i="4"/>
  <c r="E60" i="8" l="1"/>
  <c r="E57" i="8"/>
  <c r="G49" i="8"/>
  <c r="E47" i="8"/>
  <c r="C47" i="8"/>
  <c r="E46" i="8"/>
  <c r="E58" i="8" s="1"/>
  <c r="C46" i="8"/>
  <c r="E45" i="8"/>
  <c r="E44" i="8" s="1"/>
  <c r="K44" i="8" s="1"/>
  <c r="C45" i="8"/>
  <c r="I44" i="8"/>
  <c r="G44" i="8"/>
  <c r="E39" i="8"/>
  <c r="K39" i="8" s="1"/>
  <c r="K34" i="8"/>
  <c r="E34" i="8"/>
  <c r="E32" i="8"/>
  <c r="E30" i="8" s="1"/>
  <c r="K30" i="8" s="1"/>
  <c r="C32" i="8"/>
  <c r="E31" i="8"/>
  <c r="C31" i="8"/>
  <c r="I30" i="8"/>
  <c r="I49" i="8" s="1"/>
  <c r="I52" i="8" s="1"/>
  <c r="G30" i="8"/>
  <c r="K26" i="8"/>
  <c r="E26" i="8"/>
  <c r="I22" i="8"/>
  <c r="E22" i="8"/>
  <c r="K22" i="8" s="1"/>
  <c r="E17" i="8"/>
  <c r="K17" i="8" s="1"/>
  <c r="E13" i="8"/>
  <c r="K13" i="8" s="1"/>
  <c r="E8" i="8"/>
  <c r="E49" i="8" l="1"/>
  <c r="I53" i="8"/>
  <c r="I54" i="8" s="1"/>
  <c r="E59" i="8"/>
  <c r="E61" i="8" s="1"/>
  <c r="K8" i="8"/>
  <c r="K54" i="8" l="1"/>
  <c r="K52" i="8"/>
  <c r="K49" i="8"/>
  <c r="E47" i="3" l="1"/>
  <c r="E60" i="3" s="1"/>
  <c r="C47" i="3"/>
  <c r="E46" i="3"/>
  <c r="E58" i="3" s="1"/>
  <c r="C46" i="3"/>
  <c r="E45" i="3"/>
  <c r="C45" i="3"/>
  <c r="I44" i="3"/>
  <c r="G44" i="3"/>
  <c r="G49" i="3" s="1"/>
  <c r="E39" i="3"/>
  <c r="K39" i="3" s="1"/>
  <c r="E34" i="3"/>
  <c r="K34" i="3" s="1"/>
  <c r="B10" i="1" s="1"/>
  <c r="E32" i="3"/>
  <c r="E59" i="3" s="1"/>
  <c r="C32" i="3"/>
  <c r="E31" i="3"/>
  <c r="E30" i="3" s="1"/>
  <c r="C31" i="3"/>
  <c r="I30" i="3"/>
  <c r="I49" i="3" s="1"/>
  <c r="I52" i="3" s="1"/>
  <c r="G30" i="3"/>
  <c r="E26" i="3"/>
  <c r="K26" i="3" s="1"/>
  <c r="E22" i="3"/>
  <c r="K22" i="3" s="1"/>
  <c r="E17" i="3"/>
  <c r="K17" i="3" s="1"/>
  <c r="E13" i="3"/>
  <c r="K13" i="3" s="1"/>
  <c r="E8" i="3"/>
  <c r="K8" i="3" s="1"/>
  <c r="K30" i="3" l="1"/>
  <c r="E44" i="3"/>
  <c r="K44" i="3" s="1"/>
  <c r="I53" i="3"/>
  <c r="I54" i="3" s="1"/>
  <c r="E57" i="3"/>
  <c r="E61" i="3" s="1"/>
  <c r="E49" i="3"/>
  <c r="K49" i="3" l="1"/>
  <c r="K54" i="3"/>
  <c r="K52" i="3"/>
  <c r="I53" i="2" l="1"/>
  <c r="G49" i="2"/>
  <c r="E47" i="2"/>
  <c r="E60" i="2" s="1"/>
  <c r="C47" i="2"/>
  <c r="E46" i="2"/>
  <c r="E58" i="2" s="1"/>
  <c r="C46" i="2"/>
  <c r="E45" i="2"/>
  <c r="C45" i="2"/>
  <c r="I44" i="2"/>
  <c r="G44" i="2"/>
  <c r="E44" i="2"/>
  <c r="K44" i="2" s="1"/>
  <c r="E39" i="2"/>
  <c r="K39" i="2" s="1"/>
  <c r="E34" i="2"/>
  <c r="K34" i="2" s="1"/>
  <c r="E32" i="2"/>
  <c r="C32" i="2"/>
  <c r="E31" i="2"/>
  <c r="E30" i="2" s="1"/>
  <c r="K30" i="2" s="1"/>
  <c r="C31" i="2"/>
  <c r="I30" i="2"/>
  <c r="I49" i="2" s="1"/>
  <c r="I52" i="2" s="1"/>
  <c r="I54" i="2" s="1"/>
  <c r="G30" i="2"/>
  <c r="E26" i="2"/>
  <c r="K26" i="2" s="1"/>
  <c r="E22" i="2"/>
  <c r="K22" i="2" s="1"/>
  <c r="E20" i="2"/>
  <c r="E59" i="2" s="1"/>
  <c r="E18" i="2"/>
  <c r="E17" i="2" s="1"/>
  <c r="K17" i="2" s="1"/>
  <c r="K13" i="2"/>
  <c r="E13" i="2"/>
  <c r="E8" i="2"/>
  <c r="E49" i="2" s="1"/>
  <c r="K52" i="2" l="1"/>
  <c r="K49" i="2"/>
  <c r="K54" i="2"/>
  <c r="K8" i="2"/>
  <c r="E57" i="2"/>
  <c r="E61" i="2" s="1"/>
  <c r="G14" i="1" l="1"/>
  <c r="G13" i="1"/>
  <c r="G12" i="1"/>
  <c r="G11" i="1"/>
  <c r="G10" i="1"/>
  <c r="G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Risley, Katie</author>
  </authors>
  <commentList>
    <comment ref="E15" authorId="0" shapeId="0" xr:uid="{861BD71D-D094-43E5-9AEB-97F5B629A8CA}">
      <text>
        <r>
          <rPr>
            <b/>
            <sz val="9"/>
            <color indexed="81"/>
            <rFont val="Tahoma"/>
            <family val="2"/>
          </rPr>
          <t>Risley, Katie:</t>
        </r>
        <r>
          <rPr>
            <sz val="9"/>
            <color indexed="81"/>
            <rFont val="Tahoma"/>
            <family val="2"/>
          </rPr>
          <t xml:space="preserve">
$38657.78 is a sell back on ECO-Energy that will be recognized in February.</t>
        </r>
      </text>
    </comment>
  </commentList>
</comments>
</file>

<file path=xl/sharedStrings.xml><?xml version="1.0" encoding="utf-8"?>
<sst xmlns="http://schemas.openxmlformats.org/spreadsheetml/2006/main" count="696" uniqueCount="110">
  <si>
    <t>Highest Cost Fuel Unit and Forced Outage Purchased Power</t>
  </si>
  <si>
    <t>Highest Cost 
Fuel Unit 
$/MWH *</t>
  </si>
  <si>
    <t>Identifiable Fuel Cost (Substitute for Forced Outage) $</t>
  </si>
  <si>
    <t>Plus Fuel (Substitue Cost During Forced Outage) $</t>
  </si>
  <si>
    <t>Less Fuel (Assigned Cost During Forced Outage) $</t>
  </si>
  <si>
    <t xml:space="preserve">Forced Outage 
Purchased Power 
Recovered through 
Non-FAC PPA 
 $ </t>
  </si>
  <si>
    <t>NOTES:</t>
  </si>
  <si>
    <t>-The Highest Cost Fuel Unit $/MWH is the highest generating fuel cost from the monthly "FuelBurned" sheets (Column K).</t>
  </si>
  <si>
    <t>- Identifiable Fuel Cost (Substitute for Forced Outage) $ is included in the monthly Form A filing, page 2, part B.</t>
  </si>
  <si>
    <t>- Fuel (Substitute Cost for Forced Outage) $ is included in the monthly Form A filing, page 2, part A.</t>
  </si>
  <si>
    <t>- Fuel (Assigned Cost during Forced Outage) $ is included in the monthly Form A filing, page 2, part A.</t>
  </si>
  <si>
    <t>November 2023 - April 2024</t>
  </si>
  <si>
    <t>Nov-23</t>
  </si>
  <si>
    <t>Dec-23</t>
  </si>
  <si>
    <t>Jan-24</t>
  </si>
  <si>
    <t>Feb-24</t>
  </si>
  <si>
    <t>Mar-24</t>
  </si>
  <si>
    <t>Apr-24</t>
  </si>
  <si>
    <t>ComTrac</t>
  </si>
  <si>
    <t>BIG RIVERS ELECTRIC CORPORATION</t>
  </si>
  <si>
    <t>FUEL BURNED</t>
  </si>
  <si>
    <t xml:space="preserve">MONTH OF </t>
  </si>
  <si>
    <t xml:space="preserve"> </t>
  </si>
  <si>
    <t>TON/GAL/MCF</t>
  </si>
  <si>
    <t>Cost</t>
  </si>
  <si>
    <t>Gross KWH</t>
  </si>
  <si>
    <t>NET KWH</t>
  </si>
  <si>
    <t>Mills/KWH</t>
  </si>
  <si>
    <t>Reid</t>
  </si>
  <si>
    <t>Coal</t>
  </si>
  <si>
    <t>Oil</t>
  </si>
  <si>
    <t>Gas Turbine</t>
  </si>
  <si>
    <t>Gas</t>
  </si>
  <si>
    <t>Wilson</t>
  </si>
  <si>
    <t>PetCoke</t>
  </si>
  <si>
    <t>H1  (net of city take)</t>
  </si>
  <si>
    <t>H2  (net of city take)</t>
  </si>
  <si>
    <t>Station Two</t>
  </si>
  <si>
    <t>G1</t>
  </si>
  <si>
    <t>G2</t>
  </si>
  <si>
    <t>Green</t>
  </si>
  <si>
    <t>SYSTEM TOTAL</t>
  </si>
  <si>
    <t>Line Losses</t>
  </si>
  <si>
    <t>System Average</t>
  </si>
  <si>
    <t>Less: Energy Used by Idled/Retired Units (Reid &amp; Station II)</t>
  </si>
  <si>
    <t>Total (Net of Line Losses &amp; Energy Used by Idled Units)</t>
  </si>
  <si>
    <t/>
  </si>
  <si>
    <t>Pet Coke</t>
  </si>
  <si>
    <t>Form A</t>
  </si>
  <si>
    <t>Page 2 of 4</t>
  </si>
  <si>
    <t>FUEL COST SCHEDULE</t>
  </si>
  <si>
    <t>(A)</t>
  </si>
  <si>
    <t xml:space="preserve">  Company Generation</t>
  </si>
  <si>
    <t xml:space="preserve">      Coal Burned</t>
  </si>
  <si>
    <t>(+)</t>
  </si>
  <si>
    <t xml:space="preserve">      Pet  Coke Burned</t>
  </si>
  <si>
    <t xml:space="preserve">      Oil Burned</t>
  </si>
  <si>
    <t xml:space="preserve">      Gas Burned</t>
  </si>
  <si>
    <t xml:space="preserve">      Propane Burned</t>
  </si>
  <si>
    <t xml:space="preserve">      MISO Make Whole Payments</t>
  </si>
  <si>
    <t>(-)</t>
  </si>
  <si>
    <t xml:space="preserve">      Fuel (assigned cost during Forced Outage)</t>
  </si>
  <si>
    <t xml:space="preserve">      Fuel (substitute cost for Forced Outage)</t>
  </si>
  <si>
    <t xml:space="preserve">      Fuel (supplemental and back-up energy to Smelters)</t>
  </si>
  <si>
    <t xml:space="preserve">      Fuel (Domtar back-up / imbalance generation)</t>
  </si>
  <si>
    <t xml:space="preserve">         SUB-TOTAL</t>
  </si>
  <si>
    <t>(B)</t>
  </si>
  <si>
    <t xml:space="preserve">  Purchases</t>
  </si>
  <si>
    <t xml:space="preserve">      Net energy cost - economy purchases</t>
  </si>
  <si>
    <t xml:space="preserve">      Identifiable fuel cost - other purchases</t>
  </si>
  <si>
    <t xml:space="preserve">      Identifiable fuel cost - Forced Outage purchases</t>
  </si>
  <si>
    <t xml:space="preserve">      Identifiable fuel cost (substitute for Forced Outage)</t>
  </si>
  <si>
    <t xml:space="preserve">      Less Purchases for supplemental and back-up energy to Smelters</t>
  </si>
  <si>
    <t xml:space="preserve">      Less Purchases for Non-Tariff Market Rate Sales to Members</t>
  </si>
  <si>
    <t xml:space="preserve">      Less Purchases Above Highest Cost Units</t>
  </si>
  <si>
    <t>(C)</t>
  </si>
  <si>
    <t xml:space="preserve">  Inter-System Sales</t>
  </si>
  <si>
    <t xml:space="preserve">      Including Interchange-out</t>
  </si>
  <si>
    <t>(D)</t>
  </si>
  <si>
    <t xml:space="preserve">  Over or (Under) Recovery</t>
  </si>
  <si>
    <t xml:space="preserve">      From Page 4, Line 13</t>
  </si>
  <si>
    <t xml:space="preserve">         TOTAL FUEL RECOVERY [(A)+(B)-(C)-(D)] =</t>
  </si>
  <si>
    <t>Reid Combustion Turbine - Highest Cost Available Unit</t>
  </si>
  <si>
    <t>Estimated</t>
  </si>
  <si>
    <t>Gross</t>
  </si>
  <si>
    <t>Adjusted Gross</t>
  </si>
  <si>
    <t>Cost Per</t>
  </si>
  <si>
    <t>Gross Mw's</t>
  </si>
  <si>
    <t>Nat Gas Burn</t>
  </si>
  <si>
    <t>Heat Rate</t>
  </si>
  <si>
    <t>Heat Rate (X%)</t>
  </si>
  <si>
    <t>Gross Megawatt</t>
  </si>
  <si>
    <t>Date</t>
  </si>
  <si>
    <t>Price</t>
  </si>
  <si>
    <t>(MCF/HR)</t>
  </si>
  <si>
    <t>BTU/HR</t>
  </si>
  <si>
    <t>(BTU/KWH)</t>
  </si>
  <si>
    <t>($/mwh)</t>
  </si>
  <si>
    <t>Average</t>
  </si>
  <si>
    <t>January Average</t>
  </si>
  <si>
    <t>$/MwH</t>
  </si>
  <si>
    <t>January Lowest Gas Price</t>
  </si>
  <si>
    <t xml:space="preserve">  use the lowest estimated $/MWH for the CT provided by ACES for the month for determining whether it was the highest cost available unit during the month.</t>
  </si>
  <si>
    <t>*</t>
  </si>
  <si>
    <t>*  For the  Reid CT, if it was AVAILABLE at some time during the month, but never ran during the month,or ran but had negative net generation,</t>
  </si>
  <si>
    <t>December Average</t>
  </si>
  <si>
    <t>December Lowest Gas Price</t>
  </si>
  <si>
    <t>Excel File Attachment for Response to PSC 1-16</t>
  </si>
  <si>
    <t>Case No. 2025-00078</t>
  </si>
  <si>
    <t>Witness:  Becky Shelton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</si>
</sst>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  <numFmt numFmtId="165" formatCode="_(&quot;$&quot;* #,##0_);_(&quot;$&quot;* \(#,##0\);_(&quot;$&quot;* &quot;-&quot;??_);_(@_)"/>
    <numFmt numFmtId="166" formatCode="mm/dd/yy;@"/>
    <numFmt numFmtId="167" formatCode="#,##0.000_);[Red]\(#,##0.000\)"/>
    <numFmt numFmtId="168" formatCode="#,##0.000_);\(#,##0.000\)"/>
    <numFmt numFmtId="169" formatCode="0.0000"/>
    <numFmt numFmtId="170" formatCode="0.00000"/>
    <numFmt numFmtId="171" formatCode="_(* #,##0_);_(* \(#,##0\);_(* &quot;-&quot;??_);_(@_)"/>
    <numFmt numFmtId="172" formatCode="m/d/yy;@"/>
    <numFmt numFmtId="173" formatCode="&quot;$&quot;#,##0.00"/>
  </numFmts>
  <fonts count="2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Century Schoolbook"/>
      <family val="1"/>
    </font>
    <font>
      <sz val="12"/>
      <color theme="1"/>
      <name val="Century Schoolbook"/>
      <family val="1"/>
    </font>
    <font>
      <b/>
      <sz val="12"/>
      <color theme="1"/>
      <name val="Century Schoolbook"/>
      <family val="1"/>
    </font>
    <font>
      <sz val="8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8"/>
      <color rgb="FF0000FF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indexed="12"/>
      <name val="Times New Roman"/>
      <family val="1"/>
    </font>
    <font>
      <sz val="10"/>
      <name val="Arial"/>
      <family val="2"/>
    </font>
    <font>
      <b/>
      <sz val="8"/>
      <color indexed="12"/>
      <name val="Arial"/>
      <family val="2"/>
    </font>
    <font>
      <b/>
      <sz val="8"/>
      <color rgb="FF0000FF"/>
      <name val="Times New Roman"/>
      <family val="1"/>
    </font>
    <font>
      <b/>
      <sz val="10"/>
      <color rgb="FFFF000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0">
    <xf numFmtId="0" fontId="0" fillId="0" borderId="0" xfId="0"/>
    <xf numFmtId="0" fontId="2" fillId="2" borderId="0" xfId="0" applyFont="1" applyFill="1" applyAlignment="1">
      <alignment wrapText="1"/>
    </xf>
    <xf numFmtId="0" fontId="3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" xfId="0" quotePrefix="1" applyFont="1" applyBorder="1" applyAlignment="1">
      <alignment horizontal="center"/>
    </xf>
    <xf numFmtId="164" fontId="3" fillId="0" borderId="1" xfId="2" applyNumberFormat="1" applyFont="1" applyFill="1" applyBorder="1"/>
    <xf numFmtId="164" fontId="3" fillId="0" borderId="2" xfId="2" applyNumberFormat="1" applyFont="1" applyFill="1" applyBorder="1"/>
    <xf numFmtId="165" fontId="3" fillId="0" borderId="1" xfId="2" applyNumberFormat="1" applyFont="1" applyFill="1" applyBorder="1"/>
    <xf numFmtId="0" fontId="4" fillId="0" borderId="0" xfId="0" applyFont="1"/>
    <xf numFmtId="0" fontId="3" fillId="0" borderId="0" xfId="0" quotePrefix="1" applyFont="1"/>
    <xf numFmtId="0" fontId="5" fillId="0" borderId="0" xfId="0" applyFont="1"/>
    <xf numFmtId="0" fontId="6" fillId="0" borderId="0" xfId="0" applyFont="1"/>
    <xf numFmtId="39" fontId="5" fillId="0" borderId="0" xfId="0" applyNumberFormat="1" applyFont="1"/>
    <xf numFmtId="37" fontId="5" fillId="0" borderId="0" xfId="0" applyNumberFormat="1" applyFont="1"/>
    <xf numFmtId="37" fontId="6" fillId="0" borderId="0" xfId="0" applyNumberFormat="1" applyFont="1"/>
    <xf numFmtId="0" fontId="7" fillId="0" borderId="0" xfId="0" applyFont="1" applyAlignment="1">
      <alignment horizontal="center"/>
    </xf>
    <xf numFmtId="39" fontId="7" fillId="0" borderId="0" xfId="0" applyNumberFormat="1" applyFont="1" applyAlignment="1">
      <alignment horizontal="right"/>
    </xf>
    <xf numFmtId="37" fontId="9" fillId="0" borderId="0" xfId="0" applyNumberFormat="1" applyFont="1" applyAlignment="1">
      <alignment horizontal="center"/>
    </xf>
    <xf numFmtId="0" fontId="10" fillId="0" borderId="0" xfId="0" applyFont="1"/>
    <xf numFmtId="39" fontId="9" fillId="0" borderId="3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37" fontId="9" fillId="0" borderId="3" xfId="0" applyNumberFormat="1" applyFont="1" applyBorder="1" applyAlignment="1">
      <alignment horizontal="center"/>
    </xf>
    <xf numFmtId="39" fontId="7" fillId="0" borderId="3" xfId="0" applyNumberFormat="1" applyFont="1" applyBorder="1" applyAlignment="1">
      <alignment horizontal="center"/>
    </xf>
    <xf numFmtId="39" fontId="10" fillId="0" borderId="0" xfId="0" applyNumberFormat="1" applyFont="1"/>
    <xf numFmtId="37" fontId="10" fillId="0" borderId="0" xfId="0" applyNumberFormat="1" applyFont="1"/>
    <xf numFmtId="0" fontId="11" fillId="0" borderId="0" xfId="0" applyFont="1"/>
    <xf numFmtId="39" fontId="11" fillId="0" borderId="0" xfId="0" applyNumberFormat="1" applyFont="1"/>
    <xf numFmtId="44" fontId="11" fillId="0" borderId="0" xfId="2" applyFont="1" applyFill="1"/>
    <xf numFmtId="37" fontId="11" fillId="0" borderId="0" xfId="0" applyNumberFormat="1" applyFont="1"/>
    <xf numFmtId="38" fontId="11" fillId="0" borderId="0" xfId="0" applyNumberFormat="1" applyFont="1"/>
    <xf numFmtId="0" fontId="13" fillId="0" borderId="0" xfId="0" applyFont="1"/>
    <xf numFmtId="167" fontId="13" fillId="0" borderId="0" xfId="0" applyNumberFormat="1" applyFont="1"/>
    <xf numFmtId="0" fontId="14" fillId="0" borderId="0" xfId="0" applyFont="1" applyAlignment="1">
      <alignment horizontal="right"/>
    </xf>
    <xf numFmtId="0" fontId="14" fillId="0" borderId="0" xfId="0" applyFont="1"/>
    <xf numFmtId="43" fontId="14" fillId="0" borderId="0" xfId="1" applyFont="1" applyFill="1"/>
    <xf numFmtId="44" fontId="14" fillId="0" borderId="0" xfId="2" applyFont="1" applyFill="1"/>
    <xf numFmtId="39" fontId="13" fillId="0" borderId="0" xfId="0" applyNumberFormat="1" applyFont="1"/>
    <xf numFmtId="43" fontId="10" fillId="0" borderId="0" xfId="1" applyFont="1" applyFill="1"/>
    <xf numFmtId="44" fontId="10" fillId="0" borderId="0" xfId="2" applyFont="1" applyFill="1"/>
    <xf numFmtId="168" fontId="8" fillId="0" borderId="0" xfId="0" applyNumberFormat="1" applyFont="1"/>
    <xf numFmtId="0" fontId="11" fillId="0" borderId="0" xfId="0" applyFont="1" applyAlignment="1">
      <alignment horizontal="right"/>
    </xf>
    <xf numFmtId="43" fontId="11" fillId="0" borderId="0" xfId="1" applyFont="1" applyFill="1"/>
    <xf numFmtId="0" fontId="15" fillId="0" borderId="0" xfId="0" applyFont="1"/>
    <xf numFmtId="44" fontId="0" fillId="0" borderId="0" xfId="0" applyNumberFormat="1"/>
    <xf numFmtId="168" fontId="13" fillId="0" borderId="0" xfId="0" applyNumberFormat="1" applyFont="1"/>
    <xf numFmtId="44" fontId="9" fillId="0" borderId="0" xfId="2" applyFont="1" applyFill="1"/>
    <xf numFmtId="38" fontId="10" fillId="0" borderId="0" xfId="0" applyNumberFormat="1" applyFont="1"/>
    <xf numFmtId="168" fontId="5" fillId="0" borderId="0" xfId="0" applyNumberFormat="1" applyFont="1"/>
    <xf numFmtId="0" fontId="10" fillId="0" borderId="0" xfId="0" applyFont="1" applyAlignment="1">
      <alignment horizontal="right"/>
    </xf>
    <xf numFmtId="2" fontId="0" fillId="0" borderId="0" xfId="0" applyNumberFormat="1"/>
    <xf numFmtId="0" fontId="12" fillId="0" borderId="0" xfId="0" applyFont="1"/>
    <xf numFmtId="169" fontId="0" fillId="0" borderId="0" xfId="0" applyNumberFormat="1"/>
    <xf numFmtId="43" fontId="0" fillId="0" borderId="0" xfId="0" applyNumberFormat="1"/>
    <xf numFmtId="44" fontId="5" fillId="0" borderId="0" xfId="2" applyFont="1" applyFill="1"/>
    <xf numFmtId="44" fontId="13" fillId="0" borderId="0" xfId="2" applyFont="1" applyFill="1"/>
    <xf numFmtId="37" fontId="13" fillId="0" borderId="0" xfId="0" applyNumberFormat="1" applyFont="1"/>
    <xf numFmtId="0" fontId="16" fillId="0" borderId="0" xfId="0" applyFont="1"/>
    <xf numFmtId="43" fontId="13" fillId="0" borderId="0" xfId="1" applyFont="1" applyFill="1"/>
    <xf numFmtId="0" fontId="7" fillId="0" borderId="0" xfId="0" applyFont="1"/>
    <xf numFmtId="44" fontId="7" fillId="0" borderId="0" xfId="2" applyFont="1" applyFill="1"/>
    <xf numFmtId="37" fontId="7" fillId="0" borderId="0" xfId="0" applyNumberFormat="1" applyFont="1"/>
    <xf numFmtId="168" fontId="7" fillId="0" borderId="0" xfId="0" applyNumberFormat="1" applyFont="1"/>
    <xf numFmtId="0" fontId="17" fillId="0" borderId="0" xfId="0" applyFont="1"/>
    <xf numFmtId="37" fontId="7" fillId="0" borderId="4" xfId="0" applyNumberFormat="1" applyFont="1" applyBorder="1"/>
    <xf numFmtId="37" fontId="7" fillId="0" borderId="5" xfId="0" applyNumberFormat="1" applyFont="1" applyBorder="1"/>
    <xf numFmtId="168" fontId="7" fillId="3" borderId="0" xfId="0" applyNumberFormat="1" applyFont="1" applyFill="1"/>
    <xf numFmtId="168" fontId="0" fillId="0" borderId="0" xfId="0" applyNumberFormat="1"/>
    <xf numFmtId="37" fontId="5" fillId="0" borderId="0" xfId="0" quotePrefix="1" applyNumberFormat="1" applyFont="1"/>
    <xf numFmtId="44" fontId="5" fillId="0" borderId="0" xfId="2" applyFont="1"/>
    <xf numFmtId="43" fontId="5" fillId="0" borderId="0" xfId="1" applyFont="1"/>
    <xf numFmtId="44" fontId="7" fillId="0" borderId="5" xfId="2" applyFont="1" applyFill="1" applyBorder="1"/>
    <xf numFmtId="44" fontId="11" fillId="0" borderId="0" xfId="2" applyFont="1" applyFill="1" applyBorder="1"/>
    <xf numFmtId="170" fontId="0" fillId="0" borderId="0" xfId="0" applyNumberFormat="1"/>
    <xf numFmtId="37" fontId="7" fillId="4" borderId="0" xfId="0" applyNumberFormat="1" applyFont="1" applyFill="1"/>
    <xf numFmtId="0" fontId="20" fillId="0" borderId="0" xfId="0" applyFont="1"/>
    <xf numFmtId="0" fontId="20" fillId="0" borderId="0" xfId="0" applyFont="1" applyAlignment="1">
      <alignment horizontal="right"/>
    </xf>
    <xf numFmtId="0" fontId="20" fillId="0" borderId="0" xfId="0" quotePrefix="1" applyFont="1" applyAlignment="1">
      <alignment horizontal="right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quotePrefix="1" applyFont="1"/>
    <xf numFmtId="0" fontId="20" fillId="0" borderId="3" xfId="0" applyFont="1" applyBorder="1" applyAlignment="1">
      <alignment horizontal="left"/>
    </xf>
    <xf numFmtId="0" fontId="20" fillId="0" borderId="0" xfId="0" quotePrefix="1" applyFont="1" applyAlignment="1">
      <alignment horizontal="center"/>
    </xf>
    <xf numFmtId="165" fontId="23" fillId="0" borderId="0" xfId="2" applyNumberFormat="1" applyFont="1" applyFill="1"/>
    <xf numFmtId="0" fontId="20" fillId="0" borderId="0" xfId="0" quotePrefix="1" applyFont="1" applyAlignment="1">
      <alignment horizontal="left"/>
    </xf>
    <xf numFmtId="171" fontId="23" fillId="0" borderId="0" xfId="1" applyNumberFormat="1" applyFont="1" applyFill="1"/>
    <xf numFmtId="0" fontId="24" fillId="0" borderId="0" xfId="0" quotePrefix="1" applyFont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171" fontId="23" fillId="0" borderId="0" xfId="1" applyNumberFormat="1" applyFont="1" applyFill="1" applyBorder="1"/>
    <xf numFmtId="0" fontId="20" fillId="0" borderId="3" xfId="0" applyFont="1" applyBorder="1"/>
    <xf numFmtId="171" fontId="23" fillId="0" borderId="3" xfId="1" applyNumberFormat="1" applyFont="1" applyFill="1" applyBorder="1"/>
    <xf numFmtId="165" fontId="23" fillId="0" borderId="0" xfId="2" applyNumberFormat="1" applyFont="1"/>
    <xf numFmtId="165" fontId="20" fillId="0" borderId="0" xfId="0" applyNumberFormat="1" applyFont="1"/>
    <xf numFmtId="41" fontId="23" fillId="0" borderId="0" xfId="1" applyNumberFormat="1" applyFont="1" applyFill="1" applyBorder="1"/>
    <xf numFmtId="41" fontId="12" fillId="0" borderId="0" xfId="1" applyNumberFormat="1" applyFont="1" applyFill="1" applyBorder="1"/>
    <xf numFmtId="0" fontId="20" fillId="0" borderId="3" xfId="0" quotePrefix="1" applyFont="1" applyBorder="1" applyAlignment="1">
      <alignment horizontal="left"/>
    </xf>
    <xf numFmtId="41" fontId="12" fillId="0" borderId="3" xfId="1" applyNumberFormat="1" applyFont="1" applyFill="1" applyBorder="1"/>
    <xf numFmtId="165" fontId="23" fillId="0" borderId="0" xfId="2" applyNumberFormat="1" applyFont="1" applyFill="1" applyBorder="1"/>
    <xf numFmtId="165" fontId="23" fillId="0" borderId="5" xfId="2" applyNumberFormat="1" applyFont="1" applyFill="1" applyBorder="1"/>
    <xf numFmtId="17" fontId="17" fillId="0" borderId="0" xfId="0" applyNumberFormat="1" applyFont="1" applyAlignment="1">
      <alignment horizontal="left"/>
    </xf>
    <xf numFmtId="0" fontId="17" fillId="0" borderId="3" xfId="0" applyFont="1" applyBorder="1" applyAlignment="1">
      <alignment horizontal="center"/>
    </xf>
    <xf numFmtId="0" fontId="17" fillId="0" borderId="3" xfId="0" applyFont="1" applyBorder="1"/>
    <xf numFmtId="172" fontId="0" fillId="0" borderId="0" xfId="0" applyNumberFormat="1"/>
    <xf numFmtId="173" fontId="0" fillId="0" borderId="0" xfId="0" applyNumberFormat="1"/>
    <xf numFmtId="171" fontId="0" fillId="0" borderId="0" xfId="1" applyNumberFormat="1" applyFont="1" applyFill="1"/>
    <xf numFmtId="44" fontId="0" fillId="0" borderId="0" xfId="2" applyFont="1" applyFill="1"/>
    <xf numFmtId="44" fontId="12" fillId="0" borderId="0" xfId="2" applyFont="1" applyFill="1"/>
    <xf numFmtId="172" fontId="0" fillId="5" borderId="0" xfId="0" applyNumberFormat="1" applyFill="1"/>
    <xf numFmtId="173" fontId="0" fillId="5" borderId="0" xfId="0" applyNumberFormat="1" applyFill="1"/>
    <xf numFmtId="2" fontId="0" fillId="5" borderId="0" xfId="0" applyNumberFormat="1" applyFill="1"/>
    <xf numFmtId="0" fontId="0" fillId="5" borderId="0" xfId="0" applyFill="1"/>
    <xf numFmtId="171" fontId="0" fillId="5" borderId="0" xfId="1" applyNumberFormat="1" applyFont="1" applyFill="1"/>
    <xf numFmtId="44" fontId="0" fillId="5" borderId="0" xfId="2" applyFont="1" applyFill="1"/>
    <xf numFmtId="173" fontId="17" fillId="6" borderId="5" xfId="0" applyNumberFormat="1" applyFont="1" applyFill="1" applyBorder="1"/>
    <xf numFmtId="2" fontId="17" fillId="6" borderId="5" xfId="0" applyNumberFormat="1" applyFont="1" applyFill="1" applyBorder="1"/>
    <xf numFmtId="169" fontId="17" fillId="6" borderId="5" xfId="0" applyNumberFormat="1" applyFont="1" applyFill="1" applyBorder="1"/>
    <xf numFmtId="171" fontId="17" fillId="6" borderId="5" xfId="1" applyNumberFormat="1" applyFont="1" applyFill="1" applyBorder="1"/>
    <xf numFmtId="164" fontId="17" fillId="6" borderId="5" xfId="2" applyNumberFormat="1" applyFont="1" applyFill="1" applyBorder="1"/>
    <xf numFmtId="164" fontId="0" fillId="0" borderId="0" xfId="0" applyNumberFormat="1"/>
    <xf numFmtId="164" fontId="0" fillId="5" borderId="0" xfId="0" applyNumberFormat="1" applyFill="1"/>
    <xf numFmtId="168" fontId="8" fillId="5" borderId="0" xfId="0" applyNumberFormat="1" applyFont="1" applyFill="1"/>
    <xf numFmtId="0" fontId="17" fillId="5" borderId="0" xfId="0" applyFont="1" applyFill="1"/>
    <xf numFmtId="0" fontId="25" fillId="0" borderId="0" xfId="0" applyFont="1"/>
    <xf numFmtId="0" fontId="26" fillId="0" borderId="0" xfId="0" applyFont="1"/>
    <xf numFmtId="168" fontId="5" fillId="5" borderId="0" xfId="0" applyNumberFormat="1" applyFont="1" applyFill="1"/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3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6" fontId="8" fillId="0" borderId="0" xfId="0" applyNumberFormat="1" applyFont="1" applyAlignment="1">
      <alignment horizontal="center"/>
    </xf>
    <xf numFmtId="37" fontId="7" fillId="0" borderId="0" xfId="0" applyNumberFormat="1" applyFont="1" applyAlignment="1">
      <alignment horizontal="center"/>
    </xf>
    <xf numFmtId="39" fontId="5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7" fillId="0" borderId="0" xfId="0" applyFont="1" applyAlignment="1">
      <alignment horizontal="center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sserver2\Regulatory%20Filings\FAC\2023\11%202023\FAC%20Monthly%20Reports\Form%20A%20Filing%20-%202023.11.xlsm" TargetMode="External"/><Relationship Id="rId1" Type="http://schemas.openxmlformats.org/officeDocument/2006/relationships/externalLinkPath" Target="file:///\\msserver2\Regulatory%20Filings\FAC\2023\11%202023\FAC%20Monthly%20Reports\Form%20A%20Filing%20-%202023.11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sserver2\Regulatory%20Filings\FAC\2023\12%202023\FAC%20Monthly%20Reports\Form%20A%20Filing%20-%202023.12.xlsm" TargetMode="External"/><Relationship Id="rId1" Type="http://schemas.openxmlformats.org/officeDocument/2006/relationships/externalLinkPath" Target="file:///\\msserver2\Regulatory%20Filings\FAC\2023\12%202023\FAC%20Monthly%20Reports\Form%20A%20Filing%20-%202023.12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sserver2\Regulatory%20Filings\FAC\2024\01.2024\FAC%20Monthly%20Reports\Form%20A%20Filing%20-%202024.01.xlsm" TargetMode="External"/><Relationship Id="rId1" Type="http://schemas.openxmlformats.org/officeDocument/2006/relationships/externalLinkPath" Target="file:///\\msserver2\Regulatory%20Filings\FAC\2024\01.2024\FAC%20Monthly%20Reports\Form%20A%20Filing%20-%202024.01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sserver2\Regulatory%20Filings\FAC\2024\02.2024\FAC%20Monthly%20Reports\Form%20A%20Filing%20-%202024.02.xlsm" TargetMode="External"/><Relationship Id="rId1" Type="http://schemas.openxmlformats.org/officeDocument/2006/relationships/externalLinkPath" Target="file:///\\msserver2\Regulatory%20Filings\FAC\2024\02.2024\FAC%20Monthly%20Reports\Form%20A%20Filing%20-%202024.02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sserver2\Regulatory%20Filings\FAC\2024\03.2024\FAC%20Monthly%20Reports\Form%20A%20Filing%20-%202024.03.xlsm" TargetMode="External"/><Relationship Id="rId1" Type="http://schemas.openxmlformats.org/officeDocument/2006/relationships/externalLinkPath" Target="file:///\\msserver2\Regulatory%20Filings\FAC\2024\03.2024\FAC%20Monthly%20Reports\Form%20A%20Filing%20-%202024.03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sserver2\Regulatory%20Filings\FAC\2024\04.2024\FAC%20Monthly%20Reports\Form%20A%20Filing%20-%202024.04.xlsm" TargetMode="External"/><Relationship Id="rId1" Type="http://schemas.openxmlformats.org/officeDocument/2006/relationships/externalLinkPath" Target="file:///\\msserver2\Regulatory%20Filings\FAC\2024\04.2024\FAC%20Monthly%20Reports\Form%20A%20Filing%20-%202024.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s (Not Filed)"/>
      <sheetName val="FAC - Page 1"/>
      <sheetName val="FAC - Page 2"/>
      <sheetName val="FAC - Page 3"/>
      <sheetName val="FAC - Page 4"/>
      <sheetName val="Appendix A (IfApplicable)"/>
    </sheetNames>
    <sheetDataSet>
      <sheetData sheetId="0">
        <row r="18">
          <cell r="N18">
            <v>5262482.75</v>
          </cell>
        </row>
        <row r="19">
          <cell r="N19">
            <v>0</v>
          </cell>
        </row>
        <row r="20">
          <cell r="N20">
            <v>338519.1</v>
          </cell>
        </row>
        <row r="21">
          <cell r="N21">
            <v>289869.5</v>
          </cell>
        </row>
        <row r="22">
          <cell r="N22">
            <v>0</v>
          </cell>
        </row>
        <row r="23">
          <cell r="N23">
            <v>4870.72</v>
          </cell>
        </row>
        <row r="24">
          <cell r="N24">
            <v>640621.5</v>
          </cell>
        </row>
        <row r="25">
          <cell r="N25">
            <v>0</v>
          </cell>
        </row>
        <row r="26">
          <cell r="N26">
            <v>0</v>
          </cell>
        </row>
        <row r="27">
          <cell r="N27">
            <v>0</v>
          </cell>
        </row>
        <row r="31">
          <cell r="N31">
            <v>5319835.1100000003</v>
          </cell>
        </row>
        <row r="32">
          <cell r="N32">
            <v>1171369.6399999999</v>
          </cell>
        </row>
        <row r="33">
          <cell r="N33">
            <v>1088513.6499999999</v>
          </cell>
        </row>
        <row r="35">
          <cell r="N35">
            <v>0</v>
          </cell>
        </row>
        <row r="36">
          <cell r="N36">
            <v>564264.18999999994</v>
          </cell>
        </row>
        <row r="37">
          <cell r="N37">
            <v>1263.0999999999999</v>
          </cell>
        </row>
        <row r="43">
          <cell r="N43">
            <v>3974836.59</v>
          </cell>
        </row>
      </sheetData>
      <sheetData sheetId="1">
        <row r="9">
          <cell r="A9" t="str">
            <v>Expense Month: November 2023</v>
          </cell>
          <cell r="B9"/>
          <cell r="C9"/>
          <cell r="D9"/>
          <cell r="E9"/>
          <cell r="F9"/>
          <cell r="G9"/>
        </row>
      </sheetData>
      <sheetData sheetId="2"/>
      <sheetData sheetId="3"/>
      <sheetData sheetId="4">
        <row r="35">
          <cell r="F35">
            <v>215682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s (Not Filed)"/>
      <sheetName val="FAC - Page 1"/>
      <sheetName val="FAC - Page 2"/>
      <sheetName val="FAC - Page 3"/>
      <sheetName val="FAC - Page 4"/>
      <sheetName val="Appendix A (IfApplicable)"/>
    </sheetNames>
    <sheetDataSet>
      <sheetData sheetId="0">
        <row r="18">
          <cell r="N18">
            <v>5638402.21</v>
          </cell>
        </row>
        <row r="19">
          <cell r="N19">
            <v>0</v>
          </cell>
        </row>
        <row r="20">
          <cell r="N20">
            <v>151355.14000000001</v>
          </cell>
        </row>
        <row r="21">
          <cell r="N21">
            <v>259495.27</v>
          </cell>
        </row>
        <row r="22">
          <cell r="N22">
            <v>0</v>
          </cell>
        </row>
        <row r="23">
          <cell r="N23">
            <v>30672.13</v>
          </cell>
        </row>
        <row r="24">
          <cell r="N24">
            <v>740084.28</v>
          </cell>
        </row>
        <row r="25">
          <cell r="N25">
            <v>0</v>
          </cell>
        </row>
        <row r="26">
          <cell r="N26">
            <v>0</v>
          </cell>
        </row>
        <row r="27">
          <cell r="N27">
            <v>0</v>
          </cell>
        </row>
        <row r="31">
          <cell r="N31">
            <v>5297303.9400000004</v>
          </cell>
        </row>
        <row r="32">
          <cell r="N32">
            <v>1070389.48</v>
          </cell>
        </row>
        <row r="33">
          <cell r="N33">
            <v>836525.81</v>
          </cell>
        </row>
        <row r="35">
          <cell r="N35">
            <v>0</v>
          </cell>
        </row>
        <row r="36">
          <cell r="N36">
            <v>507867.78</v>
          </cell>
        </row>
        <row r="37">
          <cell r="N37">
            <v>57347.6</v>
          </cell>
        </row>
        <row r="43">
          <cell r="N43">
            <v>3233072.39</v>
          </cell>
        </row>
      </sheetData>
      <sheetData sheetId="1">
        <row r="9">
          <cell r="A9" t="str">
            <v>Expense Month: December 2023</v>
          </cell>
          <cell r="B9"/>
          <cell r="C9"/>
          <cell r="D9"/>
          <cell r="E9"/>
          <cell r="F9"/>
          <cell r="G9"/>
        </row>
      </sheetData>
      <sheetData sheetId="2"/>
      <sheetData sheetId="3"/>
      <sheetData sheetId="4">
        <row r="35">
          <cell r="F35">
            <v>515162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s (Not Filed)"/>
      <sheetName val="FAC - Page 1"/>
      <sheetName val="FAC - Page 2"/>
      <sheetName val="FAC - Page 3"/>
      <sheetName val="FAC - Page 4"/>
      <sheetName val="Appendix A (IfApplicable)"/>
    </sheetNames>
    <sheetDataSet>
      <sheetData sheetId="0">
        <row r="18">
          <cell r="N18">
            <v>6360155.5300000003</v>
          </cell>
        </row>
        <row r="19">
          <cell r="N19">
            <v>0</v>
          </cell>
        </row>
        <row r="20">
          <cell r="N20">
            <v>167558.48000000001</v>
          </cell>
        </row>
        <row r="21">
          <cell r="N21">
            <v>416253.88</v>
          </cell>
        </row>
        <row r="22">
          <cell r="N22">
            <v>0</v>
          </cell>
        </row>
        <row r="23">
          <cell r="N23">
            <v>0</v>
          </cell>
        </row>
        <row r="24">
          <cell r="N24">
            <v>1466471.43</v>
          </cell>
        </row>
        <row r="25">
          <cell r="N25">
            <v>573208.61</v>
          </cell>
        </row>
        <row r="26">
          <cell r="N26">
            <v>0</v>
          </cell>
        </row>
        <row r="27">
          <cell r="N27">
            <v>0</v>
          </cell>
        </row>
        <row r="31">
          <cell r="N31">
            <v>6465274.9900000002</v>
          </cell>
        </row>
        <row r="32">
          <cell r="N32">
            <v>5367559.33</v>
          </cell>
        </row>
        <row r="33">
          <cell r="N33">
            <v>203744.71</v>
          </cell>
        </row>
        <row r="35">
          <cell r="N35">
            <v>0</v>
          </cell>
        </row>
        <row r="36">
          <cell r="N36">
            <v>483078.77</v>
          </cell>
        </row>
        <row r="37">
          <cell r="N37">
            <v>4434070.54</v>
          </cell>
        </row>
        <row r="43">
          <cell r="N43">
            <v>4113466.84</v>
          </cell>
        </row>
      </sheetData>
      <sheetData sheetId="1">
        <row r="9">
          <cell r="A9" t="str">
            <v>Expense Month: January 2024</v>
          </cell>
          <cell r="B9"/>
          <cell r="C9"/>
          <cell r="D9"/>
          <cell r="E9"/>
          <cell r="F9"/>
          <cell r="G9"/>
        </row>
      </sheetData>
      <sheetData sheetId="2"/>
      <sheetData sheetId="3"/>
      <sheetData sheetId="4">
        <row r="35">
          <cell r="F35">
            <v>686194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s (Not Filed)"/>
      <sheetName val="FAC - Page 1"/>
      <sheetName val="FAC - Page 2"/>
      <sheetName val="FAC - Page 3"/>
      <sheetName val="FAC - Page 4"/>
      <sheetName val="Appendix A (IfApplicable)"/>
    </sheetNames>
    <sheetDataSet>
      <sheetData sheetId="0">
        <row r="18">
          <cell r="N18">
            <v>4984689.67</v>
          </cell>
        </row>
        <row r="19">
          <cell r="N19">
            <v>0</v>
          </cell>
        </row>
        <row r="20">
          <cell r="N20">
            <v>210870.58</v>
          </cell>
        </row>
        <row r="21">
          <cell r="N21">
            <v>859162.08</v>
          </cell>
        </row>
        <row r="22">
          <cell r="N22">
            <v>0</v>
          </cell>
        </row>
        <row r="23">
          <cell r="N23">
            <v>14454.7</v>
          </cell>
        </row>
        <row r="24">
          <cell r="N24">
            <v>627269.35</v>
          </cell>
        </row>
        <row r="25">
          <cell r="N25">
            <v>1896.79</v>
          </cell>
        </row>
        <row r="26">
          <cell r="N26">
            <v>0</v>
          </cell>
        </row>
        <row r="27">
          <cell r="N27">
            <v>0</v>
          </cell>
        </row>
        <row r="31">
          <cell r="N31">
            <v>5529063.5199999996</v>
          </cell>
        </row>
        <row r="32">
          <cell r="N32">
            <v>752594.5</v>
          </cell>
        </row>
        <row r="33">
          <cell r="N33">
            <v>766709.87</v>
          </cell>
        </row>
        <row r="35">
          <cell r="N35">
            <v>0</v>
          </cell>
        </row>
        <row r="36">
          <cell r="N36">
            <v>412171.59</v>
          </cell>
        </row>
        <row r="37">
          <cell r="N37">
            <v>99153.93</v>
          </cell>
        </row>
        <row r="43">
          <cell r="N43">
            <v>3214914.27</v>
          </cell>
        </row>
      </sheetData>
      <sheetData sheetId="1">
        <row r="9">
          <cell r="A9" t="str">
            <v>Expense Month: February 2024</v>
          </cell>
          <cell r="B9"/>
          <cell r="C9"/>
          <cell r="D9"/>
          <cell r="E9"/>
          <cell r="F9"/>
          <cell r="G9"/>
        </row>
      </sheetData>
      <sheetData sheetId="2"/>
      <sheetData sheetId="3"/>
      <sheetData sheetId="4">
        <row r="35">
          <cell r="F35">
            <v>-553610</v>
          </cell>
        </row>
      </sheetData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s (Not Filed)"/>
      <sheetName val="FAC - Page 1"/>
      <sheetName val="FAC - Page 2"/>
      <sheetName val="FAC - Page 3"/>
      <sheetName val="FAC - Page 4"/>
      <sheetName val="Appendix A (IfApplicable)"/>
    </sheetNames>
    <sheetDataSet>
      <sheetData sheetId="0">
        <row r="18">
          <cell r="N18">
            <v>1985255.94</v>
          </cell>
        </row>
        <row r="19">
          <cell r="N19">
            <v>0</v>
          </cell>
        </row>
        <row r="20">
          <cell r="N20">
            <v>57372.61</v>
          </cell>
        </row>
        <row r="21">
          <cell r="N21">
            <v>1412743.34</v>
          </cell>
        </row>
        <row r="22">
          <cell r="N22">
            <v>0</v>
          </cell>
        </row>
        <row r="23">
          <cell r="N23">
            <v>21108.45</v>
          </cell>
        </row>
        <row r="24">
          <cell r="N24">
            <v>30680.45</v>
          </cell>
        </row>
        <row r="25">
          <cell r="N25">
            <v>19461.66</v>
          </cell>
        </row>
        <row r="26">
          <cell r="N26">
            <v>0</v>
          </cell>
        </row>
        <row r="27">
          <cell r="N27">
            <v>0</v>
          </cell>
        </row>
        <row r="31">
          <cell r="N31">
            <v>3196977.98</v>
          </cell>
        </row>
        <row r="32">
          <cell r="N32">
            <v>5188121.93</v>
          </cell>
        </row>
        <row r="33">
          <cell r="N33">
            <v>3810.84</v>
          </cell>
        </row>
        <row r="35">
          <cell r="N35">
            <v>0</v>
          </cell>
        </row>
        <row r="36">
          <cell r="N36">
            <v>389819.73</v>
          </cell>
        </row>
        <row r="37">
          <cell r="N37">
            <v>173645.71</v>
          </cell>
        </row>
        <row r="43">
          <cell r="N43">
            <v>3214263.86</v>
          </cell>
        </row>
      </sheetData>
      <sheetData sheetId="1">
        <row r="9">
          <cell r="A9" t="str">
            <v>Expense Month: March 2024</v>
          </cell>
          <cell r="B9"/>
          <cell r="C9"/>
          <cell r="D9"/>
          <cell r="E9"/>
          <cell r="F9"/>
          <cell r="G9"/>
        </row>
      </sheetData>
      <sheetData sheetId="2"/>
      <sheetData sheetId="3"/>
      <sheetData sheetId="4">
        <row r="35">
          <cell r="F35">
            <v>-85279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s (Not Filed)"/>
      <sheetName val="FAC - Page 1"/>
      <sheetName val="FAC - Page 2"/>
      <sheetName val="FAC - Page 3"/>
      <sheetName val="FAC - Page 4"/>
      <sheetName val="Appendix A (IfApplicable)"/>
    </sheetNames>
    <sheetDataSet>
      <sheetData sheetId="0">
        <row r="18">
          <cell r="N18">
            <v>3143356.16</v>
          </cell>
        </row>
        <row r="19">
          <cell r="N19">
            <v>0</v>
          </cell>
        </row>
        <row r="20">
          <cell r="N20">
            <v>422626.95</v>
          </cell>
        </row>
        <row r="21">
          <cell r="N21">
            <v>2461900.77</v>
          </cell>
        </row>
        <row r="22">
          <cell r="N22">
            <v>0</v>
          </cell>
        </row>
        <row r="23">
          <cell r="N23">
            <v>3153.98</v>
          </cell>
        </row>
        <row r="24">
          <cell r="N24">
            <v>52731.16</v>
          </cell>
        </row>
        <row r="25">
          <cell r="N25">
            <v>5712.73</v>
          </cell>
        </row>
        <row r="26">
          <cell r="N26">
            <v>0</v>
          </cell>
        </row>
        <row r="27">
          <cell r="N27">
            <v>0</v>
          </cell>
        </row>
        <row r="31">
          <cell r="N31">
            <v>1324597.92</v>
          </cell>
        </row>
        <row r="32">
          <cell r="N32">
            <v>4173225.89</v>
          </cell>
        </row>
        <row r="33">
          <cell r="N33">
            <v>36239.79</v>
          </cell>
        </row>
        <row r="35">
          <cell r="N35">
            <v>0</v>
          </cell>
        </row>
        <row r="36">
          <cell r="N36">
            <v>473531.4</v>
          </cell>
        </row>
        <row r="37">
          <cell r="N37">
            <v>209242.75</v>
          </cell>
        </row>
        <row r="43">
          <cell r="N43">
            <v>4788605.24</v>
          </cell>
        </row>
      </sheetData>
      <sheetData sheetId="1">
        <row r="9">
          <cell r="A9" t="str">
            <v>Expense Month: April 2024</v>
          </cell>
          <cell r="B9"/>
          <cell r="C9"/>
          <cell r="D9"/>
          <cell r="E9"/>
          <cell r="F9"/>
          <cell r="G9"/>
        </row>
      </sheetData>
      <sheetData sheetId="2"/>
      <sheetData sheetId="3"/>
      <sheetData sheetId="4">
        <row r="35">
          <cell r="F35">
            <v>-205228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7C646-4B44-48D2-AF96-3021FD479C94}">
  <sheetPr>
    <pageSetUpPr fitToPage="1"/>
  </sheetPr>
  <dimension ref="A1:G25"/>
  <sheetViews>
    <sheetView tabSelected="1" workbookViewId="0">
      <selection activeCell="A28" sqref="A28"/>
    </sheetView>
  </sheetViews>
  <sheetFormatPr defaultColWidth="9.125" defaultRowHeight="15.75"/>
  <cols>
    <col min="1" max="1" width="23.375" style="2" customWidth="1"/>
    <col min="2" max="2" width="21.125" style="2" customWidth="1"/>
    <col min="3" max="3" width="9.75" style="2" customWidth="1"/>
    <col min="4" max="6" width="21.125" style="2" customWidth="1"/>
    <col min="7" max="7" width="24.875" style="2" customWidth="1"/>
    <col min="8" max="16384" width="9.125" style="2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28"/>
      <c r="B3" s="129"/>
      <c r="C3" s="129"/>
      <c r="D3" s="129"/>
      <c r="E3" s="129"/>
      <c r="F3" s="129"/>
      <c r="G3" s="129"/>
    </row>
    <row r="4" spans="1:7" ht="15.75" customHeight="1">
      <c r="A4" s="129" t="s">
        <v>107</v>
      </c>
      <c r="B4" s="129"/>
      <c r="C4" s="129"/>
      <c r="D4" s="129"/>
      <c r="E4" s="129"/>
      <c r="F4" s="129"/>
      <c r="G4" s="129"/>
    </row>
    <row r="5" spans="1:7" ht="15.75" customHeight="1">
      <c r="A5" s="128" t="s">
        <v>0</v>
      </c>
      <c r="B5" s="128"/>
      <c r="C5" s="128"/>
      <c r="D5" s="128"/>
      <c r="E5" s="128"/>
      <c r="F5" s="128"/>
      <c r="G5" s="128"/>
    </row>
    <row r="6" spans="1:7" ht="15.75" customHeight="1">
      <c r="A6" s="128" t="s">
        <v>11</v>
      </c>
      <c r="B6" s="128"/>
      <c r="C6" s="128"/>
      <c r="D6" s="128"/>
      <c r="E6" s="128"/>
      <c r="F6" s="128"/>
      <c r="G6" s="128"/>
    </row>
    <row r="8" spans="1:7" ht="82.5" customHeight="1">
      <c r="A8" s="3"/>
      <c r="B8" s="4" t="s">
        <v>1</v>
      </c>
      <c r="C8" s="5"/>
      <c r="D8" s="4" t="s">
        <v>2</v>
      </c>
      <c r="E8" s="4" t="s">
        <v>3</v>
      </c>
      <c r="F8" s="4" t="s">
        <v>4</v>
      </c>
      <c r="G8" s="4" t="s">
        <v>5</v>
      </c>
    </row>
    <row r="9" spans="1:7">
      <c r="A9" s="6" t="s">
        <v>12</v>
      </c>
      <c r="B9" s="7">
        <f>+'Form B FuelBurned 11.2023'!K13</f>
        <v>265.19056533133659</v>
      </c>
      <c r="C9" s="8"/>
      <c r="D9" s="9">
        <f>+'Form A Pg 2 11.2023'!E27</f>
        <v>1088514</v>
      </c>
      <c r="E9" s="9">
        <f>+'Form A Pg 2 11.2023'!E18</f>
        <v>0</v>
      </c>
      <c r="F9" s="9">
        <f>-'Form A Pg 2 11.2023'!E17</f>
        <v>-640622</v>
      </c>
      <c r="G9" s="9">
        <f>SUM(D9:F9)</f>
        <v>447892</v>
      </c>
    </row>
    <row r="10" spans="1:7">
      <c r="A10" s="6" t="s">
        <v>13</v>
      </c>
      <c r="B10" s="7">
        <f>+'Form B FuelBurned 12.2023'!K34</f>
        <v>52.113997221765814</v>
      </c>
      <c r="C10" s="8"/>
      <c r="D10" s="9">
        <f>+'Form A Pg 2 12.2023'!E27</f>
        <v>836526</v>
      </c>
      <c r="E10" s="9">
        <f>+'Form A Pg 2 12.2023'!E18</f>
        <v>0</v>
      </c>
      <c r="F10" s="9">
        <f>-'Form A Pg 2 12.2023'!E17</f>
        <v>-740084</v>
      </c>
      <c r="G10" s="9">
        <f t="shared" ref="G10:G14" si="0">SUM(D10:F10)</f>
        <v>96442</v>
      </c>
    </row>
    <row r="11" spans="1:7">
      <c r="A11" s="6" t="s">
        <v>14</v>
      </c>
      <c r="B11" s="7">
        <f>+'Form B FuelBurned 01.2024'!T43</f>
        <v>29.987316799999999</v>
      </c>
      <c r="C11" s="8"/>
      <c r="D11" s="9">
        <f>+'Form A Pg 2 01.2024'!E27</f>
        <v>893262</v>
      </c>
      <c r="E11" s="9">
        <f>+'Form A Pg 2 01.2024'!E18</f>
        <v>573209</v>
      </c>
      <c r="F11" s="9">
        <f>-'Form A Pg 2 01.2024'!E17</f>
        <v>-1466471</v>
      </c>
      <c r="G11" s="9">
        <f t="shared" si="0"/>
        <v>0</v>
      </c>
    </row>
    <row r="12" spans="1:7">
      <c r="A12" s="6" t="s">
        <v>15</v>
      </c>
      <c r="B12" s="7">
        <f>+'Form B FuelBurned 02.2024'!K13</f>
        <v>44.811878749888059</v>
      </c>
      <c r="C12" s="8"/>
      <c r="D12" s="9">
        <f>+'Form A Pg 2 02.2024'!E27</f>
        <v>766710</v>
      </c>
      <c r="E12" s="9">
        <f>+'Form A Pg 2 02.2024'!E18</f>
        <v>1897</v>
      </c>
      <c r="F12" s="9">
        <f>-'Form A Pg 2 02.2024'!E17</f>
        <v>-627269</v>
      </c>
      <c r="G12" s="9">
        <f t="shared" si="0"/>
        <v>141338</v>
      </c>
    </row>
    <row r="13" spans="1:7">
      <c r="A13" s="6" t="s">
        <v>16</v>
      </c>
      <c r="B13" s="7">
        <f>+'Form B FuelBurned 03.2024'!K13</f>
        <v>43.051749471202754</v>
      </c>
      <c r="C13" s="8"/>
      <c r="D13" s="9">
        <f>+'Form A Pg 2 03.2024'!E27</f>
        <v>11218</v>
      </c>
      <c r="E13" s="9">
        <f>+'Form A Pg 2 03.2024'!E18</f>
        <v>19462</v>
      </c>
      <c r="F13" s="9">
        <f>-'Form A Pg 2 03.2024'!E17</f>
        <v>-30680</v>
      </c>
      <c r="G13" s="9">
        <f t="shared" si="0"/>
        <v>0</v>
      </c>
    </row>
    <row r="14" spans="1:7">
      <c r="A14" s="6" t="s">
        <v>17</v>
      </c>
      <c r="B14" s="7">
        <f>+'Form B FuelBurned 04.2024'!K13</f>
        <v>32.334177756874652</v>
      </c>
      <c r="C14" s="8"/>
      <c r="D14" s="9">
        <f>+'Form A Pg 2 04.2024'!E27</f>
        <v>47018</v>
      </c>
      <c r="E14" s="9">
        <f>+'Form A Pg 2 04.2024'!E18</f>
        <v>5713</v>
      </c>
      <c r="F14" s="9">
        <f>-'Form A Pg 2 04.2024'!E17</f>
        <v>-52731</v>
      </c>
      <c r="G14" s="9">
        <f t="shared" si="0"/>
        <v>0</v>
      </c>
    </row>
    <row r="16" spans="1:7">
      <c r="A16" s="10" t="s">
        <v>6</v>
      </c>
    </row>
    <row r="17" spans="1:7">
      <c r="A17" s="130" t="s">
        <v>7</v>
      </c>
      <c r="B17" s="131"/>
      <c r="C17" s="131"/>
      <c r="D17" s="131"/>
      <c r="E17" s="131"/>
      <c r="F17" s="131"/>
      <c r="G17" s="131"/>
    </row>
    <row r="18" spans="1:7">
      <c r="A18" s="11" t="s">
        <v>8</v>
      </c>
    </row>
    <row r="19" spans="1:7">
      <c r="A19" s="11" t="s">
        <v>9</v>
      </c>
    </row>
    <row r="20" spans="1:7">
      <c r="A20" s="11" t="s">
        <v>10</v>
      </c>
    </row>
    <row r="24" spans="1:7">
      <c r="A24" s="2" t="s">
        <v>108</v>
      </c>
    </row>
    <row r="25" spans="1:7">
      <c r="A25" s="2" t="s">
        <v>109</v>
      </c>
    </row>
  </sheetData>
  <mergeCells count="5">
    <mergeCell ref="A3:G3"/>
    <mergeCell ref="A4:G4"/>
    <mergeCell ref="A5:G5"/>
    <mergeCell ref="A6:G6"/>
    <mergeCell ref="A17:G17"/>
  </mergeCells>
  <pageMargins left="0.7" right="0.7" top="0.75" bottom="0.75" header="0.3" footer="0.3"/>
  <pageSetup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272FC-A70E-4482-A65D-899D44727A4F}">
  <dimension ref="A1:G40"/>
  <sheetViews>
    <sheetView workbookViewId="0">
      <selection activeCell="I12" sqref="I12"/>
    </sheetView>
  </sheetViews>
  <sheetFormatPr defaultColWidth="9.125" defaultRowHeight="12.75"/>
  <cols>
    <col min="1" max="1" width="4" style="76" customWidth="1"/>
    <col min="2" max="2" width="69.625" style="76" customWidth="1"/>
    <col min="3" max="3" width="9.75" style="76" customWidth="1"/>
    <col min="4" max="4" width="2.875" style="76" customWidth="1"/>
    <col min="5" max="5" width="18.875" style="76" bestFit="1" customWidth="1"/>
    <col min="6" max="6" width="3.25" style="76" customWidth="1"/>
    <col min="7" max="7" width="4.625" style="76" customWidth="1"/>
    <col min="8" max="16384" width="9.125" style="76"/>
  </cols>
  <sheetData>
    <row r="1" spans="1:6">
      <c r="A1" s="58"/>
      <c r="B1" s="58"/>
      <c r="F1" s="77"/>
    </row>
    <row r="2" spans="1:6">
      <c r="E2" s="77" t="s">
        <v>48</v>
      </c>
      <c r="F2" s="77"/>
    </row>
    <row r="3" spans="1:6">
      <c r="A3" s="58"/>
      <c r="E3" s="78" t="s">
        <v>49</v>
      </c>
      <c r="F3" s="77"/>
    </row>
    <row r="4" spans="1:6">
      <c r="E4" s="78"/>
      <c r="F4" s="77"/>
    </row>
    <row r="5" spans="1:6">
      <c r="A5" s="137" t="s">
        <v>19</v>
      </c>
      <c r="B5" s="137"/>
      <c r="C5" s="137"/>
      <c r="D5" s="137"/>
      <c r="E5" s="137"/>
      <c r="F5" s="80"/>
    </row>
    <row r="6" spans="1:6">
      <c r="A6" s="137" t="s">
        <v>50</v>
      </c>
      <c r="B6" s="137"/>
      <c r="C6" s="137"/>
      <c r="D6" s="137"/>
      <c r="E6" s="137"/>
      <c r="F6" s="80"/>
    </row>
    <row r="7" spans="1:6" ht="17.25" customHeight="1">
      <c r="A7" s="79" t="s">
        <v>22</v>
      </c>
      <c r="B7" s="81"/>
      <c r="C7" s="80"/>
      <c r="D7" s="80"/>
      <c r="E7" s="80"/>
      <c r="F7" s="80"/>
    </row>
    <row r="8" spans="1:6">
      <c r="A8" s="138" t="str">
        <f>'[3]FAC - Page 1'!$A$9:$G$9</f>
        <v>Expense Month: January 2024</v>
      </c>
      <c r="B8" s="138"/>
      <c r="C8" s="138"/>
      <c r="D8" s="138"/>
      <c r="E8" s="138"/>
      <c r="F8" s="80"/>
    </row>
    <row r="9" spans="1:6" ht="17.25" customHeight="1">
      <c r="B9" s="139"/>
      <c r="C9" s="139"/>
      <c r="D9" s="139"/>
      <c r="E9" s="139"/>
    </row>
    <row r="10" spans="1:6">
      <c r="A10" s="82" t="s">
        <v>51</v>
      </c>
      <c r="B10" s="83" t="s">
        <v>52</v>
      </c>
    </row>
    <row r="11" spans="1:6">
      <c r="B11" s="76" t="s">
        <v>53</v>
      </c>
      <c r="D11" s="84" t="s">
        <v>54</v>
      </c>
      <c r="E11" s="85">
        <f>ROUND('[3]Inputs (Not Filed)'!N18,0)</f>
        <v>6360156</v>
      </c>
      <c r="F11" s="84"/>
    </row>
    <row r="12" spans="1:6">
      <c r="B12" s="86" t="s">
        <v>55</v>
      </c>
      <c r="D12" s="84" t="s">
        <v>54</v>
      </c>
      <c r="E12" s="87">
        <f>ROUND('[3]Inputs (Not Filed)'!N19,0)</f>
        <v>0</v>
      </c>
      <c r="F12" s="84"/>
    </row>
    <row r="13" spans="1:6">
      <c r="B13" s="76" t="s">
        <v>56</v>
      </c>
      <c r="D13" s="84" t="s">
        <v>54</v>
      </c>
      <c r="E13" s="87">
        <f>ROUND('[3]Inputs (Not Filed)'!N20,0)</f>
        <v>167558</v>
      </c>
      <c r="F13" s="84"/>
    </row>
    <row r="14" spans="1:6" ht="14.25">
      <c r="A14" s="88"/>
      <c r="B14" s="76" t="s">
        <v>57</v>
      </c>
      <c r="D14" s="84" t="s">
        <v>54</v>
      </c>
      <c r="E14" s="87">
        <f>ROUND('[3]Inputs (Not Filed)'!N21,0)</f>
        <v>416254</v>
      </c>
    </row>
    <row r="15" spans="1:6">
      <c r="B15" s="86" t="s">
        <v>58</v>
      </c>
      <c r="D15" s="84" t="s">
        <v>54</v>
      </c>
      <c r="E15" s="87">
        <f>ROUND('[3]Inputs (Not Filed)'!N22,0)</f>
        <v>0</v>
      </c>
    </row>
    <row r="16" spans="1:6">
      <c r="B16" s="89" t="s">
        <v>59</v>
      </c>
      <c r="D16" s="84" t="s">
        <v>60</v>
      </c>
      <c r="E16" s="87">
        <f>ROUND('[3]Inputs (Not Filed)'!N23,0)</f>
        <v>0</v>
      </c>
    </row>
    <row r="17" spans="1:7">
      <c r="B17" s="76" t="s">
        <v>61</v>
      </c>
      <c r="D17" s="84" t="s">
        <v>54</v>
      </c>
      <c r="E17" s="87">
        <f>ROUND('[3]Inputs (Not Filed)'!N24,0)</f>
        <v>1466471</v>
      </c>
      <c r="F17" s="90"/>
    </row>
    <row r="18" spans="1:7">
      <c r="B18" s="76" t="s">
        <v>62</v>
      </c>
      <c r="D18" s="84" t="s">
        <v>60</v>
      </c>
      <c r="E18" s="91">
        <f>ROUND('[3]Inputs (Not Filed)'!N25,0)</f>
        <v>573209</v>
      </c>
      <c r="F18" s="90"/>
    </row>
    <row r="19" spans="1:7">
      <c r="B19" s="76" t="s">
        <v>63</v>
      </c>
      <c r="D19" s="90" t="s">
        <v>60</v>
      </c>
      <c r="E19" s="91">
        <f>ROUND('[3]Inputs (Not Filed)'!N26,0)</f>
        <v>0</v>
      </c>
      <c r="F19" s="90"/>
    </row>
    <row r="20" spans="1:7">
      <c r="B20" s="92" t="s">
        <v>64</v>
      </c>
      <c r="D20" s="90" t="s">
        <v>60</v>
      </c>
      <c r="E20" s="93">
        <f>ROUND('[3]Inputs (Not Filed)'!N27,0)</f>
        <v>0</v>
      </c>
      <c r="F20" s="90"/>
    </row>
    <row r="21" spans="1:7">
      <c r="B21" s="76" t="s">
        <v>65</v>
      </c>
      <c r="E21" s="94">
        <f>E11+E12+E13+E14+E15-E16+E17-E18-E19-E20</f>
        <v>7837230</v>
      </c>
      <c r="G21" s="95"/>
    </row>
    <row r="23" spans="1:7">
      <c r="A23" s="82" t="s">
        <v>66</v>
      </c>
      <c r="B23" s="92" t="s">
        <v>67</v>
      </c>
    </row>
    <row r="24" spans="1:7">
      <c r="B24" s="76" t="s">
        <v>68</v>
      </c>
      <c r="D24" s="84" t="s">
        <v>54</v>
      </c>
      <c r="E24" s="85">
        <f>ROUND('[3]Inputs (Not Filed)'!N31,0)</f>
        <v>6465275</v>
      </c>
    </row>
    <row r="25" spans="1:7">
      <c r="B25" s="76" t="s">
        <v>69</v>
      </c>
      <c r="D25" s="84" t="s">
        <v>54</v>
      </c>
      <c r="E25" s="96">
        <f>ROUND('[3]Inputs (Not Filed)'!N32,0)</f>
        <v>5367559</v>
      </c>
    </row>
    <row r="26" spans="1:7">
      <c r="B26" s="76" t="s">
        <v>70</v>
      </c>
      <c r="D26" s="84" t="s">
        <v>54</v>
      </c>
      <c r="E26" s="96">
        <f>ROUND('[3]Inputs (Not Filed)'!N33,0)</f>
        <v>203745</v>
      </c>
    </row>
    <row r="27" spans="1:7">
      <c r="B27" s="76" t="s">
        <v>71</v>
      </c>
      <c r="D27" s="84" t="s">
        <v>60</v>
      </c>
      <c r="E27" s="96">
        <f>IF((E17-E18)&gt;E26,(E17-E18),E26)</f>
        <v>893262</v>
      </c>
      <c r="F27" s="90"/>
    </row>
    <row r="28" spans="1:7">
      <c r="B28" s="86" t="s">
        <v>72</v>
      </c>
      <c r="D28" s="84" t="s">
        <v>60</v>
      </c>
      <c r="E28" s="97">
        <f>ROUND('[3]Inputs (Not Filed)'!N35,0)</f>
        <v>0</v>
      </c>
      <c r="F28" s="90"/>
    </row>
    <row r="29" spans="1:7">
      <c r="B29" s="86" t="s">
        <v>73</v>
      </c>
      <c r="D29" s="90" t="s">
        <v>60</v>
      </c>
      <c r="E29" s="97">
        <f>ROUND('[3]Inputs (Not Filed)'!N36,0)</f>
        <v>483079</v>
      </c>
      <c r="F29" s="90"/>
    </row>
    <row r="30" spans="1:7">
      <c r="B30" s="98" t="s">
        <v>74</v>
      </c>
      <c r="D30" s="84" t="s">
        <v>60</v>
      </c>
      <c r="E30" s="99">
        <f>ROUND('[3]Inputs (Not Filed)'!N37,0)</f>
        <v>4434071</v>
      </c>
    </row>
    <row r="31" spans="1:7">
      <c r="B31" s="76" t="s">
        <v>65</v>
      </c>
      <c r="E31" s="94">
        <f>+E24+E25+E26-E27-E28-E29-E30</f>
        <v>6226167</v>
      </c>
      <c r="G31" s="95"/>
    </row>
    <row r="33" spans="1:7">
      <c r="A33" s="82" t="s">
        <v>75</v>
      </c>
      <c r="B33" s="92" t="s">
        <v>76</v>
      </c>
    </row>
    <row r="34" spans="1:7">
      <c r="B34" s="76" t="s">
        <v>77</v>
      </c>
      <c r="D34" s="84"/>
      <c r="E34" s="100">
        <f>ROUND('[3]Inputs (Not Filed)'!N43,0)</f>
        <v>4113467</v>
      </c>
    </row>
    <row r="36" spans="1:7">
      <c r="A36" s="82" t="s">
        <v>78</v>
      </c>
      <c r="B36" s="92" t="s">
        <v>79</v>
      </c>
    </row>
    <row r="37" spans="1:7">
      <c r="B37" s="86" t="s">
        <v>80</v>
      </c>
      <c r="E37" s="100">
        <f>ROUND('[3]FAC - Page 4'!F35,0)</f>
        <v>686194</v>
      </c>
    </row>
    <row r="39" spans="1:7" ht="13.5" thickBot="1">
      <c r="B39" s="76" t="s">
        <v>81</v>
      </c>
      <c r="E39" s="101">
        <f>E21+E31-E34-E37</f>
        <v>9263736</v>
      </c>
      <c r="G39" s="95"/>
    </row>
    <row r="40" spans="1:7" ht="13.5" thickTop="1">
      <c r="E40" s="100"/>
    </row>
  </sheetData>
  <mergeCells count="4">
    <mergeCell ref="A5:E5"/>
    <mergeCell ref="A6:E6"/>
    <mergeCell ref="A8:E8"/>
    <mergeCell ref="B9:E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4F9B9-FE1C-4AB2-8D9D-BC58C7686CA3}">
  <dimension ref="A1:G40"/>
  <sheetViews>
    <sheetView workbookViewId="0">
      <selection activeCell="J7" sqref="J7"/>
    </sheetView>
  </sheetViews>
  <sheetFormatPr defaultColWidth="9.125" defaultRowHeight="12.75"/>
  <cols>
    <col min="1" max="1" width="4" style="76" customWidth="1"/>
    <col min="2" max="2" width="69.625" style="76" customWidth="1"/>
    <col min="3" max="3" width="9.75" style="76" customWidth="1"/>
    <col min="4" max="4" width="2.875" style="76" customWidth="1"/>
    <col min="5" max="5" width="18.875" style="76" bestFit="1" customWidth="1"/>
    <col min="6" max="6" width="3.25" style="76" customWidth="1"/>
    <col min="7" max="7" width="4.625" style="76" customWidth="1"/>
    <col min="8" max="16384" width="9.125" style="76"/>
  </cols>
  <sheetData>
    <row r="1" spans="1:6">
      <c r="A1" s="58"/>
      <c r="B1" s="58"/>
      <c r="F1" s="77"/>
    </row>
    <row r="2" spans="1:6">
      <c r="E2" s="77" t="s">
        <v>48</v>
      </c>
      <c r="F2" s="77"/>
    </row>
    <row r="3" spans="1:6">
      <c r="A3" s="58"/>
      <c r="E3" s="78" t="s">
        <v>49</v>
      </c>
      <c r="F3" s="77"/>
    </row>
    <row r="4" spans="1:6">
      <c r="E4" s="78"/>
      <c r="F4" s="77"/>
    </row>
    <row r="5" spans="1:6">
      <c r="A5" s="137" t="s">
        <v>19</v>
      </c>
      <c r="B5" s="137"/>
      <c r="C5" s="137"/>
      <c r="D5" s="137"/>
      <c r="E5" s="137"/>
      <c r="F5" s="80"/>
    </row>
    <row r="6" spans="1:6">
      <c r="A6" s="137" t="s">
        <v>50</v>
      </c>
      <c r="B6" s="137"/>
      <c r="C6" s="137"/>
      <c r="D6" s="137"/>
      <c r="E6" s="137"/>
      <c r="F6" s="80"/>
    </row>
    <row r="7" spans="1:6" ht="17.25" customHeight="1">
      <c r="A7" s="79" t="s">
        <v>22</v>
      </c>
      <c r="B7" s="81"/>
      <c r="C7" s="80"/>
      <c r="D7" s="80"/>
      <c r="E7" s="80"/>
      <c r="F7" s="80"/>
    </row>
    <row r="8" spans="1:6">
      <c r="A8" s="138" t="str">
        <f>'[4]FAC - Page 1'!$A$9:$G$9</f>
        <v>Expense Month: February 2024</v>
      </c>
      <c r="B8" s="138"/>
      <c r="C8" s="138"/>
      <c r="D8" s="138"/>
      <c r="E8" s="138"/>
      <c r="F8" s="80"/>
    </row>
    <row r="9" spans="1:6" ht="17.25" customHeight="1">
      <c r="B9" s="139"/>
      <c r="C9" s="139"/>
      <c r="D9" s="139"/>
      <c r="E9" s="139"/>
    </row>
    <row r="10" spans="1:6">
      <c r="A10" s="82" t="s">
        <v>51</v>
      </c>
      <c r="B10" s="83" t="s">
        <v>52</v>
      </c>
    </row>
    <row r="11" spans="1:6">
      <c r="B11" s="76" t="s">
        <v>53</v>
      </c>
      <c r="D11" s="84" t="s">
        <v>54</v>
      </c>
      <c r="E11" s="85">
        <f>ROUND('[4]Inputs (Not Filed)'!N18,0)</f>
        <v>4984690</v>
      </c>
      <c r="F11" s="84"/>
    </row>
    <row r="12" spans="1:6">
      <c r="B12" s="86" t="s">
        <v>55</v>
      </c>
      <c r="D12" s="84" t="s">
        <v>54</v>
      </c>
      <c r="E12" s="87">
        <f>ROUND('[4]Inputs (Not Filed)'!N19,0)</f>
        <v>0</v>
      </c>
      <c r="F12" s="84"/>
    </row>
    <row r="13" spans="1:6">
      <c r="B13" s="76" t="s">
        <v>56</v>
      </c>
      <c r="D13" s="84" t="s">
        <v>54</v>
      </c>
      <c r="E13" s="87">
        <f>ROUND('[4]Inputs (Not Filed)'!N20,0)</f>
        <v>210871</v>
      </c>
      <c r="F13" s="84"/>
    </row>
    <row r="14" spans="1:6" ht="14.25">
      <c r="A14" s="88"/>
      <c r="B14" s="76" t="s">
        <v>57</v>
      </c>
      <c r="D14" s="84" t="s">
        <v>54</v>
      </c>
      <c r="E14" s="87">
        <f>ROUND('[4]Inputs (Not Filed)'!N21,0)</f>
        <v>859162</v>
      </c>
    </row>
    <row r="15" spans="1:6">
      <c r="B15" s="86" t="s">
        <v>58</v>
      </c>
      <c r="D15" s="84" t="s">
        <v>54</v>
      </c>
      <c r="E15" s="87">
        <f>ROUND('[4]Inputs (Not Filed)'!N22,0)</f>
        <v>0</v>
      </c>
    </row>
    <row r="16" spans="1:6">
      <c r="B16" s="89" t="s">
        <v>59</v>
      </c>
      <c r="D16" s="84" t="s">
        <v>60</v>
      </c>
      <c r="E16" s="87">
        <f>ROUND('[4]Inputs (Not Filed)'!N23,0)</f>
        <v>14455</v>
      </c>
    </row>
    <row r="17" spans="1:7">
      <c r="B17" s="76" t="s">
        <v>61</v>
      </c>
      <c r="D17" s="84" t="s">
        <v>54</v>
      </c>
      <c r="E17" s="87">
        <f>ROUND('[4]Inputs (Not Filed)'!N24,0)</f>
        <v>627269</v>
      </c>
      <c r="F17" s="90"/>
    </row>
    <row r="18" spans="1:7">
      <c r="B18" s="76" t="s">
        <v>62</v>
      </c>
      <c r="D18" s="84" t="s">
        <v>60</v>
      </c>
      <c r="E18" s="91">
        <f>ROUND('[4]Inputs (Not Filed)'!N25,0)</f>
        <v>1897</v>
      </c>
      <c r="F18" s="90"/>
    </row>
    <row r="19" spans="1:7">
      <c r="B19" s="76" t="s">
        <v>63</v>
      </c>
      <c r="D19" s="90" t="s">
        <v>60</v>
      </c>
      <c r="E19" s="91">
        <f>ROUND('[4]Inputs (Not Filed)'!N26,0)</f>
        <v>0</v>
      </c>
      <c r="F19" s="90"/>
    </row>
    <row r="20" spans="1:7">
      <c r="B20" s="92" t="s">
        <v>64</v>
      </c>
      <c r="D20" s="90" t="s">
        <v>60</v>
      </c>
      <c r="E20" s="93">
        <f>ROUND('[4]Inputs (Not Filed)'!N27,0)</f>
        <v>0</v>
      </c>
      <c r="F20" s="90"/>
    </row>
    <row r="21" spans="1:7">
      <c r="B21" s="76" t="s">
        <v>65</v>
      </c>
      <c r="E21" s="94">
        <f>E11+E12+E13+E14+E15-E16+E17-E18-E19-E20</f>
        <v>6665640</v>
      </c>
      <c r="G21" s="95"/>
    </row>
    <row r="23" spans="1:7">
      <c r="A23" s="82" t="s">
        <v>66</v>
      </c>
      <c r="B23" s="92" t="s">
        <v>67</v>
      </c>
    </row>
    <row r="24" spans="1:7">
      <c r="B24" s="76" t="s">
        <v>68</v>
      </c>
      <c r="D24" s="84" t="s">
        <v>54</v>
      </c>
      <c r="E24" s="85">
        <f>ROUND('[4]Inputs (Not Filed)'!N31,0)</f>
        <v>5529064</v>
      </c>
    </row>
    <row r="25" spans="1:7">
      <c r="B25" s="76" t="s">
        <v>69</v>
      </c>
      <c r="D25" s="84" t="s">
        <v>54</v>
      </c>
      <c r="E25" s="96">
        <f>ROUND('[4]Inputs (Not Filed)'!N32,0)</f>
        <v>752595</v>
      </c>
    </row>
    <row r="26" spans="1:7">
      <c r="B26" s="76" t="s">
        <v>70</v>
      </c>
      <c r="D26" s="84" t="s">
        <v>54</v>
      </c>
      <c r="E26" s="96">
        <f>ROUND('[4]Inputs (Not Filed)'!N33,0)</f>
        <v>766710</v>
      </c>
    </row>
    <row r="27" spans="1:7">
      <c r="B27" s="76" t="s">
        <v>71</v>
      </c>
      <c r="D27" s="84" t="s">
        <v>60</v>
      </c>
      <c r="E27" s="96">
        <f>IF((E17-E18)&gt;E26,(E17-E18),E26)</f>
        <v>766710</v>
      </c>
      <c r="F27" s="90"/>
    </row>
    <row r="28" spans="1:7">
      <c r="B28" s="86" t="s">
        <v>72</v>
      </c>
      <c r="D28" s="84" t="s">
        <v>60</v>
      </c>
      <c r="E28" s="97">
        <f>ROUND('[4]Inputs (Not Filed)'!N35,0)</f>
        <v>0</v>
      </c>
      <c r="F28" s="90"/>
    </row>
    <row r="29" spans="1:7">
      <c r="B29" s="86" t="s">
        <v>73</v>
      </c>
      <c r="D29" s="90" t="s">
        <v>60</v>
      </c>
      <c r="E29" s="97">
        <f>ROUND('[4]Inputs (Not Filed)'!N36,0)</f>
        <v>412172</v>
      </c>
      <c r="F29" s="90"/>
    </row>
    <row r="30" spans="1:7">
      <c r="B30" s="98" t="s">
        <v>74</v>
      </c>
      <c r="D30" s="84" t="s">
        <v>60</v>
      </c>
      <c r="E30" s="99">
        <f>ROUND('[4]Inputs (Not Filed)'!N37,0)</f>
        <v>99154</v>
      </c>
    </row>
    <row r="31" spans="1:7">
      <c r="B31" s="76" t="s">
        <v>65</v>
      </c>
      <c r="E31" s="94">
        <f>+E24+E25+E26-E27-E28-E29-E30</f>
        <v>5770333</v>
      </c>
      <c r="G31" s="95"/>
    </row>
    <row r="33" spans="1:7">
      <c r="A33" s="82" t="s">
        <v>75</v>
      </c>
      <c r="B33" s="92" t="s">
        <v>76</v>
      </c>
    </row>
    <row r="34" spans="1:7">
      <c r="B34" s="76" t="s">
        <v>77</v>
      </c>
      <c r="D34" s="84"/>
      <c r="E34" s="100">
        <f>ROUND('[4]Inputs (Not Filed)'!N43,0)</f>
        <v>3214914</v>
      </c>
    </row>
    <row r="36" spans="1:7">
      <c r="A36" s="82" t="s">
        <v>78</v>
      </c>
      <c r="B36" s="92" t="s">
        <v>79</v>
      </c>
    </row>
    <row r="37" spans="1:7">
      <c r="B37" s="86" t="s">
        <v>80</v>
      </c>
      <c r="E37" s="100">
        <f>ROUND('[4]FAC - Page 4'!F35,0)</f>
        <v>-553610</v>
      </c>
    </row>
    <row r="39" spans="1:7" ht="13.5" thickBot="1">
      <c r="B39" s="76" t="s">
        <v>81</v>
      </c>
      <c r="E39" s="101">
        <f>E21+E31-E34-E37</f>
        <v>9774669</v>
      </c>
      <c r="G39" s="95"/>
    </row>
    <row r="40" spans="1:7" ht="13.5" thickTop="1">
      <c r="E40" s="100"/>
    </row>
  </sheetData>
  <mergeCells count="4">
    <mergeCell ref="A5:E5"/>
    <mergeCell ref="A6:E6"/>
    <mergeCell ref="A8:E8"/>
    <mergeCell ref="B9:E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9D9F8-5A8D-410C-90D3-B5F3AEBD1611}">
  <dimension ref="A1:G40"/>
  <sheetViews>
    <sheetView workbookViewId="0">
      <selection activeCell="I17" sqref="I17"/>
    </sheetView>
  </sheetViews>
  <sheetFormatPr defaultColWidth="9.125" defaultRowHeight="12.75"/>
  <cols>
    <col min="1" max="1" width="4" style="76" customWidth="1"/>
    <col min="2" max="2" width="69.625" style="76" customWidth="1"/>
    <col min="3" max="3" width="9.75" style="76" customWidth="1"/>
    <col min="4" max="4" width="2.875" style="76" customWidth="1"/>
    <col min="5" max="5" width="18.875" style="76" bestFit="1" customWidth="1"/>
    <col min="6" max="6" width="3.25" style="76" customWidth="1"/>
    <col min="7" max="7" width="4.625" style="76" customWidth="1"/>
    <col min="8" max="16384" width="9.125" style="76"/>
  </cols>
  <sheetData>
    <row r="1" spans="1:6">
      <c r="A1" s="58"/>
      <c r="B1" s="58"/>
      <c r="F1" s="77"/>
    </row>
    <row r="2" spans="1:6">
      <c r="E2" s="77" t="s">
        <v>48</v>
      </c>
      <c r="F2" s="77"/>
    </row>
    <row r="3" spans="1:6">
      <c r="A3" s="58"/>
      <c r="E3" s="78" t="s">
        <v>49</v>
      </c>
      <c r="F3" s="77"/>
    </row>
    <row r="4" spans="1:6">
      <c r="E4" s="78"/>
      <c r="F4" s="77"/>
    </row>
    <row r="5" spans="1:6">
      <c r="A5" s="137" t="s">
        <v>19</v>
      </c>
      <c r="B5" s="137"/>
      <c r="C5" s="137"/>
      <c r="D5" s="137"/>
      <c r="E5" s="137"/>
      <c r="F5" s="80"/>
    </row>
    <row r="6" spans="1:6">
      <c r="A6" s="137" t="s">
        <v>50</v>
      </c>
      <c r="B6" s="137"/>
      <c r="C6" s="137"/>
      <c r="D6" s="137"/>
      <c r="E6" s="137"/>
      <c r="F6" s="80"/>
    </row>
    <row r="7" spans="1:6" ht="17.25" customHeight="1">
      <c r="A7" s="79" t="s">
        <v>22</v>
      </c>
      <c r="B7" s="81"/>
      <c r="C7" s="80"/>
      <c r="D7" s="80"/>
      <c r="E7" s="80"/>
      <c r="F7" s="80"/>
    </row>
    <row r="8" spans="1:6">
      <c r="A8" s="138" t="str">
        <f>'[5]FAC - Page 1'!$A$9:$G$9</f>
        <v>Expense Month: March 2024</v>
      </c>
      <c r="B8" s="138"/>
      <c r="C8" s="138"/>
      <c r="D8" s="138"/>
      <c r="E8" s="138"/>
      <c r="F8" s="80"/>
    </row>
    <row r="9" spans="1:6" ht="17.25" customHeight="1">
      <c r="B9" s="139"/>
      <c r="C9" s="139"/>
      <c r="D9" s="139"/>
      <c r="E9" s="139"/>
    </row>
    <row r="10" spans="1:6">
      <c r="A10" s="82" t="s">
        <v>51</v>
      </c>
      <c r="B10" s="83" t="s">
        <v>52</v>
      </c>
    </row>
    <row r="11" spans="1:6">
      <c r="B11" s="76" t="s">
        <v>53</v>
      </c>
      <c r="D11" s="84" t="s">
        <v>54</v>
      </c>
      <c r="E11" s="85">
        <f>ROUND('[5]Inputs (Not Filed)'!N18,0)</f>
        <v>1985256</v>
      </c>
      <c r="F11" s="84"/>
    </row>
    <row r="12" spans="1:6">
      <c r="B12" s="86" t="s">
        <v>55</v>
      </c>
      <c r="D12" s="84" t="s">
        <v>54</v>
      </c>
      <c r="E12" s="87">
        <f>ROUND('[5]Inputs (Not Filed)'!N19,0)</f>
        <v>0</v>
      </c>
      <c r="F12" s="84"/>
    </row>
    <row r="13" spans="1:6">
      <c r="B13" s="76" t="s">
        <v>56</v>
      </c>
      <c r="D13" s="84" t="s">
        <v>54</v>
      </c>
      <c r="E13" s="87">
        <f>ROUND('[5]Inputs (Not Filed)'!N20,0)</f>
        <v>57373</v>
      </c>
      <c r="F13" s="84"/>
    </row>
    <row r="14" spans="1:6" ht="14.25">
      <c r="A14" s="88"/>
      <c r="B14" s="76" t="s">
        <v>57</v>
      </c>
      <c r="D14" s="84" t="s">
        <v>54</v>
      </c>
      <c r="E14" s="87">
        <f>ROUND('[5]Inputs (Not Filed)'!N21,0)</f>
        <v>1412743</v>
      </c>
    </row>
    <row r="15" spans="1:6">
      <c r="B15" s="86" t="s">
        <v>58</v>
      </c>
      <c r="D15" s="84" t="s">
        <v>54</v>
      </c>
      <c r="E15" s="87">
        <f>ROUND('[5]Inputs (Not Filed)'!N22,0)</f>
        <v>0</v>
      </c>
    </row>
    <row r="16" spans="1:6">
      <c r="B16" s="89" t="s">
        <v>59</v>
      </c>
      <c r="D16" s="84" t="s">
        <v>60</v>
      </c>
      <c r="E16" s="87">
        <f>ROUND('[5]Inputs (Not Filed)'!N23,0)</f>
        <v>21108</v>
      </c>
    </row>
    <row r="17" spans="1:7">
      <c r="B17" s="76" t="s">
        <v>61</v>
      </c>
      <c r="D17" s="84" t="s">
        <v>54</v>
      </c>
      <c r="E17" s="87">
        <f>ROUND('[5]Inputs (Not Filed)'!N24,0)</f>
        <v>30680</v>
      </c>
      <c r="F17" s="90"/>
    </row>
    <row r="18" spans="1:7">
      <c r="B18" s="76" t="s">
        <v>62</v>
      </c>
      <c r="D18" s="84" t="s">
        <v>60</v>
      </c>
      <c r="E18" s="91">
        <f>ROUND('[5]Inputs (Not Filed)'!N25,0)</f>
        <v>19462</v>
      </c>
      <c r="F18" s="90"/>
    </row>
    <row r="19" spans="1:7">
      <c r="B19" s="76" t="s">
        <v>63</v>
      </c>
      <c r="D19" s="90" t="s">
        <v>60</v>
      </c>
      <c r="E19" s="91">
        <f>ROUND('[5]Inputs (Not Filed)'!N26,0)</f>
        <v>0</v>
      </c>
      <c r="F19" s="90"/>
    </row>
    <row r="20" spans="1:7">
      <c r="B20" s="92" t="s">
        <v>64</v>
      </c>
      <c r="D20" s="90" t="s">
        <v>60</v>
      </c>
      <c r="E20" s="93">
        <f>ROUND('[5]Inputs (Not Filed)'!N27,0)</f>
        <v>0</v>
      </c>
      <c r="F20" s="90"/>
    </row>
    <row r="21" spans="1:7">
      <c r="B21" s="76" t="s">
        <v>65</v>
      </c>
      <c r="E21" s="94">
        <f>E11+E12+E13+E14+E15-E16+E17-E18-E19-E20</f>
        <v>3445482</v>
      </c>
      <c r="G21" s="95"/>
    </row>
    <row r="23" spans="1:7">
      <c r="A23" s="82" t="s">
        <v>66</v>
      </c>
      <c r="B23" s="92" t="s">
        <v>67</v>
      </c>
    </row>
    <row r="24" spans="1:7">
      <c r="B24" s="76" t="s">
        <v>68</v>
      </c>
      <c r="D24" s="84" t="s">
        <v>54</v>
      </c>
      <c r="E24" s="85">
        <f>ROUND('[5]Inputs (Not Filed)'!N31,0)</f>
        <v>3196978</v>
      </c>
    </row>
    <row r="25" spans="1:7">
      <c r="B25" s="76" t="s">
        <v>69</v>
      </c>
      <c r="D25" s="84" t="s">
        <v>54</v>
      </c>
      <c r="E25" s="96">
        <f>ROUND('[5]Inputs (Not Filed)'!N32,0)</f>
        <v>5188122</v>
      </c>
    </row>
    <row r="26" spans="1:7">
      <c r="B26" s="76" t="s">
        <v>70</v>
      </c>
      <c r="D26" s="84" t="s">
        <v>54</v>
      </c>
      <c r="E26" s="96">
        <f>ROUND('[5]Inputs (Not Filed)'!N33,0)</f>
        <v>3811</v>
      </c>
    </row>
    <row r="27" spans="1:7">
      <c r="B27" s="76" t="s">
        <v>71</v>
      </c>
      <c r="D27" s="84" t="s">
        <v>60</v>
      </c>
      <c r="E27" s="96">
        <f>IF((E17-E18)&gt;E26,(E17-E18),E26)</f>
        <v>11218</v>
      </c>
      <c r="F27" s="90"/>
    </row>
    <row r="28" spans="1:7">
      <c r="B28" s="86" t="s">
        <v>72</v>
      </c>
      <c r="D28" s="84" t="s">
        <v>60</v>
      </c>
      <c r="E28" s="97">
        <f>ROUND('[5]Inputs (Not Filed)'!N35,0)</f>
        <v>0</v>
      </c>
      <c r="F28" s="90"/>
    </row>
    <row r="29" spans="1:7">
      <c r="B29" s="86" t="s">
        <v>73</v>
      </c>
      <c r="D29" s="90" t="s">
        <v>60</v>
      </c>
      <c r="E29" s="97">
        <f>ROUND('[5]Inputs (Not Filed)'!N36,0)</f>
        <v>389820</v>
      </c>
      <c r="F29" s="90"/>
    </row>
    <row r="30" spans="1:7">
      <c r="B30" s="98" t="s">
        <v>74</v>
      </c>
      <c r="D30" s="84" t="s">
        <v>60</v>
      </c>
      <c r="E30" s="99">
        <f>ROUND('[5]Inputs (Not Filed)'!N37,0)</f>
        <v>173646</v>
      </c>
    </row>
    <row r="31" spans="1:7">
      <c r="B31" s="76" t="s">
        <v>65</v>
      </c>
      <c r="E31" s="94">
        <f>+E24+E25+E26-E27-E28-E29-E30</f>
        <v>7814227</v>
      </c>
      <c r="G31" s="95"/>
    </row>
    <row r="33" spans="1:7">
      <c r="A33" s="82" t="s">
        <v>75</v>
      </c>
      <c r="B33" s="92" t="s">
        <v>76</v>
      </c>
    </row>
    <row r="34" spans="1:7">
      <c r="B34" s="76" t="s">
        <v>77</v>
      </c>
      <c r="D34" s="84"/>
      <c r="E34" s="100">
        <f>ROUND('[5]Inputs (Not Filed)'!N43,0)</f>
        <v>3214264</v>
      </c>
    </row>
    <row r="36" spans="1:7">
      <c r="A36" s="82" t="s">
        <v>78</v>
      </c>
      <c r="B36" s="92" t="s">
        <v>79</v>
      </c>
    </row>
    <row r="37" spans="1:7">
      <c r="B37" s="86" t="s">
        <v>80</v>
      </c>
      <c r="E37" s="100">
        <f>ROUND('[5]FAC - Page 4'!F35,0)</f>
        <v>-85279</v>
      </c>
    </row>
    <row r="39" spans="1:7" ht="13.5" thickBot="1">
      <c r="B39" s="76" t="s">
        <v>81</v>
      </c>
      <c r="E39" s="101">
        <f>E21+E31-E34-E37</f>
        <v>8130724</v>
      </c>
      <c r="G39" s="95"/>
    </row>
    <row r="40" spans="1:7" ht="13.5" thickTop="1">
      <c r="E40" s="100"/>
    </row>
  </sheetData>
  <mergeCells count="4">
    <mergeCell ref="A5:E5"/>
    <mergeCell ref="A6:E6"/>
    <mergeCell ref="A8:E8"/>
    <mergeCell ref="B9:E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3EFAA-E3F5-48E9-B322-789316188D84}">
  <dimension ref="A1:G40"/>
  <sheetViews>
    <sheetView workbookViewId="0">
      <selection activeCell="C7" sqref="C7"/>
    </sheetView>
  </sheetViews>
  <sheetFormatPr defaultColWidth="9.125" defaultRowHeight="12.75"/>
  <cols>
    <col min="1" max="1" width="4" style="76" customWidth="1"/>
    <col min="2" max="2" width="69.625" style="76" customWidth="1"/>
    <col min="3" max="3" width="9.75" style="76" customWidth="1"/>
    <col min="4" max="4" width="2.875" style="76" customWidth="1"/>
    <col min="5" max="5" width="18.875" style="76" bestFit="1" customWidth="1"/>
    <col min="6" max="6" width="3.25" style="76" customWidth="1"/>
    <col min="7" max="7" width="4.625" style="76" customWidth="1"/>
    <col min="8" max="16384" width="9.125" style="76"/>
  </cols>
  <sheetData>
    <row r="1" spans="1:6">
      <c r="A1" s="58"/>
      <c r="B1" s="58"/>
      <c r="F1" s="77"/>
    </row>
    <row r="2" spans="1:6">
      <c r="E2" s="77" t="s">
        <v>48</v>
      </c>
      <c r="F2" s="77"/>
    </row>
    <row r="3" spans="1:6">
      <c r="A3" s="58"/>
      <c r="E3" s="78" t="s">
        <v>49</v>
      </c>
      <c r="F3" s="77"/>
    </row>
    <row r="4" spans="1:6">
      <c r="E4" s="78"/>
      <c r="F4" s="77"/>
    </row>
    <row r="5" spans="1:6">
      <c r="A5" s="137" t="s">
        <v>19</v>
      </c>
      <c r="B5" s="137"/>
      <c r="C5" s="137"/>
      <c r="D5" s="137"/>
      <c r="E5" s="137"/>
      <c r="F5" s="80"/>
    </row>
    <row r="6" spans="1:6">
      <c r="A6" s="137" t="s">
        <v>50</v>
      </c>
      <c r="B6" s="137"/>
      <c r="C6" s="137"/>
      <c r="D6" s="137"/>
      <c r="E6" s="137"/>
      <c r="F6" s="80"/>
    </row>
    <row r="7" spans="1:6" ht="17.25" customHeight="1">
      <c r="A7" s="79" t="s">
        <v>22</v>
      </c>
      <c r="B7" s="81"/>
      <c r="C7" s="80"/>
      <c r="D7" s="80"/>
      <c r="E7" s="80"/>
      <c r="F7" s="80"/>
    </row>
    <row r="8" spans="1:6">
      <c r="A8" s="138" t="str">
        <f>'[6]FAC - Page 1'!$A$9:$G$9</f>
        <v>Expense Month: April 2024</v>
      </c>
      <c r="B8" s="138"/>
      <c r="C8" s="138"/>
      <c r="D8" s="138"/>
      <c r="E8" s="138"/>
      <c r="F8" s="80"/>
    </row>
    <row r="9" spans="1:6" ht="17.25" customHeight="1">
      <c r="B9" s="139"/>
      <c r="C9" s="139"/>
      <c r="D9" s="139"/>
      <c r="E9" s="139"/>
    </row>
    <row r="10" spans="1:6">
      <c r="A10" s="82" t="s">
        <v>51</v>
      </c>
      <c r="B10" s="83" t="s">
        <v>52</v>
      </c>
    </row>
    <row r="11" spans="1:6">
      <c r="B11" s="76" t="s">
        <v>53</v>
      </c>
      <c r="D11" s="84" t="s">
        <v>54</v>
      </c>
      <c r="E11" s="85">
        <f>ROUND('[6]Inputs (Not Filed)'!N18,0)</f>
        <v>3143356</v>
      </c>
      <c r="F11" s="84"/>
    </row>
    <row r="12" spans="1:6">
      <c r="B12" s="86" t="s">
        <v>55</v>
      </c>
      <c r="D12" s="84" t="s">
        <v>54</v>
      </c>
      <c r="E12" s="87">
        <f>ROUND('[6]Inputs (Not Filed)'!N19,0)</f>
        <v>0</v>
      </c>
      <c r="F12" s="84"/>
    </row>
    <row r="13" spans="1:6">
      <c r="B13" s="76" t="s">
        <v>56</v>
      </c>
      <c r="D13" s="84" t="s">
        <v>54</v>
      </c>
      <c r="E13" s="87">
        <f>ROUND('[6]Inputs (Not Filed)'!N20,0)</f>
        <v>422627</v>
      </c>
      <c r="F13" s="84"/>
    </row>
    <row r="14" spans="1:6" ht="14.25">
      <c r="A14" s="88"/>
      <c r="B14" s="76" t="s">
        <v>57</v>
      </c>
      <c r="D14" s="84" t="s">
        <v>54</v>
      </c>
      <c r="E14" s="87">
        <f>ROUND('[6]Inputs (Not Filed)'!N21,0)</f>
        <v>2461901</v>
      </c>
    </row>
    <row r="15" spans="1:6">
      <c r="B15" s="86" t="s">
        <v>58</v>
      </c>
      <c r="D15" s="84" t="s">
        <v>54</v>
      </c>
      <c r="E15" s="87">
        <f>ROUND('[6]Inputs (Not Filed)'!N22,0)</f>
        <v>0</v>
      </c>
    </row>
    <row r="16" spans="1:6">
      <c r="B16" s="89" t="s">
        <v>59</v>
      </c>
      <c r="D16" s="84" t="s">
        <v>60</v>
      </c>
      <c r="E16" s="87">
        <f>ROUND('[6]Inputs (Not Filed)'!N23,0)</f>
        <v>3154</v>
      </c>
    </row>
    <row r="17" spans="1:7">
      <c r="B17" s="76" t="s">
        <v>61</v>
      </c>
      <c r="D17" s="84" t="s">
        <v>54</v>
      </c>
      <c r="E17" s="87">
        <f>ROUND('[6]Inputs (Not Filed)'!N24,0)</f>
        <v>52731</v>
      </c>
      <c r="F17" s="90"/>
    </row>
    <row r="18" spans="1:7">
      <c r="B18" s="76" t="s">
        <v>62</v>
      </c>
      <c r="D18" s="84" t="s">
        <v>60</v>
      </c>
      <c r="E18" s="91">
        <f>ROUND('[6]Inputs (Not Filed)'!N25,0)</f>
        <v>5713</v>
      </c>
      <c r="F18" s="90"/>
    </row>
    <row r="19" spans="1:7">
      <c r="B19" s="76" t="s">
        <v>63</v>
      </c>
      <c r="D19" s="90" t="s">
        <v>60</v>
      </c>
      <c r="E19" s="91">
        <f>ROUND('[6]Inputs (Not Filed)'!N26,0)</f>
        <v>0</v>
      </c>
      <c r="F19" s="90"/>
    </row>
    <row r="20" spans="1:7">
      <c r="B20" s="92" t="s">
        <v>64</v>
      </c>
      <c r="D20" s="90" t="s">
        <v>60</v>
      </c>
      <c r="E20" s="93">
        <f>ROUND('[6]Inputs (Not Filed)'!N27,0)</f>
        <v>0</v>
      </c>
      <c r="F20" s="90"/>
    </row>
    <row r="21" spans="1:7">
      <c r="B21" s="76" t="s">
        <v>65</v>
      </c>
      <c r="E21" s="94">
        <f>E11+E12+E13+E14+E15-E16+E17-E18-E19-E20</f>
        <v>6071748</v>
      </c>
      <c r="G21" s="95"/>
    </row>
    <row r="23" spans="1:7">
      <c r="A23" s="82" t="s">
        <v>66</v>
      </c>
      <c r="B23" s="92" t="s">
        <v>67</v>
      </c>
    </row>
    <row r="24" spans="1:7">
      <c r="B24" s="76" t="s">
        <v>68</v>
      </c>
      <c r="D24" s="84" t="s">
        <v>54</v>
      </c>
      <c r="E24" s="85">
        <f>ROUND('[6]Inputs (Not Filed)'!N31,0)</f>
        <v>1324598</v>
      </c>
    </row>
    <row r="25" spans="1:7">
      <c r="B25" s="76" t="s">
        <v>69</v>
      </c>
      <c r="D25" s="84" t="s">
        <v>54</v>
      </c>
      <c r="E25" s="96">
        <f>ROUND('[6]Inputs (Not Filed)'!N32,0)</f>
        <v>4173226</v>
      </c>
    </row>
    <row r="26" spans="1:7">
      <c r="B26" s="76" t="s">
        <v>70</v>
      </c>
      <c r="D26" s="84" t="s">
        <v>54</v>
      </c>
      <c r="E26" s="96">
        <f>ROUND('[6]Inputs (Not Filed)'!N33,0)</f>
        <v>36240</v>
      </c>
    </row>
    <row r="27" spans="1:7">
      <c r="B27" s="76" t="s">
        <v>71</v>
      </c>
      <c r="D27" s="84" t="s">
        <v>60</v>
      </c>
      <c r="E27" s="96">
        <f>IF((E17-E18)&gt;E26,(E17-E18),E26)</f>
        <v>47018</v>
      </c>
      <c r="F27" s="90"/>
    </row>
    <row r="28" spans="1:7">
      <c r="B28" s="86" t="s">
        <v>72</v>
      </c>
      <c r="D28" s="84" t="s">
        <v>60</v>
      </c>
      <c r="E28" s="97">
        <f>ROUND('[6]Inputs (Not Filed)'!N35,0)</f>
        <v>0</v>
      </c>
      <c r="F28" s="90"/>
    </row>
    <row r="29" spans="1:7">
      <c r="B29" s="86" t="s">
        <v>73</v>
      </c>
      <c r="D29" s="90" t="s">
        <v>60</v>
      </c>
      <c r="E29" s="97">
        <f>ROUND('[6]Inputs (Not Filed)'!N36,0)</f>
        <v>473531</v>
      </c>
      <c r="F29" s="90"/>
    </row>
    <row r="30" spans="1:7">
      <c r="B30" s="98" t="s">
        <v>74</v>
      </c>
      <c r="D30" s="84" t="s">
        <v>60</v>
      </c>
      <c r="E30" s="99">
        <f>ROUND('[6]Inputs (Not Filed)'!N37,0)</f>
        <v>209243</v>
      </c>
    </row>
    <row r="31" spans="1:7">
      <c r="B31" s="76" t="s">
        <v>65</v>
      </c>
      <c r="E31" s="94">
        <f>+E24+E25+E26-E27-E28-E29-E30</f>
        <v>4804272</v>
      </c>
      <c r="G31" s="95"/>
    </row>
    <row r="33" spans="1:7">
      <c r="A33" s="82" t="s">
        <v>75</v>
      </c>
      <c r="B33" s="92" t="s">
        <v>76</v>
      </c>
    </row>
    <row r="34" spans="1:7">
      <c r="B34" s="76" t="s">
        <v>77</v>
      </c>
      <c r="D34" s="84"/>
      <c r="E34" s="100">
        <f>ROUND('[6]Inputs (Not Filed)'!N43,0)</f>
        <v>4788605</v>
      </c>
    </row>
    <row r="36" spans="1:7">
      <c r="A36" s="82" t="s">
        <v>78</v>
      </c>
      <c r="B36" s="92" t="s">
        <v>79</v>
      </c>
    </row>
    <row r="37" spans="1:7">
      <c r="B37" s="86" t="s">
        <v>80</v>
      </c>
      <c r="E37" s="100">
        <f>ROUND('[6]FAC - Page 4'!F35,0)</f>
        <v>-205228</v>
      </c>
    </row>
    <row r="39" spans="1:7" ht="13.5" thickBot="1">
      <c r="B39" s="76" t="s">
        <v>81</v>
      </c>
      <c r="E39" s="101">
        <f>E21+E31-E34-E37</f>
        <v>6292643</v>
      </c>
      <c r="G39" s="95"/>
    </row>
    <row r="40" spans="1:7" ht="13.5" thickTop="1">
      <c r="E40" s="100"/>
    </row>
  </sheetData>
  <mergeCells count="4">
    <mergeCell ref="A5:E5"/>
    <mergeCell ref="A6:E6"/>
    <mergeCell ref="A8:E8"/>
    <mergeCell ref="B9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760AF-48FC-46CB-8D6B-C13822DCDB65}">
  <dimension ref="A1:U63"/>
  <sheetViews>
    <sheetView workbookViewId="0">
      <selection activeCell="K13" sqref="K13"/>
    </sheetView>
  </sheetViews>
  <sheetFormatPr defaultRowHeight="14.25"/>
  <cols>
    <col min="1" max="1" width="16.125" style="12" customWidth="1"/>
    <col min="2" max="2" width="3.875" style="12" customWidth="1"/>
    <col min="3" max="3" width="14.375" style="14" customWidth="1"/>
    <col min="4" max="4" width="1.625" style="12" customWidth="1"/>
    <col min="5" max="5" width="16.625" style="14" customWidth="1"/>
    <col min="6" max="6" width="1.625" style="12" customWidth="1"/>
    <col min="7" max="7" width="16.75" style="15" customWidth="1"/>
    <col min="8" max="8" width="1.625" style="15" customWidth="1"/>
    <col min="9" max="9" width="13.25" style="15" customWidth="1"/>
    <col min="10" max="10" width="1.625" style="12" customWidth="1"/>
    <col min="11" max="11" width="13.625" style="14" customWidth="1"/>
    <col min="12" max="12" width="4" customWidth="1"/>
    <col min="13" max="13" width="10.625" bestFit="1" customWidth="1"/>
    <col min="14" max="14" width="12.25" bestFit="1" customWidth="1"/>
  </cols>
  <sheetData>
    <row r="1" spans="1:14">
      <c r="A1" s="12" t="s">
        <v>18</v>
      </c>
      <c r="B1" s="13"/>
      <c r="I1" s="16"/>
    </row>
    <row r="2" spans="1:14">
      <c r="A2" s="133" t="s">
        <v>19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4">
      <c r="A3" s="133" t="s">
        <v>20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4">
      <c r="C4" s="18" t="s">
        <v>21</v>
      </c>
      <c r="E4" s="134">
        <v>45260</v>
      </c>
      <c r="F4" s="134"/>
      <c r="G4" s="134"/>
    </row>
    <row r="5" spans="1:14">
      <c r="E5" s="14" t="s">
        <v>22</v>
      </c>
      <c r="I5" s="19" t="b">
        <v>1</v>
      </c>
    </row>
    <row r="6" spans="1:14">
      <c r="A6" s="20"/>
      <c r="B6" s="20"/>
      <c r="C6" s="21" t="s">
        <v>23</v>
      </c>
      <c r="D6" s="22"/>
      <c r="E6" s="21" t="s">
        <v>24</v>
      </c>
      <c r="F6" s="22"/>
      <c r="G6" s="23" t="s">
        <v>25</v>
      </c>
      <c r="H6" s="19"/>
      <c r="I6" s="23" t="s">
        <v>26</v>
      </c>
      <c r="J6" s="17"/>
      <c r="K6" s="24" t="s">
        <v>27</v>
      </c>
    </row>
    <row r="7" spans="1:14">
      <c r="A7" s="20"/>
      <c r="B7" s="20"/>
      <c r="C7" s="25"/>
      <c r="D7" s="20"/>
      <c r="E7" s="25"/>
      <c r="F7" s="20"/>
      <c r="G7" s="26"/>
      <c r="H7" s="26"/>
      <c r="I7" s="26"/>
    </row>
    <row r="8" spans="1:14">
      <c r="A8" s="27" t="s">
        <v>28</v>
      </c>
      <c r="B8" s="27"/>
      <c r="C8" s="28"/>
      <c r="D8" s="27"/>
      <c r="E8" s="29">
        <f>SUM(E9:E11)</f>
        <v>0</v>
      </c>
      <c r="F8" s="27"/>
      <c r="G8" s="30">
        <v>0</v>
      </c>
      <c r="H8" s="30"/>
      <c r="I8" s="31">
        <v>0</v>
      </c>
      <c r="J8" s="32"/>
      <c r="K8" s="33">
        <f>IFERROR(E8/I8*1000,0)</f>
        <v>0</v>
      </c>
    </row>
    <row r="9" spans="1:14">
      <c r="A9" s="34" t="s">
        <v>29</v>
      </c>
      <c r="B9" s="35"/>
      <c r="C9" s="36">
        <v>0</v>
      </c>
      <c r="D9" s="35"/>
      <c r="E9" s="37">
        <v>0</v>
      </c>
      <c r="F9" s="27"/>
      <c r="G9" s="30"/>
      <c r="H9" s="30"/>
      <c r="J9" s="32"/>
      <c r="K9" s="38"/>
    </row>
    <row r="10" spans="1:14">
      <c r="A10" s="34" t="s">
        <v>30</v>
      </c>
      <c r="B10" s="35"/>
      <c r="C10" s="36">
        <v>0</v>
      </c>
      <c r="D10" s="35"/>
      <c r="E10" s="37">
        <v>0</v>
      </c>
      <c r="F10" s="27"/>
      <c r="G10" s="30"/>
      <c r="H10" s="30"/>
      <c r="I10" s="30"/>
      <c r="J10" s="32"/>
      <c r="K10" s="38"/>
    </row>
    <row r="11" spans="1:14">
      <c r="A11" s="20"/>
      <c r="B11" s="20"/>
      <c r="C11" s="39"/>
      <c r="D11" s="20"/>
      <c r="E11" s="40"/>
      <c r="F11" s="20"/>
      <c r="G11" s="26"/>
      <c r="H11" s="26"/>
      <c r="I11" s="26"/>
    </row>
    <row r="12" spans="1:14">
      <c r="A12" s="20"/>
      <c r="B12" s="20"/>
      <c r="C12" s="25"/>
      <c r="D12" s="20"/>
      <c r="E12" s="40"/>
      <c r="F12" s="20"/>
      <c r="G12" s="26"/>
      <c r="H12" s="26"/>
      <c r="I12" s="26"/>
    </row>
    <row r="13" spans="1:14">
      <c r="A13" s="27" t="s">
        <v>31</v>
      </c>
      <c r="B13" s="27"/>
      <c r="C13" s="28"/>
      <c r="D13" s="27"/>
      <c r="E13" s="29">
        <f>E14+E15</f>
        <v>7083.24</v>
      </c>
      <c r="F13" s="27"/>
      <c r="G13" s="30">
        <v>115580</v>
      </c>
      <c r="H13" s="30"/>
      <c r="I13" s="31">
        <v>26710</v>
      </c>
      <c r="J13" s="32"/>
      <c r="K13" s="123">
        <f>IFERROR(E13/I13*1000,0)</f>
        <v>265.19056533133659</v>
      </c>
    </row>
    <row r="14" spans="1:14">
      <c r="A14" s="42" t="s">
        <v>30</v>
      </c>
      <c r="B14" s="27"/>
      <c r="C14" s="43">
        <v>0</v>
      </c>
      <c r="D14" s="27"/>
      <c r="E14" s="29">
        <v>0</v>
      </c>
      <c r="F14" s="27"/>
      <c r="G14" s="30"/>
      <c r="H14" s="30"/>
      <c r="I14" s="30"/>
      <c r="J14" s="32"/>
      <c r="K14" s="38"/>
      <c r="M14" s="44"/>
      <c r="N14" s="44"/>
    </row>
    <row r="15" spans="1:14">
      <c r="A15" s="42" t="s">
        <v>32</v>
      </c>
      <c r="B15" s="27"/>
      <c r="C15" s="36">
        <v>2016</v>
      </c>
      <c r="D15" s="35"/>
      <c r="E15" s="37">
        <v>7083.24</v>
      </c>
      <c r="F15" s="27"/>
      <c r="G15" s="30"/>
      <c r="H15" s="30"/>
      <c r="I15" s="30"/>
      <c r="J15" s="32"/>
      <c r="K15" s="38"/>
      <c r="N15" s="45"/>
    </row>
    <row r="16" spans="1:14">
      <c r="A16" s="20"/>
      <c r="B16" s="20"/>
      <c r="C16" s="25"/>
      <c r="D16" s="20"/>
      <c r="E16" s="40"/>
      <c r="F16" s="20"/>
      <c r="G16" s="26"/>
      <c r="H16" s="26"/>
      <c r="I16" s="26"/>
    </row>
    <row r="17" spans="1:21">
      <c r="A17" s="27" t="s">
        <v>33</v>
      </c>
      <c r="B17" s="27"/>
      <c r="C17" s="28"/>
      <c r="D17" s="27"/>
      <c r="E17" s="29">
        <f>SUM(E18:E20)</f>
        <v>5601001.8499999996</v>
      </c>
      <c r="F17" s="27"/>
      <c r="G17" s="30">
        <v>259528460</v>
      </c>
      <c r="H17" s="30"/>
      <c r="I17" s="30">
        <v>239341000</v>
      </c>
      <c r="J17" s="32"/>
      <c r="K17" s="46">
        <f>IFERROR(E17/I17*1000,0)</f>
        <v>23.401765054879856</v>
      </c>
    </row>
    <row r="18" spans="1:21">
      <c r="A18" s="42" t="s">
        <v>29</v>
      </c>
      <c r="B18" s="27"/>
      <c r="C18" s="28">
        <v>110536.91</v>
      </c>
      <c r="D18" s="27"/>
      <c r="E18" s="29">
        <f>5262482.75</f>
        <v>5262482.75</v>
      </c>
      <c r="F18" s="27"/>
      <c r="G18" s="30"/>
      <c r="H18" s="30"/>
      <c r="I18" s="30"/>
      <c r="J18" s="32"/>
      <c r="K18" s="38"/>
    </row>
    <row r="19" spans="1:21">
      <c r="A19" s="42" t="s">
        <v>34</v>
      </c>
      <c r="B19" s="27"/>
      <c r="C19" s="43">
        <v>0</v>
      </c>
      <c r="D19" s="27"/>
      <c r="E19" s="29">
        <v>0</v>
      </c>
      <c r="F19" s="27"/>
      <c r="G19" s="30"/>
      <c r="H19" s="30"/>
      <c r="I19" s="30"/>
      <c r="J19" s="32"/>
      <c r="K19" s="46"/>
    </row>
    <row r="20" spans="1:21">
      <c r="A20" s="42" t="s">
        <v>30</v>
      </c>
      <c r="B20" s="27"/>
      <c r="C20" s="28">
        <v>109104.11</v>
      </c>
      <c r="D20" s="27"/>
      <c r="E20" s="29">
        <f>338519.08+0.02</f>
        <v>338519.10000000003</v>
      </c>
      <c r="F20" s="27"/>
      <c r="G20" s="30"/>
      <c r="H20" s="30"/>
      <c r="I20" s="30"/>
      <c r="J20" s="32"/>
      <c r="K20" s="38"/>
    </row>
    <row r="21" spans="1:21">
      <c r="A21" s="20"/>
      <c r="B21" s="20"/>
      <c r="C21" s="39"/>
      <c r="D21" s="20"/>
      <c r="E21" s="40"/>
      <c r="F21" s="20"/>
      <c r="G21" s="26"/>
      <c r="H21" s="26"/>
      <c r="I21" s="26"/>
    </row>
    <row r="22" spans="1:21" ht="15" customHeight="1">
      <c r="A22" s="20" t="s">
        <v>35</v>
      </c>
      <c r="B22" s="20"/>
      <c r="C22" s="39"/>
      <c r="D22" s="20"/>
      <c r="E22" s="47">
        <f>SUM(E23:E24)</f>
        <v>0</v>
      </c>
      <c r="F22" s="20"/>
      <c r="G22" s="26">
        <v>0</v>
      </c>
      <c r="H22" s="26"/>
      <c r="I22" s="48">
        <v>-40668</v>
      </c>
      <c r="K22" s="49">
        <f>IFERROR(E22/I22*1000,0)</f>
        <v>0</v>
      </c>
    </row>
    <row r="23" spans="1:21" ht="15" customHeight="1">
      <c r="A23" s="50" t="s">
        <v>29</v>
      </c>
      <c r="B23" s="20"/>
      <c r="C23" s="39">
        <v>0</v>
      </c>
      <c r="D23" s="20"/>
      <c r="E23" s="40">
        <v>0</v>
      </c>
      <c r="F23" s="20"/>
      <c r="G23" s="26"/>
      <c r="H23" s="26"/>
      <c r="I23" s="26"/>
    </row>
    <row r="24" spans="1:21" ht="15" customHeight="1">
      <c r="A24" s="50" t="s">
        <v>30</v>
      </c>
      <c r="B24" s="20"/>
      <c r="C24" s="39">
        <v>0</v>
      </c>
      <c r="D24" s="20"/>
      <c r="E24" s="40">
        <v>0</v>
      </c>
      <c r="F24" s="20"/>
      <c r="G24" s="26"/>
      <c r="H24" s="26"/>
      <c r="I24" s="26"/>
    </row>
    <row r="25" spans="1:21" ht="15" customHeight="1">
      <c r="A25" s="20"/>
      <c r="B25" s="20"/>
      <c r="C25" s="39"/>
      <c r="D25" s="20"/>
      <c r="E25" s="40"/>
      <c r="F25" s="20"/>
      <c r="G25" s="26"/>
      <c r="H25" s="26"/>
      <c r="I25" s="26"/>
    </row>
    <row r="26" spans="1:21" ht="15" customHeight="1">
      <c r="A26" s="20" t="s">
        <v>36</v>
      </c>
      <c r="B26" s="20"/>
      <c r="C26" s="39"/>
      <c r="D26" s="20"/>
      <c r="E26" s="47">
        <f>SUM(E27:E28)</f>
        <v>0</v>
      </c>
      <c r="F26" s="20"/>
      <c r="G26" s="48">
        <v>0</v>
      </c>
      <c r="H26" s="26"/>
      <c r="I26" s="48">
        <v>-40667</v>
      </c>
      <c r="K26" s="49">
        <f>IFERROR(E26/I26*1000,0)</f>
        <v>0</v>
      </c>
    </row>
    <row r="27" spans="1:21" ht="15" customHeight="1">
      <c r="A27" s="50" t="s">
        <v>29</v>
      </c>
      <c r="B27" s="20"/>
      <c r="C27" s="39">
        <v>0</v>
      </c>
      <c r="D27" s="20"/>
      <c r="E27" s="40">
        <v>0</v>
      </c>
      <c r="F27" s="20"/>
      <c r="G27" s="26"/>
      <c r="H27" s="26"/>
      <c r="I27" s="26"/>
      <c r="M27" s="51"/>
      <c r="N27" s="45"/>
    </row>
    <row r="28" spans="1:21" ht="15" customHeight="1">
      <c r="A28" s="50" t="s">
        <v>30</v>
      </c>
      <c r="B28" s="20"/>
      <c r="C28" s="39">
        <v>0</v>
      </c>
      <c r="D28" s="20"/>
      <c r="E28" s="40">
        <v>0</v>
      </c>
      <c r="F28" s="20"/>
      <c r="G28" s="26"/>
      <c r="H28" s="26"/>
      <c r="I28" s="26"/>
      <c r="T28" s="52"/>
      <c r="U28" s="52"/>
    </row>
    <row r="29" spans="1:21" ht="15" customHeight="1">
      <c r="A29" s="20"/>
      <c r="B29" s="20"/>
      <c r="C29" s="25"/>
      <c r="D29" s="20"/>
      <c r="E29" s="40"/>
      <c r="F29" s="20"/>
      <c r="G29" s="26"/>
      <c r="H29" s="26"/>
      <c r="I29" s="26"/>
      <c r="T29" s="52"/>
      <c r="U29" s="52"/>
    </row>
    <row r="30" spans="1:21">
      <c r="A30" s="27" t="s">
        <v>37</v>
      </c>
      <c r="B30" s="27"/>
      <c r="C30" s="28"/>
      <c r="D30" s="27"/>
      <c r="E30" s="29">
        <f>SUM(E31:E32)</f>
        <v>0</v>
      </c>
      <c r="F30" s="27"/>
      <c r="G30" s="30">
        <f>SUM(G22:G27)</f>
        <v>0</v>
      </c>
      <c r="H30" s="30"/>
      <c r="I30" s="31">
        <f>SUM(I22:I27)</f>
        <v>-81335</v>
      </c>
      <c r="J30" s="32"/>
      <c r="K30" s="46">
        <f>IFERROR(E30/I30*1000,0)</f>
        <v>0</v>
      </c>
    </row>
    <row r="31" spans="1:21">
      <c r="A31" s="42" t="s">
        <v>29</v>
      </c>
      <c r="B31" s="27"/>
      <c r="C31" s="43">
        <f>C23+C27</f>
        <v>0</v>
      </c>
      <c r="D31" s="27"/>
      <c r="E31" s="29">
        <f>E23+E27</f>
        <v>0</v>
      </c>
      <c r="F31" s="27"/>
      <c r="G31" s="30"/>
      <c r="H31" s="30"/>
      <c r="I31" s="30"/>
      <c r="J31" s="32"/>
      <c r="K31" s="38"/>
    </row>
    <row r="32" spans="1:21">
      <c r="A32" s="42" t="s">
        <v>30</v>
      </c>
      <c r="B32" s="27"/>
      <c r="C32" s="43">
        <f>C24+C28</f>
        <v>0</v>
      </c>
      <c r="D32" s="27"/>
      <c r="E32" s="29">
        <f>E24+E28</f>
        <v>0</v>
      </c>
      <c r="F32" s="27"/>
      <c r="G32" s="30"/>
      <c r="H32" s="30"/>
      <c r="I32" s="30"/>
      <c r="J32" s="32"/>
      <c r="K32" s="38"/>
    </row>
    <row r="33" spans="1:14">
      <c r="A33" s="20"/>
      <c r="B33" s="20"/>
      <c r="C33" s="25"/>
      <c r="D33" s="20"/>
      <c r="E33" s="40"/>
      <c r="F33" s="20"/>
      <c r="G33" s="26"/>
      <c r="H33" s="26"/>
      <c r="I33" s="26"/>
    </row>
    <row r="34" spans="1:14">
      <c r="A34" s="12" t="s">
        <v>38</v>
      </c>
      <c r="C34" s="39"/>
      <c r="D34" s="20"/>
      <c r="E34" s="47">
        <f>SUM(E35:E37)</f>
        <v>282786.26</v>
      </c>
      <c r="G34" s="26">
        <v>7621700</v>
      </c>
      <c r="I34" s="26">
        <v>5736164</v>
      </c>
      <c r="K34" s="49">
        <f>E34/I34*1000</f>
        <v>49.29884501210217</v>
      </c>
    </row>
    <row r="35" spans="1:14">
      <c r="A35" s="50" t="s">
        <v>29</v>
      </c>
      <c r="C35" s="39">
        <v>0</v>
      </c>
      <c r="D35" s="20"/>
      <c r="E35" s="40">
        <v>0</v>
      </c>
    </row>
    <row r="36" spans="1:14">
      <c r="A36" s="50" t="s">
        <v>34</v>
      </c>
      <c r="C36" s="39">
        <v>0</v>
      </c>
      <c r="D36" s="20"/>
      <c r="E36" s="40">
        <v>0</v>
      </c>
      <c r="M36" s="53"/>
    </row>
    <row r="37" spans="1:14">
      <c r="A37" s="50" t="s">
        <v>32</v>
      </c>
      <c r="C37" s="39">
        <v>82313</v>
      </c>
      <c r="D37" s="20"/>
      <c r="E37" s="40">
        <v>282786.26</v>
      </c>
      <c r="N37" s="52"/>
    </row>
    <row r="38" spans="1:14">
      <c r="C38" s="39"/>
      <c r="D38" s="20"/>
      <c r="E38" s="40"/>
      <c r="N38" s="54"/>
    </row>
    <row r="39" spans="1:14">
      <c r="A39" s="12" t="s">
        <v>39</v>
      </c>
      <c r="C39" s="39"/>
      <c r="D39" s="20"/>
      <c r="E39" s="47">
        <f>SUM(E40:E42)</f>
        <v>0</v>
      </c>
      <c r="G39" s="26">
        <v>0</v>
      </c>
      <c r="I39" s="26">
        <v>-1206133</v>
      </c>
      <c r="K39" s="49">
        <f>IFERROR(E39/I39*1000,0)</f>
        <v>0</v>
      </c>
      <c r="N39" s="26"/>
    </row>
    <row r="40" spans="1:14">
      <c r="A40" s="50" t="s">
        <v>29</v>
      </c>
      <c r="C40" s="39">
        <v>0</v>
      </c>
      <c r="D40" s="20"/>
      <c r="E40" s="40">
        <v>0</v>
      </c>
    </row>
    <row r="41" spans="1:14">
      <c r="A41" s="50" t="s">
        <v>34</v>
      </c>
      <c r="C41" s="39">
        <v>0</v>
      </c>
      <c r="D41" s="20"/>
      <c r="E41" s="40">
        <v>0</v>
      </c>
      <c r="I41" s="14"/>
    </row>
    <row r="42" spans="1:14">
      <c r="A42" s="50" t="s">
        <v>32</v>
      </c>
      <c r="C42" s="39">
        <v>0</v>
      </c>
      <c r="D42" s="20"/>
      <c r="E42" s="40">
        <v>0</v>
      </c>
    </row>
    <row r="43" spans="1:14">
      <c r="E43" s="55"/>
    </row>
    <row r="44" spans="1:14">
      <c r="A44" s="32" t="s">
        <v>40</v>
      </c>
      <c r="B44" s="32"/>
      <c r="C44" s="38"/>
      <c r="D44" s="32"/>
      <c r="E44" s="56">
        <f>SUM(E45:E47)</f>
        <v>282786.26</v>
      </c>
      <c r="F44" s="32"/>
      <c r="G44" s="57">
        <f>SUM(G34:G41)</f>
        <v>7621700</v>
      </c>
      <c r="H44" s="57"/>
      <c r="I44" s="57">
        <f>SUM(I34:I41)</f>
        <v>4530031</v>
      </c>
      <c r="J44" s="32"/>
      <c r="K44" s="46">
        <f>E44/I44*1000</f>
        <v>62.424795768505781</v>
      </c>
      <c r="L44" s="58"/>
    </row>
    <row r="45" spans="1:14">
      <c r="A45" s="42" t="s">
        <v>29</v>
      </c>
      <c r="B45" s="32"/>
      <c r="C45" s="38">
        <f>C35+C40</f>
        <v>0</v>
      </c>
      <c r="D45" s="32"/>
      <c r="E45" s="56">
        <f>E35+E40</f>
        <v>0</v>
      </c>
      <c r="F45" s="32"/>
      <c r="G45" s="38"/>
      <c r="H45" s="57"/>
      <c r="I45" s="57"/>
      <c r="J45" s="32"/>
      <c r="K45" s="38"/>
      <c r="L45" s="58"/>
    </row>
    <row r="46" spans="1:14">
      <c r="A46" s="42" t="s">
        <v>34</v>
      </c>
      <c r="B46" s="32"/>
      <c r="C46" s="59">
        <f>C36+C41</f>
        <v>0</v>
      </c>
      <c r="D46" s="32"/>
      <c r="E46" s="56">
        <f>E36+E41</f>
        <v>0</v>
      </c>
      <c r="F46" s="32"/>
      <c r="G46" s="57"/>
      <c r="H46" s="57"/>
      <c r="I46" s="57"/>
      <c r="J46" s="32"/>
      <c r="K46" s="38"/>
      <c r="L46" s="58"/>
    </row>
    <row r="47" spans="1:14">
      <c r="A47" s="42" t="s">
        <v>32</v>
      </c>
      <c r="B47" s="32"/>
      <c r="C47" s="38">
        <f>C37+C42</f>
        <v>82313</v>
      </c>
      <c r="D47" s="32"/>
      <c r="E47" s="56">
        <f>E37+E42</f>
        <v>282786.26</v>
      </c>
      <c r="F47" s="32"/>
      <c r="G47" s="57"/>
      <c r="H47" s="57"/>
      <c r="I47" s="57"/>
      <c r="J47" s="32"/>
      <c r="K47" s="38"/>
      <c r="L47" s="58"/>
    </row>
    <row r="48" spans="1:14">
      <c r="E48" s="55"/>
    </row>
    <row r="49" spans="1:13">
      <c r="A49" s="60" t="s">
        <v>41</v>
      </c>
      <c r="E49" s="61">
        <f>E8+E13+E17+E30+E44</f>
        <v>5890871.3499999996</v>
      </c>
      <c r="F49" s="60"/>
      <c r="G49" s="62">
        <f>G8+G13+G17+G30+G44</f>
        <v>267265740</v>
      </c>
      <c r="H49" s="62"/>
      <c r="I49" s="62">
        <f>I8+I13+I17+I30+I44</f>
        <v>243816406</v>
      </c>
      <c r="J49" s="60"/>
      <c r="K49" s="63">
        <f>E49/I49*1000</f>
        <v>24.161095008512266</v>
      </c>
      <c r="L49" s="64"/>
    </row>
    <row r="51" spans="1:13">
      <c r="E51" s="135" t="s">
        <v>42</v>
      </c>
      <c r="F51" s="135"/>
      <c r="G51" s="135"/>
      <c r="I51" s="62">
        <v>10427842</v>
      </c>
    </row>
    <row r="52" spans="1:13">
      <c r="E52" s="135" t="s">
        <v>43</v>
      </c>
      <c r="F52" s="135"/>
      <c r="G52" s="135"/>
      <c r="I52" s="65">
        <f>I49-I51</f>
        <v>233388564</v>
      </c>
      <c r="K52" s="63">
        <f>E49/I52*1000</f>
        <v>25.24061697384624</v>
      </c>
    </row>
    <row r="53" spans="1:13">
      <c r="C53" s="136" t="s">
        <v>44</v>
      </c>
      <c r="D53" s="136"/>
      <c r="E53" s="136"/>
      <c r="F53" s="136"/>
      <c r="G53" s="136"/>
      <c r="I53" s="15">
        <f>+I8+I30</f>
        <v>-81335</v>
      </c>
      <c r="K53" s="63"/>
    </row>
    <row r="54" spans="1:13" ht="15" thickBot="1">
      <c r="C54" s="132" t="s">
        <v>45</v>
      </c>
      <c r="D54" s="132"/>
      <c r="E54" s="132"/>
      <c r="F54" s="132"/>
      <c r="G54" s="132"/>
      <c r="I54" s="66">
        <f>I52+-I53</f>
        <v>233469899</v>
      </c>
      <c r="K54" s="67">
        <f>E49/I54*1000</f>
        <v>25.231823782131329</v>
      </c>
    </row>
    <row r="55" spans="1:13" ht="15" thickTop="1">
      <c r="G55" s="62"/>
      <c r="I55" s="62"/>
      <c r="K55" s="63"/>
      <c r="M55" s="68"/>
    </row>
    <row r="56" spans="1:13">
      <c r="C56" s="12"/>
      <c r="I56" s="69" t="s">
        <v>46</v>
      </c>
    </row>
    <row r="57" spans="1:13">
      <c r="C57" s="12" t="s">
        <v>29</v>
      </c>
      <c r="E57" s="70">
        <f>IFERROR(E9+E18+E31+E45,0)</f>
        <v>5262482.75</v>
      </c>
      <c r="G57" s="71"/>
    </row>
    <row r="58" spans="1:13">
      <c r="C58" s="12" t="s">
        <v>47</v>
      </c>
      <c r="E58" s="70">
        <f>E19+E46</f>
        <v>0</v>
      </c>
    </row>
    <row r="59" spans="1:13">
      <c r="C59" s="12" t="s">
        <v>30</v>
      </c>
      <c r="E59" s="70">
        <f>IFERROR(E10+E14+E20+E32,0)</f>
        <v>338519.10000000003</v>
      </c>
      <c r="G59" s="14"/>
    </row>
    <row r="60" spans="1:13">
      <c r="C60" s="12" t="s">
        <v>32</v>
      </c>
      <c r="E60" s="55">
        <f>E15+E47</f>
        <v>289869.5</v>
      </c>
      <c r="G60" s="14"/>
      <c r="K60" s="49"/>
    </row>
    <row r="61" spans="1:13" ht="15" thickBot="1">
      <c r="B61" s="14"/>
      <c r="C61" s="12"/>
      <c r="E61" s="72">
        <f>SUM(E57:E60)</f>
        <v>5890871.3499999996</v>
      </c>
    </row>
    <row r="62" spans="1:13" ht="15" thickTop="1"/>
    <row r="63" spans="1:13">
      <c r="J63"/>
      <c r="K63"/>
    </row>
  </sheetData>
  <mergeCells count="7">
    <mergeCell ref="C54:G54"/>
    <mergeCell ref="A2:K2"/>
    <mergeCell ref="A3:K3"/>
    <mergeCell ref="E4:G4"/>
    <mergeCell ref="E51:G51"/>
    <mergeCell ref="E52:G52"/>
    <mergeCell ref="C53:G5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0B653-CC50-4E1C-897B-5139B2DF5009}">
  <dimension ref="A1:U82"/>
  <sheetViews>
    <sheetView workbookViewId="0">
      <selection activeCell="K34" sqref="K34"/>
    </sheetView>
  </sheetViews>
  <sheetFormatPr defaultRowHeight="14.25"/>
  <cols>
    <col min="1" max="1" width="16.125" style="12" customWidth="1"/>
    <col min="2" max="2" width="3.875" style="12" customWidth="1"/>
    <col min="3" max="3" width="14.375" style="14" customWidth="1"/>
    <col min="4" max="4" width="1.625" style="12" customWidth="1"/>
    <col min="5" max="5" width="16.625" style="14" customWidth="1"/>
    <col min="6" max="6" width="1.625" style="12" customWidth="1"/>
    <col min="7" max="7" width="16.75" style="15" customWidth="1"/>
    <col min="8" max="8" width="1.625" style="15" customWidth="1"/>
    <col min="9" max="9" width="13.25" style="15" customWidth="1"/>
    <col min="10" max="10" width="1.625" style="12" customWidth="1"/>
    <col min="11" max="11" width="13.625" style="14" customWidth="1"/>
    <col min="12" max="12" width="4" customWidth="1"/>
    <col min="13" max="13" width="10.625" bestFit="1" customWidth="1"/>
    <col min="14" max="14" width="12.25" bestFit="1" customWidth="1"/>
    <col min="18" max="18" width="15" customWidth="1"/>
  </cols>
  <sheetData>
    <row r="1" spans="1:21">
      <c r="A1" s="12" t="s">
        <v>18</v>
      </c>
      <c r="B1" s="13"/>
      <c r="I1" s="16"/>
    </row>
    <row r="2" spans="1:21">
      <c r="A2" s="133" t="s">
        <v>19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N2" s="64" t="s">
        <v>82</v>
      </c>
    </row>
    <row r="3" spans="1:21">
      <c r="A3" s="133" t="s">
        <v>20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21">
      <c r="C4" s="18" t="s">
        <v>21</v>
      </c>
      <c r="E4" s="134">
        <v>45291</v>
      </c>
      <c r="F4" s="134"/>
      <c r="G4" s="134"/>
      <c r="N4" s="102">
        <v>45261</v>
      </c>
    </row>
    <row r="5" spans="1:21">
      <c r="E5" s="14" t="s">
        <v>22</v>
      </c>
      <c r="I5" s="19" t="b">
        <v>1</v>
      </c>
      <c r="N5" s="64"/>
      <c r="O5" s="79" t="s">
        <v>83</v>
      </c>
      <c r="P5" s="64"/>
      <c r="Q5" s="79" t="s">
        <v>83</v>
      </c>
      <c r="R5" s="64"/>
      <c r="S5" s="79" t="s">
        <v>84</v>
      </c>
      <c r="T5" s="79" t="s">
        <v>85</v>
      </c>
      <c r="U5" s="79" t="s">
        <v>86</v>
      </c>
    </row>
    <row r="6" spans="1:21">
      <c r="A6" s="20"/>
      <c r="B6" s="20"/>
      <c r="C6" s="21" t="s">
        <v>23</v>
      </c>
      <c r="D6" s="22"/>
      <c r="E6" s="21" t="s">
        <v>24</v>
      </c>
      <c r="F6" s="22"/>
      <c r="G6" s="23" t="s">
        <v>25</v>
      </c>
      <c r="H6" s="19"/>
      <c r="I6" s="23" t="s">
        <v>26</v>
      </c>
      <c r="J6" s="17"/>
      <c r="K6" s="24" t="s">
        <v>27</v>
      </c>
      <c r="N6" s="64"/>
      <c r="O6" s="79" t="s">
        <v>32</v>
      </c>
      <c r="P6" s="79" t="s">
        <v>87</v>
      </c>
      <c r="Q6" s="79" t="s">
        <v>88</v>
      </c>
      <c r="R6" s="79" t="s">
        <v>83</v>
      </c>
      <c r="S6" s="79" t="s">
        <v>89</v>
      </c>
      <c r="T6" s="79" t="s">
        <v>90</v>
      </c>
      <c r="U6" s="79" t="s">
        <v>91</v>
      </c>
    </row>
    <row r="7" spans="1:21">
      <c r="A7" s="20"/>
      <c r="B7" s="20"/>
      <c r="C7" s="25"/>
      <c r="D7" s="20"/>
      <c r="E7" s="25"/>
      <c r="F7" s="20"/>
      <c r="G7" s="26"/>
      <c r="H7" s="26"/>
      <c r="I7" s="26"/>
      <c r="N7" s="103" t="s">
        <v>92</v>
      </c>
      <c r="O7" s="103" t="s">
        <v>93</v>
      </c>
      <c r="P7" s="104"/>
      <c r="Q7" s="103" t="s">
        <v>94</v>
      </c>
      <c r="R7" s="103" t="s">
        <v>95</v>
      </c>
      <c r="S7" s="103" t="s">
        <v>96</v>
      </c>
      <c r="T7" s="103" t="s">
        <v>96</v>
      </c>
      <c r="U7" s="103" t="s">
        <v>97</v>
      </c>
    </row>
    <row r="8" spans="1:21">
      <c r="A8" s="27" t="s">
        <v>28</v>
      </c>
      <c r="B8" s="27"/>
      <c r="C8" s="28"/>
      <c r="D8" s="27"/>
      <c r="E8" s="29">
        <f>SUM(E9:E11)</f>
        <v>0</v>
      </c>
      <c r="F8" s="27"/>
      <c r="G8" s="30">
        <v>0</v>
      </c>
      <c r="H8" s="30"/>
      <c r="I8" s="31">
        <v>0</v>
      </c>
      <c r="J8" s="32"/>
      <c r="K8" s="33">
        <f>IFERROR(E8/I8*1000,0)</f>
        <v>0</v>
      </c>
      <c r="N8" s="105">
        <f>N4</f>
        <v>45261</v>
      </c>
      <c r="O8" s="106">
        <v>3.33</v>
      </c>
      <c r="P8" s="51">
        <v>65</v>
      </c>
      <c r="Q8">
        <f>R8/1000/1000</f>
        <v>785.95789999999988</v>
      </c>
      <c r="R8" s="107">
        <f>(P8*S8*1000)</f>
        <v>785957899.99999988</v>
      </c>
      <c r="S8">
        <f>((-0.00007*(P8^3))+(0.016407*P8^2)+(-1.208787*P8)+40.56699)*1000</f>
        <v>12091.659999999998</v>
      </c>
      <c r="T8">
        <f>S8*(1)</f>
        <v>12091.659999999998</v>
      </c>
      <c r="U8" s="108">
        <v>40.265227799999998</v>
      </c>
    </row>
    <row r="9" spans="1:21">
      <c r="A9" s="34" t="s">
        <v>29</v>
      </c>
      <c r="B9" s="35"/>
      <c r="C9" s="36">
        <v>0</v>
      </c>
      <c r="D9" s="35"/>
      <c r="E9" s="37">
        <v>0</v>
      </c>
      <c r="F9" s="27"/>
      <c r="G9" s="30"/>
      <c r="H9" s="30"/>
      <c r="J9" s="32"/>
      <c r="K9" s="38"/>
      <c r="N9" s="105">
        <f>+N8+1</f>
        <v>45262</v>
      </c>
      <c r="O9" s="106">
        <v>3.19</v>
      </c>
      <c r="P9" s="51">
        <v>65</v>
      </c>
      <c r="Q9">
        <f t="shared" ref="Q9:Q39" si="0">R9/1000/1000</f>
        <v>785.95789999999988</v>
      </c>
      <c r="R9" s="107">
        <f t="shared" ref="R9:R39" si="1">(P9*S9*1000)</f>
        <v>785957899.99999988</v>
      </c>
      <c r="S9">
        <f t="shared" ref="S9:S39" si="2">((-0.00007*(P9^3))+(0.016407*P9^2)+(-1.208787*P9)+40.56699)*1000</f>
        <v>12091.659999999998</v>
      </c>
      <c r="T9">
        <f t="shared" ref="T9:T39" si="3">S9*(1)</f>
        <v>12091.659999999998</v>
      </c>
      <c r="U9" s="108">
        <v>38.572395399999991</v>
      </c>
    </row>
    <row r="10" spans="1:21">
      <c r="A10" s="34" t="s">
        <v>30</v>
      </c>
      <c r="B10" s="35"/>
      <c r="C10" s="36">
        <v>0</v>
      </c>
      <c r="D10" s="35"/>
      <c r="E10" s="37">
        <v>0</v>
      </c>
      <c r="F10" s="27"/>
      <c r="G10" s="30"/>
      <c r="H10" s="30"/>
      <c r="I10" s="30"/>
      <c r="J10" s="32"/>
      <c r="K10" s="38"/>
      <c r="N10" s="105">
        <f t="shared" ref="N10:N38" si="4">+N9+1</f>
        <v>45263</v>
      </c>
      <c r="O10" s="106">
        <v>3.19</v>
      </c>
      <c r="P10" s="51">
        <v>65</v>
      </c>
      <c r="Q10">
        <f t="shared" si="0"/>
        <v>785.95789999999988</v>
      </c>
      <c r="R10" s="107">
        <f t="shared" si="1"/>
        <v>785957899.99999988</v>
      </c>
      <c r="S10">
        <f t="shared" si="2"/>
        <v>12091.659999999998</v>
      </c>
      <c r="T10">
        <f t="shared" si="3"/>
        <v>12091.659999999998</v>
      </c>
      <c r="U10" s="108">
        <v>38.572395399999991</v>
      </c>
    </row>
    <row r="11" spans="1:21">
      <c r="A11" s="20"/>
      <c r="B11" s="20"/>
      <c r="C11" s="39"/>
      <c r="D11" s="20"/>
      <c r="E11" s="40"/>
      <c r="F11" s="20"/>
      <c r="G11" s="26"/>
      <c r="H11" s="26"/>
      <c r="I11" s="26"/>
      <c r="N11" s="105">
        <f t="shared" si="4"/>
        <v>45264</v>
      </c>
      <c r="O11" s="106">
        <v>3.19</v>
      </c>
      <c r="P11" s="51">
        <v>65</v>
      </c>
      <c r="Q11">
        <f t="shared" si="0"/>
        <v>785.95789999999988</v>
      </c>
      <c r="R11" s="107">
        <f t="shared" si="1"/>
        <v>785957899.99999988</v>
      </c>
      <c r="S11">
        <f t="shared" si="2"/>
        <v>12091.659999999998</v>
      </c>
      <c r="T11">
        <f t="shared" si="3"/>
        <v>12091.659999999998</v>
      </c>
      <c r="U11" s="108">
        <v>38.572395399999991</v>
      </c>
    </row>
    <row r="12" spans="1:21">
      <c r="A12" s="20"/>
      <c r="B12" s="20"/>
      <c r="C12" s="25"/>
      <c r="D12" s="20"/>
      <c r="E12" s="40"/>
      <c r="F12" s="20"/>
      <c r="G12" s="26"/>
      <c r="H12" s="26"/>
      <c r="I12" s="26"/>
      <c r="N12" s="105">
        <f t="shared" si="4"/>
        <v>45265</v>
      </c>
      <c r="O12" s="106">
        <v>3.16</v>
      </c>
      <c r="P12" s="51">
        <v>65</v>
      </c>
      <c r="Q12">
        <f t="shared" si="0"/>
        <v>785.95789999999988</v>
      </c>
      <c r="R12" s="107">
        <f t="shared" si="1"/>
        <v>785957899.99999988</v>
      </c>
      <c r="S12">
        <f t="shared" si="2"/>
        <v>12091.659999999998</v>
      </c>
      <c r="T12">
        <f t="shared" si="3"/>
        <v>12091.659999999998</v>
      </c>
      <c r="U12" s="108">
        <v>38.209645599999995</v>
      </c>
    </row>
    <row r="13" spans="1:21">
      <c r="A13" s="27" t="s">
        <v>31</v>
      </c>
      <c r="B13" s="27"/>
      <c r="C13" s="28"/>
      <c r="D13" s="27"/>
      <c r="E13" s="29">
        <f>E14+E15</f>
        <v>1310.75</v>
      </c>
      <c r="F13" s="27"/>
      <c r="G13" s="30">
        <v>29420</v>
      </c>
      <c r="H13" s="30"/>
      <c r="I13" s="31">
        <v>-77000</v>
      </c>
      <c r="J13" s="32"/>
      <c r="K13" s="41">
        <f>IFERROR(E13/I13*1000,0)</f>
        <v>-17.022727272727273</v>
      </c>
      <c r="L13" t="s">
        <v>103</v>
      </c>
      <c r="N13" s="105">
        <f t="shared" si="4"/>
        <v>45266</v>
      </c>
      <c r="O13" s="106">
        <v>3.21</v>
      </c>
      <c r="P13" s="51">
        <v>65</v>
      </c>
      <c r="Q13">
        <f t="shared" si="0"/>
        <v>785.95789999999988</v>
      </c>
      <c r="R13" s="107">
        <f t="shared" si="1"/>
        <v>785957899.99999988</v>
      </c>
      <c r="S13">
        <f t="shared" si="2"/>
        <v>12091.659999999998</v>
      </c>
      <c r="T13">
        <f t="shared" si="3"/>
        <v>12091.659999999998</v>
      </c>
      <c r="U13" s="108">
        <v>38.814228599999993</v>
      </c>
    </row>
    <row r="14" spans="1:21">
      <c r="A14" s="42" t="s">
        <v>30</v>
      </c>
      <c r="B14" s="27"/>
      <c r="C14" s="43">
        <v>0</v>
      </c>
      <c r="D14" s="27"/>
      <c r="E14" s="29">
        <v>0</v>
      </c>
      <c r="F14" s="27"/>
      <c r="G14" s="30"/>
      <c r="H14" s="30"/>
      <c r="I14" s="30"/>
      <c r="J14" s="32"/>
      <c r="K14" s="38"/>
      <c r="M14" s="44"/>
      <c r="N14" s="105">
        <f t="shared" si="4"/>
        <v>45267</v>
      </c>
      <c r="O14" s="106">
        <v>3.38</v>
      </c>
      <c r="P14" s="51">
        <v>65</v>
      </c>
      <c r="Q14">
        <f t="shared" si="0"/>
        <v>785.95789999999988</v>
      </c>
      <c r="R14" s="107">
        <f t="shared" si="1"/>
        <v>785957899.99999988</v>
      </c>
      <c r="S14">
        <f t="shared" si="2"/>
        <v>12091.659999999998</v>
      </c>
      <c r="T14">
        <f t="shared" si="3"/>
        <v>12091.659999999998</v>
      </c>
      <c r="U14" s="108">
        <v>40.869810799999989</v>
      </c>
    </row>
    <row r="15" spans="1:21">
      <c r="A15" s="42" t="s">
        <v>32</v>
      </c>
      <c r="B15" s="27"/>
      <c r="C15" s="36">
        <v>405</v>
      </c>
      <c r="D15" s="35"/>
      <c r="E15" s="37">
        <v>1310.75</v>
      </c>
      <c r="F15" s="27"/>
      <c r="G15" s="30"/>
      <c r="H15" s="30"/>
      <c r="I15" s="30"/>
      <c r="J15" s="32"/>
      <c r="K15" s="38"/>
      <c r="N15" s="105">
        <f t="shared" si="4"/>
        <v>45268</v>
      </c>
      <c r="O15" s="106">
        <v>3.15</v>
      </c>
      <c r="P15" s="51">
        <v>65</v>
      </c>
      <c r="Q15">
        <f t="shared" si="0"/>
        <v>785.95789999999988</v>
      </c>
      <c r="R15" s="107">
        <f t="shared" si="1"/>
        <v>785957899.99999988</v>
      </c>
      <c r="S15">
        <f t="shared" si="2"/>
        <v>12091.659999999998</v>
      </c>
      <c r="T15">
        <f t="shared" si="3"/>
        <v>12091.659999999998</v>
      </c>
      <c r="U15" s="108">
        <v>38.088728999999994</v>
      </c>
    </row>
    <row r="16" spans="1:21">
      <c r="A16" s="20"/>
      <c r="B16" s="20"/>
      <c r="C16" s="25"/>
      <c r="D16" s="20"/>
      <c r="E16" s="40"/>
      <c r="F16" s="20"/>
      <c r="G16" s="26"/>
      <c r="H16" s="26"/>
      <c r="I16" s="26"/>
      <c r="N16" s="105">
        <f t="shared" si="4"/>
        <v>45269</v>
      </c>
      <c r="O16" s="106">
        <v>2.94</v>
      </c>
      <c r="P16" s="51">
        <v>65</v>
      </c>
      <c r="Q16">
        <f t="shared" si="0"/>
        <v>785.95789999999988</v>
      </c>
      <c r="R16" s="107">
        <f t="shared" si="1"/>
        <v>785957899.99999988</v>
      </c>
      <c r="S16">
        <f t="shared" si="2"/>
        <v>12091.659999999998</v>
      </c>
      <c r="T16">
        <f t="shared" si="3"/>
        <v>12091.659999999998</v>
      </c>
      <c r="U16" s="108">
        <v>35.549480399999993</v>
      </c>
    </row>
    <row r="17" spans="1:21">
      <c r="A17" s="27" t="s">
        <v>33</v>
      </c>
      <c r="B17" s="27"/>
      <c r="C17" s="28"/>
      <c r="D17" s="27"/>
      <c r="E17" s="29">
        <f>SUM(E18:E20)</f>
        <v>5789757.3499999996</v>
      </c>
      <c r="F17" s="27"/>
      <c r="G17" s="30">
        <v>279105640</v>
      </c>
      <c r="H17" s="30"/>
      <c r="I17" s="30">
        <v>258403340</v>
      </c>
      <c r="J17" s="32"/>
      <c r="K17" s="46">
        <f>IFERROR(E17/I17*1000,0)</f>
        <v>22.405892083283444</v>
      </c>
      <c r="N17" s="105">
        <f t="shared" si="4"/>
        <v>45270</v>
      </c>
      <c r="O17" s="106">
        <v>2.94</v>
      </c>
      <c r="P17" s="51">
        <v>65</v>
      </c>
      <c r="Q17">
        <f t="shared" si="0"/>
        <v>785.95789999999988</v>
      </c>
      <c r="R17" s="107">
        <f t="shared" si="1"/>
        <v>785957899.99999988</v>
      </c>
      <c r="S17">
        <f t="shared" si="2"/>
        <v>12091.659999999998</v>
      </c>
      <c r="T17">
        <f t="shared" si="3"/>
        <v>12091.659999999998</v>
      </c>
      <c r="U17" s="108">
        <v>35.549480399999993</v>
      </c>
    </row>
    <row r="18" spans="1:21">
      <c r="A18" s="42" t="s">
        <v>29</v>
      </c>
      <c r="B18" s="27"/>
      <c r="C18" s="28">
        <v>118690.7</v>
      </c>
      <c r="D18" s="27"/>
      <c r="E18" s="29">
        <v>5638402.21</v>
      </c>
      <c r="F18" s="27"/>
      <c r="G18" s="30"/>
      <c r="H18" s="30"/>
      <c r="I18" s="30"/>
      <c r="J18" s="32"/>
      <c r="K18" s="38"/>
      <c r="N18" s="105">
        <f t="shared" si="4"/>
        <v>45271</v>
      </c>
      <c r="O18" s="106">
        <v>2.94</v>
      </c>
      <c r="P18" s="51">
        <v>65</v>
      </c>
      <c r="Q18">
        <f t="shared" si="0"/>
        <v>785.95789999999988</v>
      </c>
      <c r="R18" s="107">
        <f t="shared" si="1"/>
        <v>785957899.99999988</v>
      </c>
      <c r="S18">
        <f t="shared" si="2"/>
        <v>12091.659999999998</v>
      </c>
      <c r="T18">
        <f t="shared" si="3"/>
        <v>12091.659999999998</v>
      </c>
      <c r="U18" s="108">
        <v>35.549480399999993</v>
      </c>
    </row>
    <row r="19" spans="1:21">
      <c r="A19" s="42" t="s">
        <v>34</v>
      </c>
      <c r="B19" s="27"/>
      <c r="C19" s="43">
        <v>0</v>
      </c>
      <c r="D19" s="27"/>
      <c r="E19" s="29">
        <v>0</v>
      </c>
      <c r="F19" s="27"/>
      <c r="G19" s="30"/>
      <c r="H19" s="30"/>
      <c r="I19" s="30"/>
      <c r="J19" s="32"/>
      <c r="K19" s="46"/>
      <c r="N19" s="105">
        <f t="shared" si="4"/>
        <v>45272</v>
      </c>
      <c r="O19" s="106">
        <v>2.76</v>
      </c>
      <c r="P19" s="51">
        <v>65</v>
      </c>
      <c r="Q19">
        <f t="shared" si="0"/>
        <v>785.95789999999988</v>
      </c>
      <c r="R19" s="107">
        <f t="shared" si="1"/>
        <v>785957899.99999988</v>
      </c>
      <c r="S19">
        <f t="shared" si="2"/>
        <v>12091.659999999998</v>
      </c>
      <c r="T19">
        <f t="shared" si="3"/>
        <v>12091.659999999998</v>
      </c>
      <c r="U19" s="108">
        <v>33.372981599999996</v>
      </c>
    </row>
    <row r="20" spans="1:21">
      <c r="A20" s="42" t="s">
        <v>30</v>
      </c>
      <c r="B20" s="27"/>
      <c r="C20" s="28">
        <v>54045.15</v>
      </c>
      <c r="D20" s="27"/>
      <c r="E20" s="29">
        <v>151355.14000000001</v>
      </c>
      <c r="F20" s="27"/>
      <c r="G20" s="30"/>
      <c r="H20" s="30"/>
      <c r="I20" s="30"/>
      <c r="J20" s="32"/>
      <c r="K20" s="38"/>
      <c r="N20" s="105">
        <f t="shared" si="4"/>
        <v>45273</v>
      </c>
      <c r="O20" s="106">
        <v>2.86</v>
      </c>
      <c r="P20" s="51">
        <v>65</v>
      </c>
      <c r="Q20">
        <f t="shared" si="0"/>
        <v>785.95789999999988</v>
      </c>
      <c r="R20" s="107">
        <f t="shared" si="1"/>
        <v>785957899.99999988</v>
      </c>
      <c r="S20">
        <f t="shared" si="2"/>
        <v>12091.659999999998</v>
      </c>
      <c r="T20">
        <f t="shared" si="3"/>
        <v>12091.659999999998</v>
      </c>
      <c r="U20" s="108">
        <v>34.582147599999992</v>
      </c>
    </row>
    <row r="21" spans="1:21">
      <c r="A21" s="20"/>
      <c r="B21" s="20"/>
      <c r="C21" s="39"/>
      <c r="D21" s="20"/>
      <c r="E21" s="40"/>
      <c r="F21" s="20"/>
      <c r="G21" s="26"/>
      <c r="H21" s="26"/>
      <c r="I21" s="26"/>
      <c r="N21" s="105">
        <f t="shared" si="4"/>
        <v>45274</v>
      </c>
      <c r="O21" s="106">
        <v>2.93</v>
      </c>
      <c r="P21" s="51">
        <v>65</v>
      </c>
      <c r="Q21">
        <f t="shared" si="0"/>
        <v>785.95789999999988</v>
      </c>
      <c r="R21" s="107">
        <f t="shared" si="1"/>
        <v>785957899.99999988</v>
      </c>
      <c r="S21">
        <f t="shared" si="2"/>
        <v>12091.659999999998</v>
      </c>
      <c r="T21">
        <f t="shared" si="3"/>
        <v>12091.659999999998</v>
      </c>
      <c r="U21" s="108">
        <v>35.428563799999999</v>
      </c>
    </row>
    <row r="22" spans="1:21" ht="15" customHeight="1">
      <c r="A22" s="20" t="s">
        <v>35</v>
      </c>
      <c r="B22" s="20"/>
      <c r="C22" s="39"/>
      <c r="D22" s="20"/>
      <c r="E22" s="47">
        <f>SUM(E23:E24)</f>
        <v>0</v>
      </c>
      <c r="F22" s="20"/>
      <c r="G22" s="26">
        <v>0</v>
      </c>
      <c r="H22" s="26"/>
      <c r="I22" s="48">
        <v>-48703</v>
      </c>
      <c r="K22" s="49">
        <f>IFERROR(E22/I22*1000,0)</f>
        <v>0</v>
      </c>
      <c r="N22" s="105">
        <f t="shared" si="4"/>
        <v>45275</v>
      </c>
      <c r="O22" s="106">
        <v>2.92</v>
      </c>
      <c r="P22" s="51">
        <v>65</v>
      </c>
      <c r="Q22">
        <f t="shared" si="0"/>
        <v>785.95789999999988</v>
      </c>
      <c r="R22" s="107">
        <f t="shared" si="1"/>
        <v>785957899.99999988</v>
      </c>
      <c r="S22">
        <f t="shared" si="2"/>
        <v>12091.659999999998</v>
      </c>
      <c r="T22">
        <f t="shared" si="3"/>
        <v>12091.659999999998</v>
      </c>
      <c r="U22" s="108">
        <v>35.307647199999998</v>
      </c>
    </row>
    <row r="23" spans="1:21" ht="15" customHeight="1">
      <c r="A23" s="50" t="s">
        <v>29</v>
      </c>
      <c r="B23" s="20"/>
      <c r="C23" s="39">
        <v>0</v>
      </c>
      <c r="D23" s="20"/>
      <c r="E23" s="40">
        <v>0</v>
      </c>
      <c r="F23" s="20"/>
      <c r="G23" s="26"/>
      <c r="H23" s="26"/>
      <c r="I23" s="26"/>
      <c r="N23" s="105">
        <f t="shared" si="4"/>
        <v>45276</v>
      </c>
      <c r="O23" s="106">
        <v>2.92</v>
      </c>
      <c r="P23" s="51">
        <v>65</v>
      </c>
      <c r="Q23">
        <f t="shared" si="0"/>
        <v>785.95789999999988</v>
      </c>
      <c r="R23" s="107">
        <f t="shared" si="1"/>
        <v>785957899.99999988</v>
      </c>
      <c r="S23">
        <f t="shared" si="2"/>
        <v>12091.659999999998</v>
      </c>
      <c r="T23">
        <f t="shared" si="3"/>
        <v>12091.659999999998</v>
      </c>
      <c r="U23" s="108">
        <v>35.307647199999998</v>
      </c>
    </row>
    <row r="24" spans="1:21" ht="15" customHeight="1">
      <c r="A24" s="50" t="s">
        <v>30</v>
      </c>
      <c r="B24" s="20"/>
      <c r="C24" s="39">
        <v>0</v>
      </c>
      <c r="D24" s="20"/>
      <c r="E24" s="40">
        <v>0</v>
      </c>
      <c r="F24" s="20"/>
      <c r="G24" s="26"/>
      <c r="H24" s="26"/>
      <c r="I24" s="26"/>
      <c r="N24" s="105">
        <f t="shared" si="4"/>
        <v>45277</v>
      </c>
      <c r="O24" s="106">
        <v>2.92</v>
      </c>
      <c r="P24" s="51">
        <v>65</v>
      </c>
      <c r="Q24">
        <f t="shared" si="0"/>
        <v>785.95789999999988</v>
      </c>
      <c r="R24" s="107">
        <f t="shared" si="1"/>
        <v>785957899.99999988</v>
      </c>
      <c r="S24">
        <f t="shared" si="2"/>
        <v>12091.659999999998</v>
      </c>
      <c r="T24">
        <f t="shared" si="3"/>
        <v>12091.659999999998</v>
      </c>
      <c r="U24" s="109">
        <v>35.307647199999998</v>
      </c>
    </row>
    <row r="25" spans="1:21" ht="15" customHeight="1">
      <c r="A25" s="20"/>
      <c r="B25" s="20"/>
      <c r="C25" s="39"/>
      <c r="D25" s="20"/>
      <c r="E25" s="40"/>
      <c r="F25" s="20"/>
      <c r="G25" s="26"/>
      <c r="H25" s="26"/>
      <c r="I25" s="26"/>
      <c r="N25" s="105">
        <f t="shared" si="4"/>
        <v>45278</v>
      </c>
      <c r="O25" s="106">
        <v>2.92</v>
      </c>
      <c r="P25" s="51">
        <v>65</v>
      </c>
      <c r="Q25">
        <f t="shared" si="0"/>
        <v>785.95789999999988</v>
      </c>
      <c r="R25" s="107">
        <f t="shared" si="1"/>
        <v>785957899.99999988</v>
      </c>
      <c r="S25">
        <f t="shared" si="2"/>
        <v>12091.659999999998</v>
      </c>
      <c r="T25">
        <f t="shared" si="3"/>
        <v>12091.659999999998</v>
      </c>
      <c r="U25" s="108">
        <v>35.307647199999998</v>
      </c>
    </row>
    <row r="26" spans="1:21" ht="15" customHeight="1">
      <c r="A26" s="20" t="s">
        <v>36</v>
      </c>
      <c r="B26" s="20"/>
      <c r="C26" s="39"/>
      <c r="D26" s="20"/>
      <c r="E26" s="47">
        <f>SUM(E27:E28)</f>
        <v>0</v>
      </c>
      <c r="F26" s="20"/>
      <c r="G26" s="48">
        <v>0</v>
      </c>
      <c r="H26" s="26"/>
      <c r="I26" s="48">
        <v>-48702</v>
      </c>
      <c r="K26" s="49">
        <f>IFERROR(E26/I26*1000,0)</f>
        <v>0</v>
      </c>
      <c r="N26" s="105">
        <f t="shared" si="4"/>
        <v>45279</v>
      </c>
      <c r="O26" s="106">
        <v>3.09</v>
      </c>
      <c r="P26" s="51">
        <v>65</v>
      </c>
      <c r="Q26">
        <f t="shared" si="0"/>
        <v>785.95789999999988</v>
      </c>
      <c r="R26" s="107">
        <f t="shared" si="1"/>
        <v>785957899.99999988</v>
      </c>
      <c r="S26">
        <f t="shared" si="2"/>
        <v>12091.659999999998</v>
      </c>
      <c r="T26">
        <f t="shared" si="3"/>
        <v>12091.659999999998</v>
      </c>
      <c r="U26" s="108">
        <v>37.363229399999994</v>
      </c>
    </row>
    <row r="27" spans="1:21" ht="15" customHeight="1">
      <c r="A27" s="50" t="s">
        <v>29</v>
      </c>
      <c r="B27" s="20"/>
      <c r="C27" s="39">
        <v>0</v>
      </c>
      <c r="D27" s="20"/>
      <c r="E27" s="40">
        <v>0</v>
      </c>
      <c r="F27" s="20"/>
      <c r="G27" s="26"/>
      <c r="H27" s="26"/>
      <c r="I27" s="26"/>
      <c r="M27" s="51"/>
      <c r="N27" s="105">
        <f t="shared" si="4"/>
        <v>45280</v>
      </c>
      <c r="O27" s="106">
        <v>3.05</v>
      </c>
      <c r="P27" s="51">
        <v>65</v>
      </c>
      <c r="Q27">
        <f t="shared" si="0"/>
        <v>785.95789999999988</v>
      </c>
      <c r="R27" s="107">
        <f t="shared" si="1"/>
        <v>785957899.99999988</v>
      </c>
      <c r="S27">
        <f t="shared" si="2"/>
        <v>12091.659999999998</v>
      </c>
      <c r="T27">
        <f t="shared" si="3"/>
        <v>12091.659999999998</v>
      </c>
      <c r="U27" s="108">
        <v>36.87956299999999</v>
      </c>
    </row>
    <row r="28" spans="1:21" ht="15" customHeight="1">
      <c r="A28" s="50" t="s">
        <v>30</v>
      </c>
      <c r="B28" s="20"/>
      <c r="C28" s="39">
        <v>0</v>
      </c>
      <c r="D28" s="20"/>
      <c r="E28" s="40">
        <v>0</v>
      </c>
      <c r="F28" s="20"/>
      <c r="G28" s="26"/>
      <c r="H28" s="26"/>
      <c r="I28" s="26"/>
      <c r="N28" s="105">
        <f t="shared" si="4"/>
        <v>45281</v>
      </c>
      <c r="O28" s="106">
        <v>2.92</v>
      </c>
      <c r="P28" s="51">
        <v>65</v>
      </c>
      <c r="Q28">
        <f t="shared" si="0"/>
        <v>785.95789999999988</v>
      </c>
      <c r="R28" s="107">
        <f t="shared" si="1"/>
        <v>785957899.99999988</v>
      </c>
      <c r="S28">
        <f t="shared" si="2"/>
        <v>12091.659999999998</v>
      </c>
      <c r="T28">
        <f t="shared" si="3"/>
        <v>12091.659999999998</v>
      </c>
      <c r="U28" s="108">
        <v>35.307647199999998</v>
      </c>
    </row>
    <row r="29" spans="1:21" ht="15" customHeight="1">
      <c r="A29" s="20"/>
      <c r="B29" s="20"/>
      <c r="C29" s="25"/>
      <c r="D29" s="20"/>
      <c r="E29" s="40"/>
      <c r="F29" s="20"/>
      <c r="G29" s="26"/>
      <c r="H29" s="26"/>
      <c r="I29" s="26"/>
      <c r="N29" s="105">
        <f t="shared" si="4"/>
        <v>45282</v>
      </c>
      <c r="O29" s="106">
        <v>2.97</v>
      </c>
      <c r="P29" s="51">
        <v>65</v>
      </c>
      <c r="Q29">
        <f t="shared" si="0"/>
        <v>785.95789999999988</v>
      </c>
      <c r="R29" s="107">
        <f t="shared" si="1"/>
        <v>785957899.99999988</v>
      </c>
      <c r="S29">
        <f t="shared" si="2"/>
        <v>12091.659999999998</v>
      </c>
      <c r="T29">
        <f t="shared" si="3"/>
        <v>12091.659999999998</v>
      </c>
      <c r="U29" s="108">
        <v>35.912230199999996</v>
      </c>
    </row>
    <row r="30" spans="1:21">
      <c r="A30" s="27" t="s">
        <v>37</v>
      </c>
      <c r="B30" s="27"/>
      <c r="C30" s="28"/>
      <c r="D30" s="27"/>
      <c r="E30" s="29">
        <f>SUM(E31:E32)</f>
        <v>0</v>
      </c>
      <c r="F30" s="27"/>
      <c r="G30" s="30">
        <f>SUM(G22:G27)</f>
        <v>0</v>
      </c>
      <c r="H30" s="30"/>
      <c r="I30" s="31">
        <f>SUM(I22:I27)</f>
        <v>-97405</v>
      </c>
      <c r="J30" s="32"/>
      <c r="K30" s="46">
        <f>IFERROR(E30/I30*1000,0)</f>
        <v>0</v>
      </c>
      <c r="N30" s="105">
        <f t="shared" si="4"/>
        <v>45283</v>
      </c>
      <c r="O30" s="106">
        <v>2.92</v>
      </c>
      <c r="P30" s="51">
        <v>65</v>
      </c>
      <c r="Q30">
        <f t="shared" si="0"/>
        <v>785.95789999999988</v>
      </c>
      <c r="R30" s="107">
        <f t="shared" si="1"/>
        <v>785957899.99999988</v>
      </c>
      <c r="S30">
        <f t="shared" si="2"/>
        <v>12091.659999999998</v>
      </c>
      <c r="T30">
        <f t="shared" si="3"/>
        <v>12091.659999999998</v>
      </c>
      <c r="U30" s="108">
        <v>35.307647199999998</v>
      </c>
    </row>
    <row r="31" spans="1:21">
      <c r="A31" s="42" t="s">
        <v>29</v>
      </c>
      <c r="B31" s="27"/>
      <c r="C31" s="43">
        <f>C23+C27</f>
        <v>0</v>
      </c>
      <c r="D31" s="27"/>
      <c r="E31" s="29">
        <f>E23+E27</f>
        <v>0</v>
      </c>
      <c r="F31" s="27"/>
      <c r="G31" s="30"/>
      <c r="H31" s="30"/>
      <c r="I31" s="30"/>
      <c r="J31" s="32"/>
      <c r="K31" s="38"/>
      <c r="N31" s="105">
        <f t="shared" si="4"/>
        <v>45284</v>
      </c>
      <c r="O31" s="106">
        <v>2.92</v>
      </c>
      <c r="P31" s="51">
        <v>65</v>
      </c>
      <c r="Q31">
        <f t="shared" si="0"/>
        <v>785.95789999999988</v>
      </c>
      <c r="R31" s="107">
        <f t="shared" si="1"/>
        <v>785957899.99999988</v>
      </c>
      <c r="S31">
        <f t="shared" si="2"/>
        <v>12091.659999999998</v>
      </c>
      <c r="T31">
        <f t="shared" si="3"/>
        <v>12091.659999999998</v>
      </c>
      <c r="U31" s="108">
        <v>35.307647199999998</v>
      </c>
    </row>
    <row r="32" spans="1:21">
      <c r="A32" s="42" t="s">
        <v>30</v>
      </c>
      <c r="B32" s="27"/>
      <c r="C32" s="43">
        <f>C24+C28</f>
        <v>0</v>
      </c>
      <c r="D32" s="27"/>
      <c r="E32" s="29">
        <f>E24+E28</f>
        <v>0</v>
      </c>
      <c r="F32" s="27"/>
      <c r="G32" s="30"/>
      <c r="H32" s="30"/>
      <c r="I32" s="30"/>
      <c r="J32" s="32"/>
      <c r="K32" s="38"/>
      <c r="N32" s="105">
        <f t="shared" si="4"/>
        <v>45285</v>
      </c>
      <c r="O32" s="106">
        <v>2.92</v>
      </c>
      <c r="P32" s="51">
        <v>65</v>
      </c>
      <c r="Q32">
        <f t="shared" si="0"/>
        <v>785.95789999999988</v>
      </c>
      <c r="R32" s="107">
        <f t="shared" si="1"/>
        <v>785957899.99999988</v>
      </c>
      <c r="S32">
        <f t="shared" si="2"/>
        <v>12091.659999999998</v>
      </c>
      <c r="T32">
        <f t="shared" si="3"/>
        <v>12091.659999999998</v>
      </c>
      <c r="U32" s="108">
        <v>35.307647199999998</v>
      </c>
    </row>
    <row r="33" spans="1:21">
      <c r="A33" s="20"/>
      <c r="B33" s="20"/>
      <c r="C33" s="25"/>
      <c r="D33" s="20"/>
      <c r="E33" s="40"/>
      <c r="F33" s="20"/>
      <c r="G33" s="26"/>
      <c r="H33" s="26"/>
      <c r="I33" s="26"/>
      <c r="N33" s="105">
        <f t="shared" si="4"/>
        <v>45286</v>
      </c>
      <c r="O33" s="106">
        <v>2.92</v>
      </c>
      <c r="P33" s="51">
        <v>65</v>
      </c>
      <c r="Q33">
        <f t="shared" si="0"/>
        <v>785.95789999999988</v>
      </c>
      <c r="R33" s="107">
        <f t="shared" si="1"/>
        <v>785957899.99999988</v>
      </c>
      <c r="S33">
        <f t="shared" si="2"/>
        <v>12091.659999999998</v>
      </c>
      <c r="T33">
        <f t="shared" si="3"/>
        <v>12091.659999999998</v>
      </c>
      <c r="U33" s="108">
        <v>35.307647199999998</v>
      </c>
    </row>
    <row r="34" spans="1:21">
      <c r="A34" s="12" t="s">
        <v>38</v>
      </c>
      <c r="C34" s="39"/>
      <c r="D34" s="20"/>
      <c r="E34" s="47">
        <f>SUM(E35:E37)</f>
        <v>258184.52</v>
      </c>
      <c r="G34" s="26">
        <v>7114322</v>
      </c>
      <c r="I34" s="26">
        <v>4954226</v>
      </c>
      <c r="K34" s="127">
        <f>E34/I34*1000</f>
        <v>52.113997221765814</v>
      </c>
      <c r="N34" s="110">
        <f t="shared" si="4"/>
        <v>45287</v>
      </c>
      <c r="O34" s="111">
        <v>2.3199999999999998</v>
      </c>
      <c r="P34" s="112">
        <v>65</v>
      </c>
      <c r="Q34" s="113">
        <f t="shared" si="0"/>
        <v>785.95789999999988</v>
      </c>
      <c r="R34" s="114">
        <f t="shared" si="1"/>
        <v>785957899.99999988</v>
      </c>
      <c r="S34" s="113">
        <f t="shared" si="2"/>
        <v>12091.659999999998</v>
      </c>
      <c r="T34" s="113">
        <f t="shared" si="3"/>
        <v>12091.659999999998</v>
      </c>
      <c r="U34" s="115">
        <v>28.052651199999996</v>
      </c>
    </row>
    <row r="35" spans="1:21">
      <c r="A35" s="50" t="s">
        <v>29</v>
      </c>
      <c r="C35" s="39">
        <v>0</v>
      </c>
      <c r="D35" s="20"/>
      <c r="E35" s="40">
        <v>0</v>
      </c>
      <c r="N35" s="105">
        <f t="shared" si="4"/>
        <v>45288</v>
      </c>
      <c r="O35" s="106">
        <v>2.77</v>
      </c>
      <c r="P35" s="51">
        <v>65</v>
      </c>
      <c r="Q35">
        <f t="shared" si="0"/>
        <v>785.95789999999988</v>
      </c>
      <c r="R35" s="107">
        <f t="shared" si="1"/>
        <v>785957899.99999988</v>
      </c>
      <c r="S35">
        <f t="shared" si="2"/>
        <v>12091.659999999998</v>
      </c>
      <c r="T35">
        <f t="shared" si="3"/>
        <v>12091.659999999998</v>
      </c>
      <c r="U35" s="108">
        <v>33.493898199999997</v>
      </c>
    </row>
    <row r="36" spans="1:21">
      <c r="A36" s="50" t="s">
        <v>34</v>
      </c>
      <c r="C36" s="39">
        <v>0</v>
      </c>
      <c r="D36" s="20"/>
      <c r="E36" s="40">
        <v>0</v>
      </c>
      <c r="M36" s="53"/>
      <c r="N36" s="105">
        <f t="shared" si="4"/>
        <v>45289</v>
      </c>
      <c r="O36" s="106">
        <v>2.78</v>
      </c>
      <c r="P36" s="51">
        <v>65</v>
      </c>
      <c r="Q36">
        <f t="shared" si="0"/>
        <v>785.95789999999988</v>
      </c>
      <c r="R36" s="107">
        <f t="shared" si="1"/>
        <v>785957899.99999988</v>
      </c>
      <c r="S36">
        <f t="shared" si="2"/>
        <v>12091.659999999998</v>
      </c>
      <c r="T36">
        <f t="shared" si="3"/>
        <v>12091.659999999998</v>
      </c>
      <c r="U36" s="108">
        <v>33.614814799999991</v>
      </c>
    </row>
    <row r="37" spans="1:21">
      <c r="A37" s="50" t="s">
        <v>32</v>
      </c>
      <c r="C37" s="39">
        <v>82913</v>
      </c>
      <c r="D37" s="20"/>
      <c r="E37" s="40">
        <v>258184.52</v>
      </c>
      <c r="N37" s="105">
        <f t="shared" si="4"/>
        <v>45290</v>
      </c>
      <c r="O37" s="106">
        <v>2.9</v>
      </c>
      <c r="P37" s="51">
        <v>65</v>
      </c>
      <c r="Q37">
        <f t="shared" si="0"/>
        <v>785.95789999999988</v>
      </c>
      <c r="R37" s="107">
        <f t="shared" si="1"/>
        <v>785957899.99999988</v>
      </c>
      <c r="S37">
        <f t="shared" si="2"/>
        <v>12091.659999999998</v>
      </c>
      <c r="T37">
        <f t="shared" si="3"/>
        <v>12091.659999999998</v>
      </c>
      <c r="U37" s="108">
        <v>35.065813999999996</v>
      </c>
    </row>
    <row r="38" spans="1:21">
      <c r="C38" s="39"/>
      <c r="D38" s="20"/>
      <c r="E38" s="40"/>
      <c r="N38" s="105">
        <f t="shared" si="4"/>
        <v>45291</v>
      </c>
      <c r="O38" s="106">
        <v>2.9</v>
      </c>
      <c r="P38" s="51">
        <v>65</v>
      </c>
      <c r="Q38">
        <f t="shared" si="0"/>
        <v>785.95789999999988</v>
      </c>
      <c r="R38" s="107">
        <f t="shared" si="1"/>
        <v>785957899.99999988</v>
      </c>
      <c r="S38">
        <f t="shared" si="2"/>
        <v>12091.659999999998</v>
      </c>
      <c r="T38">
        <f t="shared" si="3"/>
        <v>12091.659999999998</v>
      </c>
      <c r="U38" s="108">
        <v>35.065813999999996</v>
      </c>
    </row>
    <row r="39" spans="1:21" ht="15" thickBot="1">
      <c r="A39" s="12" t="s">
        <v>39</v>
      </c>
      <c r="C39" s="39"/>
      <c r="D39" s="20"/>
      <c r="E39" s="47">
        <f>SUM(E40:E42)</f>
        <v>0</v>
      </c>
      <c r="G39" s="26">
        <v>0</v>
      </c>
      <c r="I39" s="26">
        <v>-1363663</v>
      </c>
      <c r="K39" s="49">
        <f>IFERROR(E39/I39*1000,0)</f>
        <v>0</v>
      </c>
      <c r="N39" s="116" t="s">
        <v>98</v>
      </c>
      <c r="O39" s="116">
        <f>SUM(O8:O38)/30</f>
        <v>3.0743333333333336</v>
      </c>
      <c r="P39" s="117">
        <v>65</v>
      </c>
      <c r="Q39" s="118">
        <f t="shared" si="0"/>
        <v>785.95789999999988</v>
      </c>
      <c r="R39" s="119">
        <f t="shared" si="1"/>
        <v>785957899.99999988</v>
      </c>
      <c r="S39" s="117">
        <f t="shared" si="2"/>
        <v>12091.659999999998</v>
      </c>
      <c r="T39" s="117">
        <f t="shared" si="3"/>
        <v>12091.659999999998</v>
      </c>
      <c r="U39" s="120">
        <v>37.173793393333334</v>
      </c>
    </row>
    <row r="40" spans="1:21" ht="15" thickTop="1">
      <c r="A40" s="50" t="s">
        <v>29</v>
      </c>
      <c r="C40" s="39">
        <v>0</v>
      </c>
      <c r="D40" s="20"/>
      <c r="E40" s="40">
        <v>0</v>
      </c>
    </row>
    <row r="41" spans="1:21">
      <c r="A41" s="50" t="s">
        <v>34</v>
      </c>
      <c r="C41" s="39">
        <v>0</v>
      </c>
      <c r="D41" s="20"/>
      <c r="E41" s="40">
        <v>0</v>
      </c>
      <c r="I41" s="14"/>
    </row>
    <row r="42" spans="1:21">
      <c r="A42" s="50" t="s">
        <v>32</v>
      </c>
      <c r="C42" s="39">
        <v>0</v>
      </c>
      <c r="D42" s="20"/>
      <c r="E42" s="40">
        <v>0</v>
      </c>
      <c r="N42" s="64" t="s">
        <v>105</v>
      </c>
      <c r="O42" s="64"/>
      <c r="T42" s="121">
        <f>U39</f>
        <v>37.173793393333334</v>
      </c>
      <c r="U42" t="s">
        <v>100</v>
      </c>
    </row>
    <row r="43" spans="1:21">
      <c r="E43" s="55"/>
      <c r="N43" s="64" t="s">
        <v>106</v>
      </c>
      <c r="O43" s="64"/>
      <c r="T43" s="122">
        <f>U34</f>
        <v>28.052651199999996</v>
      </c>
      <c r="U43" t="s">
        <v>100</v>
      </c>
    </row>
    <row r="44" spans="1:21">
      <c r="A44" s="32" t="s">
        <v>40</v>
      </c>
      <c r="B44" s="32"/>
      <c r="C44" s="38"/>
      <c r="D44" s="32"/>
      <c r="E44" s="56">
        <f>SUM(E45:E47)</f>
        <v>258184.52</v>
      </c>
      <c r="F44" s="32"/>
      <c r="G44" s="57">
        <f>SUM(G34:G41)</f>
        <v>7114322</v>
      </c>
      <c r="H44" s="57"/>
      <c r="I44" s="57">
        <f>SUM(I34:I41)</f>
        <v>3590563</v>
      </c>
      <c r="J44" s="32"/>
      <c r="K44" s="46">
        <f>E44/I44*1000</f>
        <v>71.90641690453559</v>
      </c>
      <c r="L44" s="58"/>
    </row>
    <row r="45" spans="1:21">
      <c r="A45" s="42" t="s">
        <v>29</v>
      </c>
      <c r="B45" s="32"/>
      <c r="C45" s="38">
        <f>C35+C40</f>
        <v>0</v>
      </c>
      <c r="D45" s="32"/>
      <c r="E45" s="56">
        <f>E35+E40</f>
        <v>0</v>
      </c>
      <c r="F45" s="32"/>
      <c r="G45" s="38"/>
      <c r="H45" s="57"/>
      <c r="I45" s="57"/>
      <c r="J45" s="32"/>
      <c r="K45" s="38"/>
      <c r="L45" s="58"/>
    </row>
    <row r="46" spans="1:21">
      <c r="A46" s="42" t="s">
        <v>34</v>
      </c>
      <c r="B46" s="32"/>
      <c r="C46" s="59">
        <f>C36+C41</f>
        <v>0</v>
      </c>
      <c r="D46" s="32"/>
      <c r="E46" s="56">
        <f>E36+E41</f>
        <v>0</v>
      </c>
      <c r="F46" s="32"/>
      <c r="G46" s="57"/>
      <c r="H46" s="57"/>
      <c r="I46" s="57"/>
      <c r="J46" s="32"/>
      <c r="K46" s="38"/>
      <c r="L46" s="58"/>
    </row>
    <row r="47" spans="1:21">
      <c r="A47" s="42" t="s">
        <v>32</v>
      </c>
      <c r="B47" s="32"/>
      <c r="C47" s="38">
        <f>C37+C42</f>
        <v>82913</v>
      </c>
      <c r="D47" s="32"/>
      <c r="E47" s="56">
        <f>E37+E42</f>
        <v>258184.52</v>
      </c>
      <c r="F47" s="32"/>
      <c r="G47" s="57"/>
      <c r="H47" s="57"/>
      <c r="I47" s="57"/>
      <c r="J47" s="32"/>
      <c r="K47" s="38"/>
      <c r="L47" s="58"/>
    </row>
    <row r="48" spans="1:21">
      <c r="E48" s="55"/>
    </row>
    <row r="49" spans="1:14">
      <c r="A49" s="60" t="s">
        <v>41</v>
      </c>
      <c r="E49" s="61">
        <f>E8+E13+E17+E30+E44</f>
        <v>6049252.6199999992</v>
      </c>
      <c r="F49" s="60"/>
      <c r="G49" s="62">
        <f>G8+G13+G17+G30+G44</f>
        <v>286249382</v>
      </c>
      <c r="H49" s="62"/>
      <c r="I49" s="62">
        <f>I8+I13+I17+I30+I44</f>
        <v>261819498</v>
      </c>
      <c r="J49" s="60"/>
      <c r="K49" s="63">
        <f>E49/I49*1000</f>
        <v>23.104668163407752</v>
      </c>
      <c r="L49" s="64"/>
    </row>
    <row r="51" spans="1:14">
      <c r="E51" s="135" t="s">
        <v>42</v>
      </c>
      <c r="F51" s="135"/>
      <c r="G51" s="135"/>
      <c r="I51" s="62">
        <v>12088085</v>
      </c>
    </row>
    <row r="52" spans="1:14">
      <c r="E52" s="135" t="s">
        <v>43</v>
      </c>
      <c r="F52" s="135"/>
      <c r="G52" s="135"/>
      <c r="I52" s="65">
        <f>I49-I51</f>
        <v>249731413</v>
      </c>
      <c r="K52" s="63">
        <f>E49/I52*1000</f>
        <v>24.223034448613795</v>
      </c>
    </row>
    <row r="53" spans="1:14">
      <c r="C53" s="136" t="s">
        <v>44</v>
      </c>
      <c r="D53" s="136"/>
      <c r="E53" s="136"/>
      <c r="F53" s="136"/>
      <c r="G53" s="136"/>
      <c r="I53" s="15">
        <f>+I8+I30</f>
        <v>-97405</v>
      </c>
      <c r="K53" s="63"/>
    </row>
    <row r="54" spans="1:14" ht="15" thickBot="1">
      <c r="C54" s="132" t="s">
        <v>45</v>
      </c>
      <c r="D54" s="132"/>
      <c r="E54" s="132"/>
      <c r="F54" s="132"/>
      <c r="G54" s="132"/>
      <c r="I54" s="66">
        <f>I52+-I53</f>
        <v>249828818</v>
      </c>
      <c r="K54" s="67">
        <f>E49/I54*1000</f>
        <v>24.213590203192648</v>
      </c>
    </row>
    <row r="55" spans="1:14" ht="15" thickTop="1">
      <c r="G55" s="62"/>
      <c r="I55" s="62"/>
      <c r="K55" s="63"/>
      <c r="M55" s="68"/>
    </row>
    <row r="56" spans="1:14">
      <c r="C56" s="12"/>
      <c r="I56" s="69" t="s">
        <v>46</v>
      </c>
    </row>
    <row r="57" spans="1:14">
      <c r="C57" s="12" t="s">
        <v>29</v>
      </c>
      <c r="E57" s="70">
        <f>IFERROR(E9+E18+E31+E45,0)</f>
        <v>5638402.21</v>
      </c>
      <c r="G57" s="71"/>
      <c r="N57" s="44"/>
    </row>
    <row r="58" spans="1:14">
      <c r="C58" s="12" t="s">
        <v>47</v>
      </c>
      <c r="E58" s="70">
        <f>E19+E46</f>
        <v>0</v>
      </c>
      <c r="N58" s="45"/>
    </row>
    <row r="59" spans="1:14">
      <c r="C59" s="12" t="s">
        <v>30</v>
      </c>
      <c r="E59" s="70">
        <f>IFERROR(E10+E14+E20+E32,0)</f>
        <v>151355.14000000001</v>
      </c>
      <c r="G59" s="14"/>
    </row>
    <row r="60" spans="1:14">
      <c r="C60" s="12" t="s">
        <v>32</v>
      </c>
      <c r="E60" s="55">
        <f>E15+E47</f>
        <v>259495.27</v>
      </c>
      <c r="G60" s="14"/>
      <c r="K60" s="49"/>
    </row>
    <row r="61" spans="1:14" ht="15" thickBot="1">
      <c r="B61" s="14"/>
      <c r="C61" s="12"/>
      <c r="E61" s="72">
        <f>SUM(E57:E60)</f>
        <v>6049252.6199999992</v>
      </c>
    </row>
    <row r="62" spans="1:14" ht="15" thickTop="1"/>
    <row r="63" spans="1:14">
      <c r="A63" s="125" t="s">
        <v>104</v>
      </c>
      <c r="J63"/>
      <c r="K63"/>
    </row>
    <row r="64" spans="1:14">
      <c r="A64" s="126" t="s">
        <v>102</v>
      </c>
    </row>
    <row r="70" spans="14:21">
      <c r="N70" s="45"/>
    </row>
    <row r="71" spans="14:21">
      <c r="T71" s="52"/>
      <c r="U71" s="52"/>
    </row>
    <row r="72" spans="14:21">
      <c r="T72" s="52"/>
      <c r="U72" s="52"/>
    </row>
    <row r="80" spans="14:21">
      <c r="N80" s="52"/>
    </row>
    <row r="81" spans="14:14">
      <c r="N81" s="54"/>
    </row>
    <row r="82" spans="14:14">
      <c r="N82" s="26"/>
    </row>
  </sheetData>
  <mergeCells count="7">
    <mergeCell ref="C54:G54"/>
    <mergeCell ref="A2:K2"/>
    <mergeCell ref="A3:K3"/>
    <mergeCell ref="E4:G4"/>
    <mergeCell ref="E51:G51"/>
    <mergeCell ref="E52:G52"/>
    <mergeCell ref="C53:G5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5EA4D-5740-4955-B537-3C20E22AF707}">
  <dimension ref="A1:U82"/>
  <sheetViews>
    <sheetView workbookViewId="0">
      <selection activeCell="N24" sqref="N24"/>
    </sheetView>
  </sheetViews>
  <sheetFormatPr defaultRowHeight="14.25"/>
  <cols>
    <col min="1" max="1" width="16.125" style="12" customWidth="1"/>
    <col min="2" max="2" width="3.875" style="12" customWidth="1"/>
    <col min="3" max="3" width="14.375" style="14" customWidth="1"/>
    <col min="4" max="4" width="1.625" style="12" customWidth="1"/>
    <col min="5" max="5" width="16.625" style="14" customWidth="1"/>
    <col min="6" max="6" width="1.625" style="12" customWidth="1"/>
    <col min="7" max="7" width="16.75" style="15" customWidth="1"/>
    <col min="8" max="8" width="1.625" style="15" customWidth="1"/>
    <col min="9" max="9" width="13.25" style="15" customWidth="1"/>
    <col min="10" max="10" width="1.625" style="12" customWidth="1"/>
    <col min="11" max="11" width="13.625" style="14" customWidth="1"/>
    <col min="12" max="12" width="4" customWidth="1"/>
    <col min="13" max="13" width="10.625" bestFit="1" customWidth="1"/>
    <col min="14" max="14" width="12.25" bestFit="1" customWidth="1"/>
    <col min="18" max="18" width="17.875" customWidth="1"/>
  </cols>
  <sheetData>
    <row r="1" spans="1:21">
      <c r="A1" s="12" t="s">
        <v>18</v>
      </c>
      <c r="B1" s="13"/>
      <c r="I1" s="16"/>
    </row>
    <row r="2" spans="1:21">
      <c r="A2" s="133" t="s">
        <v>19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N2" s="124" t="s">
        <v>82</v>
      </c>
      <c r="O2" s="113"/>
      <c r="P2" s="113"/>
      <c r="Q2" s="113"/>
      <c r="R2" s="113"/>
    </row>
    <row r="3" spans="1:21">
      <c r="A3" s="133" t="s">
        <v>20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21">
      <c r="C4" s="18" t="s">
        <v>21</v>
      </c>
      <c r="E4" s="134">
        <v>45322</v>
      </c>
      <c r="F4" s="134"/>
      <c r="G4" s="134"/>
      <c r="N4" s="102">
        <v>45292</v>
      </c>
    </row>
    <row r="5" spans="1:21">
      <c r="E5" s="14" t="s">
        <v>22</v>
      </c>
      <c r="I5" s="19" t="b">
        <v>1</v>
      </c>
      <c r="N5" s="64"/>
      <c r="O5" s="79" t="s">
        <v>83</v>
      </c>
      <c r="P5" s="64"/>
      <c r="Q5" s="79" t="s">
        <v>83</v>
      </c>
      <c r="R5" s="64"/>
      <c r="S5" s="79" t="s">
        <v>84</v>
      </c>
      <c r="T5" s="79" t="s">
        <v>85</v>
      </c>
      <c r="U5" s="79" t="s">
        <v>86</v>
      </c>
    </row>
    <row r="6" spans="1:21">
      <c r="A6" s="20"/>
      <c r="B6" s="20"/>
      <c r="C6" s="21" t="s">
        <v>23</v>
      </c>
      <c r="D6" s="22"/>
      <c r="E6" s="21" t="s">
        <v>24</v>
      </c>
      <c r="F6" s="22"/>
      <c r="G6" s="23" t="s">
        <v>25</v>
      </c>
      <c r="H6" s="19"/>
      <c r="I6" s="23" t="s">
        <v>26</v>
      </c>
      <c r="J6" s="17"/>
      <c r="K6" s="24" t="s">
        <v>27</v>
      </c>
      <c r="N6" s="64"/>
      <c r="O6" s="79" t="s">
        <v>32</v>
      </c>
      <c r="P6" s="79" t="s">
        <v>87</v>
      </c>
      <c r="Q6" s="79" t="s">
        <v>88</v>
      </c>
      <c r="R6" s="79" t="s">
        <v>83</v>
      </c>
      <c r="S6" s="79" t="s">
        <v>89</v>
      </c>
      <c r="T6" s="79" t="s">
        <v>90</v>
      </c>
      <c r="U6" s="79" t="s">
        <v>91</v>
      </c>
    </row>
    <row r="7" spans="1:21">
      <c r="A7" s="20"/>
      <c r="B7" s="20"/>
      <c r="C7" s="25"/>
      <c r="D7" s="20"/>
      <c r="E7" s="25"/>
      <c r="F7" s="20"/>
      <c r="G7" s="26"/>
      <c r="H7" s="26"/>
      <c r="I7" s="26"/>
      <c r="N7" s="103" t="s">
        <v>92</v>
      </c>
      <c r="O7" s="103" t="s">
        <v>93</v>
      </c>
      <c r="P7" s="104"/>
      <c r="Q7" s="103" t="s">
        <v>94</v>
      </c>
      <c r="R7" s="103" t="s">
        <v>95</v>
      </c>
      <c r="S7" s="103" t="s">
        <v>96</v>
      </c>
      <c r="T7" s="103" t="s">
        <v>96</v>
      </c>
      <c r="U7" s="103" t="s">
        <v>97</v>
      </c>
    </row>
    <row r="8" spans="1:21">
      <c r="A8" s="27" t="s">
        <v>28</v>
      </c>
      <c r="B8" s="27"/>
      <c r="C8" s="28"/>
      <c r="D8" s="27"/>
      <c r="E8" s="29">
        <f>SUM(E9:E11)</f>
        <v>0</v>
      </c>
      <c r="F8" s="27"/>
      <c r="G8" s="30">
        <v>0</v>
      </c>
      <c r="H8" s="30"/>
      <c r="I8" s="31">
        <v>0</v>
      </c>
      <c r="J8" s="32"/>
      <c r="K8" s="33">
        <f>IFERROR(E8/I8*1000,0)</f>
        <v>0</v>
      </c>
      <c r="N8" s="105">
        <f>N4</f>
        <v>45292</v>
      </c>
      <c r="O8" s="106">
        <v>3.3</v>
      </c>
      <c r="P8" s="51">
        <v>65</v>
      </c>
      <c r="Q8">
        <f>R8/1000/1000</f>
        <v>785.95789999999988</v>
      </c>
      <c r="R8" s="107">
        <f>(P8*S8*1000)</f>
        <v>785957899.99999988</v>
      </c>
      <c r="S8">
        <f>((-0.00007*(P8^3))+(0.016407*P8^2)+(-1.208787*P8)+40.56699)*1000</f>
        <v>12091.659999999998</v>
      </c>
      <c r="T8">
        <f>S8*(1)</f>
        <v>12091.659999999998</v>
      </c>
      <c r="U8" s="108">
        <v>39.902477999999995</v>
      </c>
    </row>
    <row r="9" spans="1:21">
      <c r="A9" s="34" t="s">
        <v>29</v>
      </c>
      <c r="B9" s="35"/>
      <c r="C9" s="36">
        <v>0</v>
      </c>
      <c r="D9" s="35"/>
      <c r="E9" s="37">
        <v>0</v>
      </c>
      <c r="F9" s="27"/>
      <c r="G9" s="30"/>
      <c r="H9" s="30"/>
      <c r="J9" s="32"/>
      <c r="K9" s="38"/>
      <c r="N9" s="105">
        <f>+N8+1</f>
        <v>45293</v>
      </c>
      <c r="O9" s="106">
        <v>3.3</v>
      </c>
      <c r="P9" s="51">
        <v>65</v>
      </c>
      <c r="Q9">
        <f t="shared" ref="Q9:Q39" si="0">R9/1000/1000</f>
        <v>785.95789999999988</v>
      </c>
      <c r="R9" s="107">
        <f t="shared" ref="R9:R39" si="1">(P9*S9*1000)</f>
        <v>785957899.99999988</v>
      </c>
      <c r="S9">
        <f t="shared" ref="S9:S39" si="2">((-0.00007*(P9^3))+(0.016407*P9^2)+(-1.208787*P9)+40.56699)*1000</f>
        <v>12091.659999999998</v>
      </c>
      <c r="T9">
        <f t="shared" ref="T9:T39" si="3">S9*(1)</f>
        <v>12091.659999999998</v>
      </c>
      <c r="U9" s="108">
        <v>39.902477999999995</v>
      </c>
    </row>
    <row r="10" spans="1:21">
      <c r="A10" s="34" t="s">
        <v>30</v>
      </c>
      <c r="B10" s="35"/>
      <c r="C10" s="36">
        <v>0</v>
      </c>
      <c r="D10" s="35"/>
      <c r="E10" s="37">
        <v>0</v>
      </c>
      <c r="F10" s="27"/>
      <c r="G10" s="30"/>
      <c r="H10" s="30"/>
      <c r="I10" s="30"/>
      <c r="J10" s="32"/>
      <c r="K10" s="38"/>
      <c r="N10" s="105">
        <f t="shared" ref="N10:N38" si="4">+N9+1</f>
        <v>45294</v>
      </c>
      <c r="O10" s="106">
        <v>3.04</v>
      </c>
      <c r="P10" s="51">
        <v>65</v>
      </c>
      <c r="Q10">
        <f t="shared" si="0"/>
        <v>785.95789999999988</v>
      </c>
      <c r="R10" s="107">
        <f t="shared" si="1"/>
        <v>785957899.99999988</v>
      </c>
      <c r="S10">
        <f t="shared" si="2"/>
        <v>12091.659999999998</v>
      </c>
      <c r="T10">
        <f t="shared" si="3"/>
        <v>12091.659999999998</v>
      </c>
      <c r="U10" s="108">
        <v>36.758646399999989</v>
      </c>
    </row>
    <row r="11" spans="1:21">
      <c r="A11" s="20"/>
      <c r="B11" s="20"/>
      <c r="C11" s="39"/>
      <c r="D11" s="20"/>
      <c r="E11" s="40"/>
      <c r="F11" s="20"/>
      <c r="G11" s="26"/>
      <c r="H11" s="26"/>
      <c r="I11" s="26"/>
      <c r="N11" s="105">
        <f t="shared" si="4"/>
        <v>45295</v>
      </c>
      <c r="O11" s="106">
        <v>3.25</v>
      </c>
      <c r="P11" s="51">
        <v>65</v>
      </c>
      <c r="Q11">
        <f t="shared" si="0"/>
        <v>785.95789999999988</v>
      </c>
      <c r="R11" s="107">
        <f t="shared" si="1"/>
        <v>785957899.99999988</v>
      </c>
      <c r="S11">
        <f t="shared" si="2"/>
        <v>12091.659999999998</v>
      </c>
      <c r="T11">
        <f t="shared" si="3"/>
        <v>12091.659999999998</v>
      </c>
      <c r="U11" s="108">
        <v>39.29789499999999</v>
      </c>
    </row>
    <row r="12" spans="1:21">
      <c r="A12" s="20"/>
      <c r="B12" s="20"/>
      <c r="C12" s="25"/>
      <c r="D12" s="20"/>
      <c r="E12" s="40"/>
      <c r="F12" s="20"/>
      <c r="G12" s="26"/>
      <c r="H12" s="26"/>
      <c r="I12" s="26"/>
      <c r="K12" s="127">
        <v>29.986999999999998</v>
      </c>
      <c r="L12" t="s">
        <v>103</v>
      </c>
      <c r="N12" s="105">
        <f t="shared" si="4"/>
        <v>45296</v>
      </c>
      <c r="O12" s="106">
        <v>3.25</v>
      </c>
      <c r="P12" s="51">
        <v>65</v>
      </c>
      <c r="Q12">
        <f t="shared" si="0"/>
        <v>785.95789999999988</v>
      </c>
      <c r="R12" s="107">
        <f t="shared" si="1"/>
        <v>785957899.99999988</v>
      </c>
      <c r="S12">
        <f t="shared" si="2"/>
        <v>12091.659999999998</v>
      </c>
      <c r="T12">
        <f t="shared" si="3"/>
        <v>12091.659999999998</v>
      </c>
      <c r="U12" s="108">
        <v>39.29789499999999</v>
      </c>
    </row>
    <row r="13" spans="1:21">
      <c r="A13" s="27" t="s">
        <v>31</v>
      </c>
      <c r="B13" s="27"/>
      <c r="C13" s="28"/>
      <c r="D13" s="27"/>
      <c r="E13" s="29">
        <f>E14+E15</f>
        <v>416253.88</v>
      </c>
      <c r="F13" s="27"/>
      <c r="G13" s="30">
        <v>36070</v>
      </c>
      <c r="H13" s="30"/>
      <c r="I13" s="31">
        <v>-82630</v>
      </c>
      <c r="J13" s="32"/>
      <c r="K13" s="123">
        <f>IFERROR(E13/I13*1000,0)</f>
        <v>-5037.5635967566259</v>
      </c>
      <c r="L13" t="s">
        <v>103</v>
      </c>
      <c r="N13" s="105">
        <f t="shared" si="4"/>
        <v>45297</v>
      </c>
      <c r="O13" s="106">
        <v>3.31</v>
      </c>
      <c r="P13" s="51">
        <v>65</v>
      </c>
      <c r="Q13">
        <f t="shared" si="0"/>
        <v>785.95789999999988</v>
      </c>
      <c r="R13" s="107">
        <f t="shared" si="1"/>
        <v>785957899.99999988</v>
      </c>
      <c r="S13">
        <f t="shared" si="2"/>
        <v>12091.659999999998</v>
      </c>
      <c r="T13">
        <f t="shared" si="3"/>
        <v>12091.659999999998</v>
      </c>
      <c r="U13" s="108">
        <v>40.023394599999996</v>
      </c>
    </row>
    <row r="14" spans="1:21">
      <c r="A14" s="42" t="s">
        <v>30</v>
      </c>
      <c r="B14" s="27"/>
      <c r="C14" s="43">
        <v>0</v>
      </c>
      <c r="D14" s="27"/>
      <c r="E14" s="29">
        <v>0</v>
      </c>
      <c r="F14" s="27"/>
      <c r="G14" s="30"/>
      <c r="H14" s="30"/>
      <c r="I14" s="30"/>
      <c r="J14" s="32"/>
      <c r="K14" s="38"/>
      <c r="M14" s="44"/>
      <c r="N14" s="105">
        <f t="shared" si="4"/>
        <v>45298</v>
      </c>
      <c r="O14" s="106">
        <v>3.31</v>
      </c>
      <c r="P14" s="51">
        <v>65</v>
      </c>
      <c r="Q14">
        <f t="shared" si="0"/>
        <v>785.95789999999988</v>
      </c>
      <c r="R14" s="107">
        <f t="shared" si="1"/>
        <v>785957899.99999988</v>
      </c>
      <c r="S14">
        <f t="shared" si="2"/>
        <v>12091.659999999998</v>
      </c>
      <c r="T14">
        <f t="shared" si="3"/>
        <v>12091.659999999998</v>
      </c>
      <c r="U14" s="108">
        <v>40.023394599999996</v>
      </c>
    </row>
    <row r="15" spans="1:21">
      <c r="A15" s="42" t="s">
        <v>32</v>
      </c>
      <c r="B15" s="27"/>
      <c r="C15" s="36">
        <v>1522</v>
      </c>
      <c r="D15" s="35"/>
      <c r="E15" s="37">
        <f>454911.66-38657.78</f>
        <v>416253.88</v>
      </c>
      <c r="F15" s="27"/>
      <c r="G15" s="30"/>
      <c r="H15" s="30"/>
      <c r="I15" s="30"/>
      <c r="J15" s="32"/>
      <c r="K15" s="38"/>
      <c r="N15" s="105">
        <f t="shared" si="4"/>
        <v>45299</v>
      </c>
      <c r="O15" s="106">
        <v>3.31</v>
      </c>
      <c r="P15" s="51">
        <v>65</v>
      </c>
      <c r="Q15">
        <f t="shared" si="0"/>
        <v>785.95789999999988</v>
      </c>
      <c r="R15" s="107">
        <f t="shared" si="1"/>
        <v>785957899.99999988</v>
      </c>
      <c r="S15">
        <f t="shared" si="2"/>
        <v>12091.659999999998</v>
      </c>
      <c r="T15">
        <f t="shared" si="3"/>
        <v>12091.659999999998</v>
      </c>
      <c r="U15" s="108">
        <v>40.023394599999996</v>
      </c>
    </row>
    <row r="16" spans="1:21">
      <c r="A16" s="20"/>
      <c r="B16" s="20"/>
      <c r="C16" s="25"/>
      <c r="D16" s="20"/>
      <c r="E16" s="40"/>
      <c r="F16" s="20"/>
      <c r="G16" s="26"/>
      <c r="H16" s="26"/>
      <c r="I16" s="26"/>
      <c r="N16" s="105">
        <f t="shared" si="4"/>
        <v>45300</v>
      </c>
      <c r="O16" s="106">
        <v>3.13</v>
      </c>
      <c r="P16" s="51">
        <v>65</v>
      </c>
      <c r="Q16">
        <f t="shared" si="0"/>
        <v>785.95789999999988</v>
      </c>
      <c r="R16" s="107">
        <f t="shared" si="1"/>
        <v>785957899.99999988</v>
      </c>
      <c r="S16">
        <f t="shared" si="2"/>
        <v>12091.659999999998</v>
      </c>
      <c r="T16">
        <f t="shared" si="3"/>
        <v>12091.659999999998</v>
      </c>
      <c r="U16" s="108">
        <v>37.846895799999992</v>
      </c>
    </row>
    <row r="17" spans="1:21">
      <c r="A17" s="27" t="s">
        <v>33</v>
      </c>
      <c r="B17" s="27"/>
      <c r="C17" s="28"/>
      <c r="D17" s="27"/>
      <c r="E17" s="29">
        <f>SUM(E18:E20)</f>
        <v>6527714.0100000007</v>
      </c>
      <c r="F17" s="27"/>
      <c r="G17" s="30">
        <v>307322460</v>
      </c>
      <c r="H17" s="30"/>
      <c r="I17" s="30">
        <v>284530560</v>
      </c>
      <c r="J17" s="32"/>
      <c r="K17" s="46">
        <f>IFERROR(E17/I17*1000,0)</f>
        <v>22.942048861113552</v>
      </c>
      <c r="N17" s="105">
        <f t="shared" si="4"/>
        <v>45301</v>
      </c>
      <c r="O17" s="106">
        <v>3.44</v>
      </c>
      <c r="P17" s="51">
        <v>65</v>
      </c>
      <c r="Q17">
        <f t="shared" si="0"/>
        <v>785.95789999999988</v>
      </c>
      <c r="R17" s="107">
        <f t="shared" si="1"/>
        <v>785957899.99999988</v>
      </c>
      <c r="S17">
        <f t="shared" si="2"/>
        <v>12091.659999999998</v>
      </c>
      <c r="T17">
        <f t="shared" si="3"/>
        <v>12091.659999999998</v>
      </c>
      <c r="U17" s="108">
        <v>41.595310399999988</v>
      </c>
    </row>
    <row r="18" spans="1:21">
      <c r="A18" s="42" t="s">
        <v>29</v>
      </c>
      <c r="B18" s="27"/>
      <c r="C18" s="28">
        <v>133446.57999999999</v>
      </c>
      <c r="D18" s="27"/>
      <c r="E18" s="29">
        <v>6360155.5300000003</v>
      </c>
      <c r="F18" s="27"/>
      <c r="G18" s="30"/>
      <c r="H18" s="30"/>
      <c r="I18" s="30"/>
      <c r="J18" s="32"/>
      <c r="K18" s="38"/>
      <c r="N18" s="105">
        <f t="shared" si="4"/>
        <v>45302</v>
      </c>
      <c r="O18" s="106">
        <v>3.75</v>
      </c>
      <c r="P18" s="51">
        <v>65</v>
      </c>
      <c r="Q18">
        <f t="shared" si="0"/>
        <v>785.95789999999988</v>
      </c>
      <c r="R18" s="107">
        <f t="shared" si="1"/>
        <v>785957899.99999988</v>
      </c>
      <c r="S18">
        <f t="shared" si="2"/>
        <v>12091.659999999998</v>
      </c>
      <c r="T18">
        <f t="shared" si="3"/>
        <v>12091.659999999998</v>
      </c>
      <c r="U18" s="108">
        <v>45.343724999999992</v>
      </c>
    </row>
    <row r="19" spans="1:21">
      <c r="A19" s="42" t="s">
        <v>34</v>
      </c>
      <c r="B19" s="27"/>
      <c r="C19" s="43">
        <v>0</v>
      </c>
      <c r="D19" s="27"/>
      <c r="E19" s="29">
        <v>0</v>
      </c>
      <c r="F19" s="27"/>
      <c r="G19" s="30"/>
      <c r="H19" s="30"/>
      <c r="I19" s="30"/>
      <c r="J19" s="32"/>
      <c r="K19" s="46"/>
      <c r="N19" s="105">
        <f t="shared" si="4"/>
        <v>45303</v>
      </c>
      <c r="O19" s="106">
        <v>3.08</v>
      </c>
      <c r="P19" s="51">
        <v>65</v>
      </c>
      <c r="Q19">
        <f t="shared" si="0"/>
        <v>785.95789999999988</v>
      </c>
      <c r="R19" s="107">
        <f t="shared" si="1"/>
        <v>785957899.99999988</v>
      </c>
      <c r="S19">
        <f t="shared" si="2"/>
        <v>12091.659999999998</v>
      </c>
      <c r="T19">
        <f t="shared" si="3"/>
        <v>12091.659999999998</v>
      </c>
      <c r="U19" s="108">
        <v>37.242312800000001</v>
      </c>
    </row>
    <row r="20" spans="1:21">
      <c r="A20" s="42" t="s">
        <v>30</v>
      </c>
      <c r="B20" s="27"/>
      <c r="C20" s="28">
        <v>59830.96</v>
      </c>
      <c r="D20" s="27"/>
      <c r="E20" s="29">
        <v>167558.48000000001</v>
      </c>
      <c r="F20" s="27"/>
      <c r="G20" s="30"/>
      <c r="H20" s="30"/>
      <c r="I20" s="30"/>
      <c r="J20" s="32"/>
      <c r="K20" s="38"/>
      <c r="N20" s="105">
        <f t="shared" si="4"/>
        <v>45304</v>
      </c>
      <c r="O20" s="106">
        <v>3.8</v>
      </c>
      <c r="P20" s="51">
        <v>65</v>
      </c>
      <c r="Q20">
        <f t="shared" si="0"/>
        <v>785.95789999999988</v>
      </c>
      <c r="R20" s="107">
        <f t="shared" si="1"/>
        <v>785957899.99999988</v>
      </c>
      <c r="S20">
        <f t="shared" si="2"/>
        <v>12091.659999999998</v>
      </c>
      <c r="T20">
        <f t="shared" si="3"/>
        <v>12091.659999999998</v>
      </c>
      <c r="U20" s="108">
        <v>45.94830799999999</v>
      </c>
    </row>
    <row r="21" spans="1:21">
      <c r="A21" s="20"/>
      <c r="B21" s="20"/>
      <c r="C21" s="39"/>
      <c r="D21" s="20"/>
      <c r="E21" s="40"/>
      <c r="F21" s="20"/>
      <c r="G21" s="26"/>
      <c r="H21" s="26"/>
      <c r="I21" s="26"/>
      <c r="N21" s="105">
        <f t="shared" si="4"/>
        <v>45305</v>
      </c>
      <c r="O21" s="106">
        <v>35.950000000000003</v>
      </c>
      <c r="P21" s="51">
        <v>65</v>
      </c>
      <c r="Q21">
        <f t="shared" si="0"/>
        <v>785.95789999999988</v>
      </c>
      <c r="R21" s="107">
        <f t="shared" si="1"/>
        <v>785957899.99999988</v>
      </c>
      <c r="S21">
        <f t="shared" si="2"/>
        <v>12091.659999999998</v>
      </c>
      <c r="T21">
        <f t="shared" si="3"/>
        <v>12091.659999999998</v>
      </c>
      <c r="U21" s="108">
        <v>434.69517699999994</v>
      </c>
    </row>
    <row r="22" spans="1:21" ht="15" customHeight="1">
      <c r="A22" s="20" t="s">
        <v>35</v>
      </c>
      <c r="B22" s="20"/>
      <c r="C22" s="39"/>
      <c r="D22" s="20"/>
      <c r="E22" s="47">
        <f>SUM(E23:E24)</f>
        <v>0</v>
      </c>
      <c r="F22" s="20"/>
      <c r="G22" s="26">
        <v>0</v>
      </c>
      <c r="H22" s="26"/>
      <c r="I22" s="48">
        <v>-67184</v>
      </c>
      <c r="K22" s="49">
        <f>IFERROR(E22/I22*1000,0)</f>
        <v>0</v>
      </c>
      <c r="N22" s="105">
        <f t="shared" si="4"/>
        <v>45306</v>
      </c>
      <c r="O22" s="106">
        <v>28.88</v>
      </c>
      <c r="P22" s="51">
        <v>65</v>
      </c>
      <c r="Q22">
        <f t="shared" si="0"/>
        <v>785.95789999999988</v>
      </c>
      <c r="R22" s="107">
        <f t="shared" si="1"/>
        <v>785957899.99999988</v>
      </c>
      <c r="S22">
        <f t="shared" si="2"/>
        <v>12091.659999999998</v>
      </c>
      <c r="T22">
        <f t="shared" si="3"/>
        <v>12091.659999999998</v>
      </c>
      <c r="U22" s="108">
        <v>349.20714079999993</v>
      </c>
    </row>
    <row r="23" spans="1:21" ht="15" customHeight="1">
      <c r="A23" s="50" t="s">
        <v>29</v>
      </c>
      <c r="B23" s="20"/>
      <c r="C23" s="39">
        <v>0</v>
      </c>
      <c r="D23" s="20"/>
      <c r="E23" s="40">
        <v>0</v>
      </c>
      <c r="F23" s="20"/>
      <c r="G23" s="26"/>
      <c r="H23" s="26"/>
      <c r="I23" s="26"/>
      <c r="N23" s="105">
        <f t="shared" si="4"/>
        <v>45307</v>
      </c>
      <c r="O23" s="106">
        <v>26.41</v>
      </c>
      <c r="P23" s="51">
        <v>65</v>
      </c>
      <c r="Q23">
        <f t="shared" si="0"/>
        <v>785.95789999999988</v>
      </c>
      <c r="R23" s="107">
        <f t="shared" si="1"/>
        <v>785957899.99999988</v>
      </c>
      <c r="S23">
        <f t="shared" si="2"/>
        <v>12091.659999999998</v>
      </c>
      <c r="T23">
        <f t="shared" si="3"/>
        <v>12091.659999999998</v>
      </c>
      <c r="U23" s="108">
        <v>319.34074059999995</v>
      </c>
    </row>
    <row r="24" spans="1:21" ht="15" customHeight="1">
      <c r="A24" s="50" t="s">
        <v>30</v>
      </c>
      <c r="B24" s="20"/>
      <c r="C24" s="39">
        <v>0</v>
      </c>
      <c r="D24" s="20"/>
      <c r="E24" s="40">
        <v>0</v>
      </c>
      <c r="F24" s="20"/>
      <c r="G24" s="26"/>
      <c r="H24" s="26"/>
      <c r="I24" s="26"/>
      <c r="N24" s="105">
        <f t="shared" si="4"/>
        <v>45308</v>
      </c>
      <c r="O24" s="106">
        <v>9.11</v>
      </c>
      <c r="P24" s="51">
        <v>65</v>
      </c>
      <c r="Q24">
        <f t="shared" si="0"/>
        <v>785.95789999999988</v>
      </c>
      <c r="R24" s="107">
        <f t="shared" si="1"/>
        <v>785957899.99999988</v>
      </c>
      <c r="S24">
        <f t="shared" si="2"/>
        <v>12091.659999999998</v>
      </c>
      <c r="T24">
        <f t="shared" si="3"/>
        <v>12091.659999999998</v>
      </c>
      <c r="U24" s="109">
        <v>110.15502259999998</v>
      </c>
    </row>
    <row r="25" spans="1:21" ht="15" customHeight="1">
      <c r="A25" s="20"/>
      <c r="B25" s="20"/>
      <c r="C25" s="39"/>
      <c r="D25" s="20"/>
      <c r="E25" s="40"/>
      <c r="F25" s="20"/>
      <c r="G25" s="26"/>
      <c r="H25" s="26"/>
      <c r="I25" s="26"/>
      <c r="N25" s="105">
        <f t="shared" si="4"/>
        <v>45309</v>
      </c>
      <c r="O25" s="106">
        <v>4.0999999999999996</v>
      </c>
      <c r="P25" s="51">
        <v>65</v>
      </c>
      <c r="Q25">
        <f t="shared" si="0"/>
        <v>785.95789999999988</v>
      </c>
      <c r="R25" s="107">
        <f t="shared" si="1"/>
        <v>785957899.99999988</v>
      </c>
      <c r="S25">
        <f t="shared" si="2"/>
        <v>12091.659999999998</v>
      </c>
      <c r="T25">
        <f t="shared" si="3"/>
        <v>12091.659999999998</v>
      </c>
      <c r="U25" s="108">
        <v>49.575805999999986</v>
      </c>
    </row>
    <row r="26" spans="1:21" ht="15" customHeight="1">
      <c r="A26" s="20" t="s">
        <v>36</v>
      </c>
      <c r="B26" s="20"/>
      <c r="C26" s="39"/>
      <c r="D26" s="20"/>
      <c r="E26" s="47">
        <f>SUM(E27:E28)</f>
        <v>0</v>
      </c>
      <c r="F26" s="20"/>
      <c r="G26" s="48">
        <v>0</v>
      </c>
      <c r="H26" s="26"/>
      <c r="I26" s="48">
        <v>-67183</v>
      </c>
      <c r="K26" s="49">
        <f>IFERROR(E26/I26*1000,0)</f>
        <v>0</v>
      </c>
      <c r="N26" s="105">
        <f t="shared" si="4"/>
        <v>45310</v>
      </c>
      <c r="O26" s="106">
        <v>3.61</v>
      </c>
      <c r="P26" s="51">
        <v>65</v>
      </c>
      <c r="Q26">
        <f t="shared" si="0"/>
        <v>785.95789999999988</v>
      </c>
      <c r="R26" s="107">
        <f t="shared" si="1"/>
        <v>785957899.99999988</v>
      </c>
      <c r="S26">
        <f t="shared" si="2"/>
        <v>12091.659999999998</v>
      </c>
      <c r="T26">
        <f t="shared" si="3"/>
        <v>12091.659999999998</v>
      </c>
      <c r="U26" s="108">
        <v>43.650892599999992</v>
      </c>
    </row>
    <row r="27" spans="1:21" ht="15" customHeight="1">
      <c r="A27" s="50" t="s">
        <v>29</v>
      </c>
      <c r="B27" s="20"/>
      <c r="C27" s="39">
        <v>0</v>
      </c>
      <c r="D27" s="20"/>
      <c r="E27" s="40">
        <v>0</v>
      </c>
      <c r="F27" s="20"/>
      <c r="G27" s="26"/>
      <c r="H27" s="26"/>
      <c r="I27" s="26"/>
      <c r="M27" s="51"/>
      <c r="N27" s="105">
        <f t="shared" si="4"/>
        <v>45311</v>
      </c>
      <c r="O27" s="106">
        <v>3.66</v>
      </c>
      <c r="P27" s="51">
        <v>65</v>
      </c>
      <c r="Q27">
        <f t="shared" si="0"/>
        <v>785.95789999999988</v>
      </c>
      <c r="R27" s="107">
        <f t="shared" si="1"/>
        <v>785957899.99999988</v>
      </c>
      <c r="S27">
        <f t="shared" si="2"/>
        <v>12091.659999999998</v>
      </c>
      <c r="T27">
        <f t="shared" si="3"/>
        <v>12091.659999999998</v>
      </c>
      <c r="U27" s="108">
        <v>44.255475599999997</v>
      </c>
    </row>
    <row r="28" spans="1:21" ht="15" customHeight="1">
      <c r="A28" s="50" t="s">
        <v>30</v>
      </c>
      <c r="B28" s="20"/>
      <c r="C28" s="39">
        <v>0</v>
      </c>
      <c r="D28" s="20"/>
      <c r="E28" s="40">
        <v>0</v>
      </c>
      <c r="F28" s="20"/>
      <c r="G28" s="26"/>
      <c r="H28" s="26"/>
      <c r="I28" s="26"/>
      <c r="N28" s="105">
        <f t="shared" si="4"/>
        <v>45312</v>
      </c>
      <c r="O28" s="106">
        <v>3.66</v>
      </c>
      <c r="P28" s="51">
        <v>65</v>
      </c>
      <c r="Q28">
        <f t="shared" si="0"/>
        <v>785.95789999999988</v>
      </c>
      <c r="R28" s="107">
        <f t="shared" si="1"/>
        <v>785957899.99999988</v>
      </c>
      <c r="S28">
        <f t="shared" si="2"/>
        <v>12091.659999999998</v>
      </c>
      <c r="T28">
        <f t="shared" si="3"/>
        <v>12091.659999999998</v>
      </c>
      <c r="U28" s="108">
        <v>44.255475599999997</v>
      </c>
    </row>
    <row r="29" spans="1:21" ht="15" customHeight="1">
      <c r="A29" s="20"/>
      <c r="B29" s="20"/>
      <c r="C29" s="25"/>
      <c r="D29" s="20"/>
      <c r="E29" s="40"/>
      <c r="F29" s="20"/>
      <c r="G29" s="26"/>
      <c r="H29" s="26"/>
      <c r="I29" s="26"/>
      <c r="N29" s="105">
        <f t="shared" si="4"/>
        <v>45313</v>
      </c>
      <c r="O29" s="106">
        <v>3.66</v>
      </c>
      <c r="P29" s="51">
        <v>65</v>
      </c>
      <c r="Q29">
        <f t="shared" si="0"/>
        <v>785.95789999999988</v>
      </c>
      <c r="R29" s="107">
        <f t="shared" si="1"/>
        <v>785957899.99999988</v>
      </c>
      <c r="S29">
        <f t="shared" si="2"/>
        <v>12091.659999999998</v>
      </c>
      <c r="T29">
        <f t="shared" si="3"/>
        <v>12091.659999999998</v>
      </c>
      <c r="U29" s="108">
        <v>44.255475599999997</v>
      </c>
    </row>
    <row r="30" spans="1:21">
      <c r="A30" s="27" t="s">
        <v>37</v>
      </c>
      <c r="B30" s="27"/>
      <c r="C30" s="28"/>
      <c r="D30" s="27"/>
      <c r="E30" s="29">
        <f>SUM(E31:E32)</f>
        <v>0</v>
      </c>
      <c r="F30" s="27"/>
      <c r="G30" s="30">
        <f>SUM(G22:G27)</f>
        <v>0</v>
      </c>
      <c r="H30" s="30"/>
      <c r="I30" s="31">
        <f>SUM(I22:I27)</f>
        <v>-134367</v>
      </c>
      <c r="J30" s="32"/>
      <c r="K30" s="46">
        <f>IFERROR(E30/I30*1000,0)</f>
        <v>0</v>
      </c>
      <c r="N30" s="105">
        <f t="shared" si="4"/>
        <v>45314</v>
      </c>
      <c r="O30" s="106">
        <v>3.18</v>
      </c>
      <c r="P30" s="51">
        <v>65</v>
      </c>
      <c r="Q30">
        <f t="shared" si="0"/>
        <v>785.95789999999988</v>
      </c>
      <c r="R30" s="107">
        <f t="shared" si="1"/>
        <v>785957899.99999988</v>
      </c>
      <c r="S30">
        <f t="shared" si="2"/>
        <v>12091.659999999998</v>
      </c>
      <c r="T30">
        <f t="shared" si="3"/>
        <v>12091.659999999998</v>
      </c>
      <c r="U30" s="108">
        <v>38.451478799999997</v>
      </c>
    </row>
    <row r="31" spans="1:21">
      <c r="A31" s="42" t="s">
        <v>29</v>
      </c>
      <c r="B31" s="27"/>
      <c r="C31" s="43">
        <f>C23+C27</f>
        <v>0</v>
      </c>
      <c r="D31" s="27"/>
      <c r="E31" s="29">
        <f>E23+E27</f>
        <v>0</v>
      </c>
      <c r="F31" s="27"/>
      <c r="G31" s="30"/>
      <c r="H31" s="30"/>
      <c r="I31" s="30"/>
      <c r="J31" s="32"/>
      <c r="K31" s="38"/>
      <c r="N31" s="105">
        <f t="shared" si="4"/>
        <v>45315</v>
      </c>
      <c r="O31" s="106">
        <v>3.2</v>
      </c>
      <c r="P31" s="51">
        <v>65</v>
      </c>
      <c r="Q31">
        <f t="shared" si="0"/>
        <v>785.95789999999988</v>
      </c>
      <c r="R31" s="107">
        <f t="shared" si="1"/>
        <v>785957899.99999988</v>
      </c>
      <c r="S31">
        <f t="shared" si="2"/>
        <v>12091.659999999998</v>
      </c>
      <c r="T31">
        <f t="shared" si="3"/>
        <v>12091.659999999998</v>
      </c>
      <c r="U31" s="108">
        <v>38.693311999999992</v>
      </c>
    </row>
    <row r="32" spans="1:21">
      <c r="A32" s="42" t="s">
        <v>30</v>
      </c>
      <c r="B32" s="27"/>
      <c r="C32" s="43">
        <f>C24+C28</f>
        <v>0</v>
      </c>
      <c r="D32" s="27"/>
      <c r="E32" s="29">
        <f>E24+E28</f>
        <v>0</v>
      </c>
      <c r="F32" s="27"/>
      <c r="G32" s="30"/>
      <c r="H32" s="30"/>
      <c r="I32" s="30"/>
      <c r="J32" s="32"/>
      <c r="K32" s="38"/>
      <c r="N32" s="105">
        <f t="shared" si="4"/>
        <v>45316</v>
      </c>
      <c r="O32" s="106">
        <v>2.87</v>
      </c>
      <c r="P32" s="51">
        <v>65</v>
      </c>
      <c r="Q32">
        <f t="shared" si="0"/>
        <v>785.95789999999988</v>
      </c>
      <c r="R32" s="107">
        <f t="shared" si="1"/>
        <v>785957899.99999988</v>
      </c>
      <c r="S32">
        <f t="shared" si="2"/>
        <v>12091.659999999998</v>
      </c>
      <c r="T32">
        <f t="shared" si="3"/>
        <v>12091.659999999998</v>
      </c>
      <c r="U32" s="108">
        <v>34.703064199999993</v>
      </c>
    </row>
    <row r="33" spans="1:21">
      <c r="A33" s="20"/>
      <c r="B33" s="20"/>
      <c r="C33" s="25"/>
      <c r="D33" s="20"/>
      <c r="E33" s="40"/>
      <c r="F33" s="20"/>
      <c r="G33" s="26"/>
      <c r="H33" s="26"/>
      <c r="I33" s="26"/>
      <c r="N33" s="105">
        <f t="shared" si="4"/>
        <v>45317</v>
      </c>
      <c r="O33" s="106">
        <v>3.25</v>
      </c>
      <c r="P33" s="51">
        <v>65</v>
      </c>
      <c r="Q33">
        <f t="shared" si="0"/>
        <v>785.95789999999988</v>
      </c>
      <c r="R33" s="107">
        <f t="shared" si="1"/>
        <v>785957899.99999988</v>
      </c>
      <c r="S33">
        <f t="shared" si="2"/>
        <v>12091.659999999998</v>
      </c>
      <c r="T33">
        <f t="shared" si="3"/>
        <v>12091.659999999998</v>
      </c>
      <c r="U33" s="108">
        <v>39.29789499999999</v>
      </c>
    </row>
    <row r="34" spans="1:21">
      <c r="A34" s="12" t="s">
        <v>38</v>
      </c>
      <c r="C34" s="39"/>
      <c r="D34" s="20"/>
      <c r="E34" s="47">
        <f>SUM(E35:E37)</f>
        <v>0</v>
      </c>
      <c r="G34" s="26">
        <v>0</v>
      </c>
      <c r="I34" s="26">
        <v>-1522567</v>
      </c>
      <c r="K34" s="49">
        <f>E34/I34*1000</f>
        <v>0</v>
      </c>
      <c r="N34" s="105">
        <f t="shared" si="4"/>
        <v>45318</v>
      </c>
      <c r="O34" s="106">
        <v>3.08</v>
      </c>
      <c r="P34" s="51">
        <v>65</v>
      </c>
      <c r="Q34">
        <f t="shared" si="0"/>
        <v>785.95789999999988</v>
      </c>
      <c r="R34" s="107">
        <f t="shared" si="1"/>
        <v>785957899.99999988</v>
      </c>
      <c r="S34">
        <f t="shared" si="2"/>
        <v>12091.659999999998</v>
      </c>
      <c r="T34">
        <f t="shared" si="3"/>
        <v>12091.659999999998</v>
      </c>
      <c r="U34" s="108">
        <v>37.242312800000001</v>
      </c>
    </row>
    <row r="35" spans="1:21">
      <c r="A35" s="50" t="s">
        <v>29</v>
      </c>
      <c r="C35" s="39">
        <v>0</v>
      </c>
      <c r="D35" s="20"/>
      <c r="E35" s="40">
        <v>0</v>
      </c>
      <c r="N35" s="105">
        <f t="shared" si="4"/>
        <v>45319</v>
      </c>
      <c r="O35" s="106">
        <v>2.69</v>
      </c>
      <c r="P35" s="51">
        <v>65</v>
      </c>
      <c r="Q35">
        <f t="shared" si="0"/>
        <v>785.95789999999988</v>
      </c>
      <c r="R35" s="107">
        <f t="shared" si="1"/>
        <v>785957899.99999988</v>
      </c>
      <c r="S35">
        <f t="shared" si="2"/>
        <v>12091.659999999998</v>
      </c>
      <c r="T35">
        <f t="shared" si="3"/>
        <v>12091.659999999998</v>
      </c>
      <c r="U35" s="108">
        <v>32.526565399999996</v>
      </c>
    </row>
    <row r="36" spans="1:21">
      <c r="A36" s="50" t="s">
        <v>34</v>
      </c>
      <c r="C36" s="39">
        <v>0</v>
      </c>
      <c r="D36" s="20"/>
      <c r="E36" s="40">
        <v>0</v>
      </c>
      <c r="M36" s="53"/>
      <c r="N36" s="105">
        <f t="shared" si="4"/>
        <v>45320</v>
      </c>
      <c r="O36" s="106">
        <v>2.69</v>
      </c>
      <c r="P36" s="51">
        <v>65</v>
      </c>
      <c r="Q36">
        <f t="shared" si="0"/>
        <v>785.95789999999988</v>
      </c>
      <c r="R36" s="107">
        <f t="shared" si="1"/>
        <v>785957899.99999988</v>
      </c>
      <c r="S36">
        <f t="shared" si="2"/>
        <v>12091.659999999998</v>
      </c>
      <c r="T36">
        <f t="shared" si="3"/>
        <v>12091.659999999998</v>
      </c>
      <c r="U36" s="108">
        <v>32.526565399999996</v>
      </c>
    </row>
    <row r="37" spans="1:21">
      <c r="A37" s="50" t="s">
        <v>32</v>
      </c>
      <c r="C37" s="39">
        <v>0</v>
      </c>
      <c r="D37" s="20"/>
      <c r="E37" s="40">
        <v>0</v>
      </c>
      <c r="N37" s="105">
        <f t="shared" si="4"/>
        <v>45321</v>
      </c>
      <c r="O37" s="106">
        <v>2.69</v>
      </c>
      <c r="P37" s="51">
        <v>65</v>
      </c>
      <c r="Q37">
        <f t="shared" si="0"/>
        <v>785.95789999999988</v>
      </c>
      <c r="R37" s="107">
        <f t="shared" si="1"/>
        <v>785957899.99999988</v>
      </c>
      <c r="S37">
        <f t="shared" si="2"/>
        <v>12091.659999999998</v>
      </c>
      <c r="T37">
        <f t="shared" si="3"/>
        <v>12091.659999999998</v>
      </c>
      <c r="U37" s="108">
        <v>32.526565399999996</v>
      </c>
    </row>
    <row r="38" spans="1:21">
      <c r="C38" s="39"/>
      <c r="D38" s="20"/>
      <c r="E38" s="40"/>
      <c r="N38" s="110">
        <f t="shared" si="4"/>
        <v>45322</v>
      </c>
      <c r="O38" s="111">
        <v>2.48</v>
      </c>
      <c r="P38" s="112">
        <v>65</v>
      </c>
      <c r="Q38" s="113">
        <f t="shared" si="0"/>
        <v>785.95789999999988</v>
      </c>
      <c r="R38" s="114">
        <f t="shared" si="1"/>
        <v>785957899.99999988</v>
      </c>
      <c r="S38" s="113">
        <f t="shared" si="2"/>
        <v>12091.659999999998</v>
      </c>
      <c r="T38" s="113">
        <f t="shared" si="3"/>
        <v>12091.659999999998</v>
      </c>
      <c r="U38" s="115">
        <v>29.987316799999999</v>
      </c>
    </row>
    <row r="39" spans="1:21" ht="15" thickBot="1">
      <c r="A39" s="12" t="s">
        <v>39</v>
      </c>
      <c r="C39" s="39"/>
      <c r="D39" s="20"/>
      <c r="E39" s="47">
        <f>SUM(E40:E42)</f>
        <v>0</v>
      </c>
      <c r="G39" s="26">
        <v>0</v>
      </c>
      <c r="I39" s="26">
        <v>-1519415</v>
      </c>
      <c r="K39" s="49">
        <f>IFERROR(E39/I39*1000,0)</f>
        <v>0</v>
      </c>
      <c r="N39" s="116" t="s">
        <v>98</v>
      </c>
      <c r="O39" s="116">
        <f>SUM(O8:O38)/30</f>
        <v>6.2813333333333334</v>
      </c>
      <c r="P39" s="117">
        <v>65</v>
      </c>
      <c r="Q39" s="118">
        <f t="shared" si="0"/>
        <v>785.95789999999988</v>
      </c>
      <c r="R39" s="119">
        <f t="shared" si="1"/>
        <v>785957899.99999988</v>
      </c>
      <c r="S39" s="117">
        <f t="shared" si="2"/>
        <v>12091.659999999998</v>
      </c>
      <c r="T39" s="117">
        <f t="shared" si="3"/>
        <v>12091.659999999998</v>
      </c>
      <c r="U39" s="120">
        <v>75.951747013333318</v>
      </c>
    </row>
    <row r="40" spans="1:21" ht="15" thickTop="1">
      <c r="A40" s="50" t="s">
        <v>29</v>
      </c>
      <c r="C40" s="39">
        <v>0</v>
      </c>
      <c r="D40" s="20"/>
      <c r="E40" s="40">
        <v>0</v>
      </c>
    </row>
    <row r="41" spans="1:21">
      <c r="A41" s="50" t="s">
        <v>34</v>
      </c>
      <c r="C41" s="39">
        <v>0</v>
      </c>
      <c r="D41" s="20"/>
      <c r="E41" s="40">
        <v>0</v>
      </c>
      <c r="I41" s="14"/>
    </row>
    <row r="42" spans="1:21">
      <c r="A42" s="50" t="s">
        <v>32</v>
      </c>
      <c r="C42" s="39">
        <v>0</v>
      </c>
      <c r="D42" s="20"/>
      <c r="E42" s="40">
        <v>0</v>
      </c>
      <c r="N42" s="64" t="s">
        <v>99</v>
      </c>
      <c r="O42" s="64"/>
      <c r="T42" s="121">
        <f>U39</f>
        <v>75.951747013333318</v>
      </c>
      <c r="U42" t="s">
        <v>100</v>
      </c>
    </row>
    <row r="43" spans="1:21">
      <c r="E43" s="55"/>
      <c r="N43" s="64" t="s">
        <v>101</v>
      </c>
      <c r="O43" s="64"/>
      <c r="T43" s="122">
        <f>U38</f>
        <v>29.987316799999999</v>
      </c>
      <c r="U43" t="s">
        <v>100</v>
      </c>
    </row>
    <row r="44" spans="1:21">
      <c r="A44" s="32" t="s">
        <v>40</v>
      </c>
      <c r="B44" s="32"/>
      <c r="C44" s="38"/>
      <c r="D44" s="32"/>
      <c r="E44" s="56">
        <f>SUM(E45:E47)</f>
        <v>0</v>
      </c>
      <c r="F44" s="32"/>
      <c r="G44" s="57">
        <f>SUM(G34:G41)</f>
        <v>0</v>
      </c>
      <c r="H44" s="57"/>
      <c r="I44" s="57">
        <f>SUM(I34:I41)</f>
        <v>-3041982</v>
      </c>
      <c r="J44" s="32"/>
      <c r="K44" s="46">
        <f>E44/I44*1000</f>
        <v>0</v>
      </c>
      <c r="L44" s="58"/>
    </row>
    <row r="45" spans="1:21">
      <c r="A45" s="42" t="s">
        <v>29</v>
      </c>
      <c r="B45" s="32"/>
      <c r="C45" s="38">
        <f>C35+C40</f>
        <v>0</v>
      </c>
      <c r="D45" s="32"/>
      <c r="E45" s="56">
        <f>E35+E40</f>
        <v>0</v>
      </c>
      <c r="F45" s="32"/>
      <c r="G45" s="38"/>
      <c r="H45" s="57"/>
      <c r="I45" s="57"/>
      <c r="J45" s="32"/>
      <c r="K45" s="38"/>
      <c r="L45" s="58"/>
    </row>
    <row r="46" spans="1:21">
      <c r="A46" s="42" t="s">
        <v>34</v>
      </c>
      <c r="B46" s="32"/>
      <c r="C46" s="59">
        <f>C36+C41</f>
        <v>0</v>
      </c>
      <c r="D46" s="32"/>
      <c r="E46" s="56">
        <f>E36+E41</f>
        <v>0</v>
      </c>
      <c r="F46" s="32"/>
      <c r="G46" s="57"/>
      <c r="H46" s="57"/>
      <c r="I46" s="57"/>
      <c r="J46" s="32"/>
      <c r="K46" s="38"/>
      <c r="L46" s="58"/>
    </row>
    <row r="47" spans="1:21">
      <c r="A47" s="42" t="s">
        <v>32</v>
      </c>
      <c r="B47" s="32"/>
      <c r="C47" s="38">
        <f>C37+C42</f>
        <v>0</v>
      </c>
      <c r="D47" s="32"/>
      <c r="E47" s="56">
        <f>E37+E42</f>
        <v>0</v>
      </c>
      <c r="F47" s="32"/>
      <c r="G47" s="57"/>
      <c r="H47" s="57"/>
      <c r="I47" s="57"/>
      <c r="J47" s="32"/>
      <c r="K47" s="38"/>
      <c r="L47" s="58"/>
    </row>
    <row r="48" spans="1:21">
      <c r="E48" s="55"/>
    </row>
    <row r="49" spans="1:14">
      <c r="A49" s="60" t="s">
        <v>41</v>
      </c>
      <c r="E49" s="61">
        <f>E8+E13+E17+E30+E44</f>
        <v>6943967.8900000006</v>
      </c>
      <c r="F49" s="60"/>
      <c r="G49" s="62">
        <f>G8+G13+G17+G30+G44</f>
        <v>307358530</v>
      </c>
      <c r="H49" s="62"/>
      <c r="I49" s="62">
        <f>I8+I13+I17+I30+I44</f>
        <v>281271581</v>
      </c>
      <c r="J49" s="60"/>
      <c r="K49" s="63">
        <f>E49/I49*1000</f>
        <v>24.687769256005996</v>
      </c>
      <c r="L49" s="64"/>
    </row>
    <row r="51" spans="1:14">
      <c r="E51" s="135" t="s">
        <v>42</v>
      </c>
      <c r="F51" s="135"/>
      <c r="G51" s="135"/>
      <c r="I51" s="62">
        <v>14541116</v>
      </c>
    </row>
    <row r="52" spans="1:14">
      <c r="E52" s="135" t="s">
        <v>43</v>
      </c>
      <c r="F52" s="135"/>
      <c r="G52" s="135"/>
      <c r="I52" s="65">
        <f>I49-I51</f>
        <v>266730465</v>
      </c>
      <c r="K52" s="63">
        <f>E49/I52*1000</f>
        <v>26.033651199160921</v>
      </c>
    </row>
    <row r="53" spans="1:14">
      <c r="C53" s="136" t="s">
        <v>44</v>
      </c>
      <c r="D53" s="136"/>
      <c r="E53" s="136"/>
      <c r="F53" s="136"/>
      <c r="G53" s="136"/>
      <c r="I53" s="15">
        <f>+I8+I30</f>
        <v>-134367</v>
      </c>
      <c r="K53" s="63"/>
    </row>
    <row r="54" spans="1:14" ht="15" thickBot="1">
      <c r="C54" s="132" t="s">
        <v>45</v>
      </c>
      <c r="D54" s="132"/>
      <c r="E54" s="132"/>
      <c r="F54" s="132"/>
      <c r="G54" s="132"/>
      <c r="I54" s="66">
        <f>I52+-I53</f>
        <v>266864832</v>
      </c>
      <c r="K54" s="67">
        <f>E49/I54*1000</f>
        <v>26.020543201436151</v>
      </c>
    </row>
    <row r="55" spans="1:14" ht="15" thickTop="1">
      <c r="G55" s="62"/>
      <c r="I55" s="62"/>
      <c r="K55" s="63"/>
      <c r="M55" s="68"/>
    </row>
    <row r="56" spans="1:14">
      <c r="C56" s="12"/>
      <c r="I56" s="69" t="s">
        <v>46</v>
      </c>
    </row>
    <row r="57" spans="1:14">
      <c r="C57" s="12" t="s">
        <v>29</v>
      </c>
      <c r="E57" s="70">
        <f>IFERROR(E9+E18+E31+E45,0)</f>
        <v>6360155.5300000003</v>
      </c>
      <c r="G57" s="71"/>
      <c r="N57" s="44"/>
    </row>
    <row r="58" spans="1:14">
      <c r="C58" s="12" t="s">
        <v>47</v>
      </c>
      <c r="E58" s="70">
        <f>E19+E46</f>
        <v>0</v>
      </c>
      <c r="N58" s="45"/>
    </row>
    <row r="59" spans="1:14">
      <c r="C59" s="12" t="s">
        <v>30</v>
      </c>
      <c r="E59" s="70">
        <f>IFERROR(E10+E14+E20+E32,0)</f>
        <v>167558.48000000001</v>
      </c>
      <c r="G59" s="14"/>
    </row>
    <row r="60" spans="1:14">
      <c r="C60" s="12" t="s">
        <v>32</v>
      </c>
      <c r="E60" s="55">
        <f>E15+E47</f>
        <v>416253.88</v>
      </c>
      <c r="G60" s="14"/>
      <c r="K60" s="49"/>
    </row>
    <row r="61" spans="1:14" ht="15" thickBot="1">
      <c r="B61" s="14"/>
      <c r="C61" s="12"/>
      <c r="E61" s="72">
        <f>SUM(E57:E60)</f>
        <v>6943967.8900000006</v>
      </c>
    </row>
    <row r="62" spans="1:14" ht="15" thickTop="1"/>
    <row r="63" spans="1:14">
      <c r="A63" s="125" t="s">
        <v>104</v>
      </c>
      <c r="J63"/>
      <c r="K63"/>
    </row>
    <row r="64" spans="1:14">
      <c r="A64" s="126" t="s">
        <v>102</v>
      </c>
    </row>
    <row r="70" spans="14:21">
      <c r="N70" s="45"/>
    </row>
    <row r="71" spans="14:21">
      <c r="T71" s="52"/>
      <c r="U71" s="52"/>
    </row>
    <row r="72" spans="14:21">
      <c r="T72" s="52"/>
      <c r="U72" s="52"/>
    </row>
    <row r="80" spans="14:21">
      <c r="N80" s="52"/>
    </row>
    <row r="81" spans="14:14">
      <c r="N81" s="54"/>
    </row>
    <row r="82" spans="14:14">
      <c r="N82" s="26"/>
    </row>
  </sheetData>
  <mergeCells count="7">
    <mergeCell ref="C54:G54"/>
    <mergeCell ref="A2:K2"/>
    <mergeCell ref="A3:K3"/>
    <mergeCell ref="E4:G4"/>
    <mergeCell ref="E51:G51"/>
    <mergeCell ref="E52:G52"/>
    <mergeCell ref="C53:G5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90825-08D1-46C5-A814-5ECF1FC5368F}">
  <dimension ref="A1:V63"/>
  <sheetViews>
    <sheetView workbookViewId="0">
      <selection activeCell="K13" sqref="K13"/>
    </sheetView>
  </sheetViews>
  <sheetFormatPr defaultRowHeight="14.25"/>
  <cols>
    <col min="1" max="1" width="16.125" style="12" customWidth="1"/>
    <col min="2" max="2" width="3.875" style="12" customWidth="1"/>
    <col min="3" max="3" width="14.375" style="14" customWidth="1"/>
    <col min="4" max="4" width="1.625" style="12" customWidth="1"/>
    <col min="5" max="5" width="16.625" style="14" customWidth="1"/>
    <col min="6" max="6" width="1.625" style="12" customWidth="1"/>
    <col min="7" max="7" width="16.75" style="15" customWidth="1"/>
    <col min="8" max="8" width="1.625" style="15" customWidth="1"/>
    <col min="9" max="9" width="13.25" style="15" customWidth="1"/>
    <col min="10" max="10" width="1.625" style="12" customWidth="1"/>
    <col min="11" max="11" width="13.625" style="14" customWidth="1"/>
    <col min="12" max="12" width="4" customWidth="1"/>
    <col min="13" max="13" width="10.625" bestFit="1" customWidth="1"/>
    <col min="14" max="14" width="12.25" bestFit="1" customWidth="1"/>
    <col min="20" max="20" width="9.75" bestFit="1" customWidth="1"/>
  </cols>
  <sheetData>
    <row r="1" spans="1:14">
      <c r="A1" s="12" t="s">
        <v>18</v>
      </c>
      <c r="B1" s="13"/>
      <c r="I1" s="16"/>
    </row>
    <row r="2" spans="1:14">
      <c r="A2" s="133" t="s">
        <v>19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4">
      <c r="A3" s="133" t="s">
        <v>20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4">
      <c r="C4" s="18" t="s">
        <v>21</v>
      </c>
      <c r="E4" s="134">
        <v>45351</v>
      </c>
      <c r="F4" s="134"/>
      <c r="G4" s="134"/>
    </row>
    <row r="5" spans="1:14">
      <c r="E5" s="14" t="s">
        <v>22</v>
      </c>
      <c r="I5" s="19" t="b">
        <v>1</v>
      </c>
    </row>
    <row r="6" spans="1:14">
      <c r="A6" s="20"/>
      <c r="B6" s="20"/>
      <c r="C6" s="21" t="s">
        <v>23</v>
      </c>
      <c r="D6" s="22"/>
      <c r="E6" s="21" t="s">
        <v>24</v>
      </c>
      <c r="F6" s="22"/>
      <c r="G6" s="23" t="s">
        <v>25</v>
      </c>
      <c r="H6" s="19"/>
      <c r="I6" s="23" t="s">
        <v>26</v>
      </c>
      <c r="J6" s="17"/>
      <c r="K6" s="24" t="s">
        <v>27</v>
      </c>
    </row>
    <row r="7" spans="1:14">
      <c r="A7" s="20"/>
      <c r="B7" s="20"/>
      <c r="C7" s="25"/>
      <c r="D7" s="20"/>
      <c r="E7" s="25"/>
      <c r="F7" s="20"/>
      <c r="G7" s="26"/>
      <c r="H7" s="26"/>
      <c r="I7" s="26"/>
    </row>
    <row r="8" spans="1:14">
      <c r="A8" s="27" t="s">
        <v>28</v>
      </c>
      <c r="B8" s="27"/>
      <c r="C8" s="28"/>
      <c r="D8" s="27"/>
      <c r="E8" s="29">
        <f>SUM(E9:E11)</f>
        <v>0</v>
      </c>
      <c r="F8" s="27"/>
      <c r="G8" s="30">
        <v>0</v>
      </c>
      <c r="H8" s="30"/>
      <c r="I8" s="31">
        <v>0</v>
      </c>
      <c r="J8" s="32"/>
      <c r="K8" s="33">
        <f>IFERROR(E8/I8*1000,0)</f>
        <v>0</v>
      </c>
    </row>
    <row r="9" spans="1:14">
      <c r="A9" s="34" t="s">
        <v>29</v>
      </c>
      <c r="B9" s="35"/>
      <c r="C9" s="36">
        <v>0</v>
      </c>
      <c r="D9" s="35"/>
      <c r="E9" s="37">
        <v>0</v>
      </c>
      <c r="F9" s="27"/>
      <c r="G9" s="30"/>
      <c r="H9" s="30"/>
      <c r="J9" s="32"/>
      <c r="K9" s="38"/>
    </row>
    <row r="10" spans="1:14">
      <c r="A10" s="34" t="s">
        <v>30</v>
      </c>
      <c r="B10" s="35"/>
      <c r="C10" s="36">
        <v>0</v>
      </c>
      <c r="D10" s="35"/>
      <c r="E10" s="37">
        <v>0</v>
      </c>
      <c r="F10" s="27"/>
      <c r="G10" s="30"/>
      <c r="H10" s="30"/>
      <c r="I10" s="30"/>
      <c r="J10" s="32"/>
      <c r="K10" s="38"/>
    </row>
    <row r="11" spans="1:14">
      <c r="A11" s="20"/>
      <c r="B11" s="20"/>
      <c r="C11" s="39"/>
      <c r="D11" s="20"/>
      <c r="E11" s="40"/>
      <c r="F11" s="20"/>
      <c r="G11" s="26"/>
      <c r="H11" s="26"/>
      <c r="I11" s="26"/>
    </row>
    <row r="12" spans="1:14">
      <c r="A12" s="20"/>
      <c r="B12" s="20"/>
      <c r="C12" s="25"/>
      <c r="D12" s="20"/>
      <c r="E12" s="40"/>
      <c r="F12" s="20"/>
      <c r="G12" s="26"/>
      <c r="H12" s="26"/>
      <c r="I12" s="26"/>
    </row>
    <row r="13" spans="1:14">
      <c r="A13" s="27" t="s">
        <v>31</v>
      </c>
      <c r="B13" s="27"/>
      <c r="C13" s="28"/>
      <c r="D13" s="27"/>
      <c r="E13" s="29">
        <f>E14+E15</f>
        <v>20016.57</v>
      </c>
      <c r="F13" s="27"/>
      <c r="G13" s="30">
        <v>548680</v>
      </c>
      <c r="H13" s="30"/>
      <c r="I13" s="31">
        <v>446680</v>
      </c>
      <c r="J13" s="32"/>
      <c r="K13" s="123">
        <f>IFERROR(E13/I13*1000,0)</f>
        <v>44.811878749888059</v>
      </c>
    </row>
    <row r="14" spans="1:14">
      <c r="A14" s="42" t="s">
        <v>30</v>
      </c>
      <c r="B14" s="27"/>
      <c r="C14" s="43">
        <v>0</v>
      </c>
      <c r="D14" s="27"/>
      <c r="E14" s="29">
        <v>0</v>
      </c>
      <c r="F14" s="27"/>
      <c r="G14" s="30"/>
      <c r="H14" s="30"/>
      <c r="I14" s="30"/>
      <c r="J14" s="32"/>
      <c r="K14" s="38"/>
      <c r="M14" s="44"/>
      <c r="N14" s="44"/>
    </row>
    <row r="15" spans="1:14">
      <c r="A15" s="42" t="s">
        <v>32</v>
      </c>
      <c r="B15" s="27"/>
      <c r="C15" s="36">
        <v>8421</v>
      </c>
      <c r="D15" s="35"/>
      <c r="E15" s="37">
        <v>20016.57</v>
      </c>
      <c r="F15" s="27"/>
      <c r="G15" s="30"/>
      <c r="H15" s="30"/>
      <c r="I15" s="30"/>
      <c r="J15" s="32"/>
      <c r="K15" s="38"/>
      <c r="N15" s="45"/>
    </row>
    <row r="16" spans="1:14">
      <c r="A16" s="20"/>
      <c r="B16" s="20"/>
      <c r="C16" s="25"/>
      <c r="D16" s="20"/>
      <c r="E16" s="40"/>
      <c r="F16" s="20"/>
      <c r="G16" s="26"/>
      <c r="H16" s="26"/>
      <c r="I16" s="26"/>
    </row>
    <row r="17" spans="1:21">
      <c r="A17" s="27" t="s">
        <v>33</v>
      </c>
      <c r="B17" s="27"/>
      <c r="C17" s="28"/>
      <c r="D17" s="27"/>
      <c r="E17" s="29">
        <f>SUM(E18:E20)</f>
        <v>5195560.25</v>
      </c>
      <c r="F17" s="27"/>
      <c r="G17" s="30">
        <v>236573810</v>
      </c>
      <c r="H17" s="30"/>
      <c r="I17" s="30">
        <v>217803730</v>
      </c>
      <c r="J17" s="32"/>
      <c r="K17" s="46">
        <f>IFERROR(E17/I17*1000,0)</f>
        <v>23.854321732690252</v>
      </c>
    </row>
    <row r="18" spans="1:21">
      <c r="A18" s="42" t="s">
        <v>29</v>
      </c>
      <c r="B18" s="27"/>
      <c r="C18" s="28">
        <v>103835.74</v>
      </c>
      <c r="D18" s="27"/>
      <c r="E18" s="29">
        <v>4984689.67</v>
      </c>
      <c r="F18" s="27"/>
      <c r="G18" s="30"/>
      <c r="H18" s="30"/>
      <c r="I18" s="30"/>
      <c r="J18" s="32"/>
      <c r="K18" s="38"/>
    </row>
    <row r="19" spans="1:21">
      <c r="A19" s="42" t="s">
        <v>34</v>
      </c>
      <c r="B19" s="27"/>
      <c r="C19" s="43">
        <v>0</v>
      </c>
      <c r="D19" s="27"/>
      <c r="E19" s="29">
        <v>0</v>
      </c>
      <c r="F19" s="27"/>
      <c r="G19" s="30"/>
      <c r="H19" s="30"/>
      <c r="I19" s="30"/>
      <c r="J19" s="32"/>
      <c r="K19" s="46"/>
    </row>
    <row r="20" spans="1:21">
      <c r="A20" s="42" t="s">
        <v>30</v>
      </c>
      <c r="B20" s="27"/>
      <c r="C20" s="28">
        <v>73953.88</v>
      </c>
      <c r="D20" s="27"/>
      <c r="E20" s="29">
        <v>210870.58</v>
      </c>
      <c r="F20" s="27"/>
      <c r="G20" s="30"/>
      <c r="H20" s="30"/>
      <c r="I20" s="30"/>
      <c r="J20" s="32"/>
      <c r="K20" s="38"/>
    </row>
    <row r="21" spans="1:21">
      <c r="A21" s="20"/>
      <c r="B21" s="20"/>
      <c r="C21" s="39"/>
      <c r="D21" s="20"/>
      <c r="E21" s="40"/>
      <c r="F21" s="20"/>
      <c r="G21" s="26"/>
      <c r="H21" s="26"/>
      <c r="I21" s="26"/>
    </row>
    <row r="22" spans="1:21" ht="15" customHeight="1">
      <c r="A22" s="20" t="s">
        <v>35</v>
      </c>
      <c r="B22" s="20"/>
      <c r="C22" s="39"/>
      <c r="D22" s="20"/>
      <c r="E22" s="47">
        <f>SUM(E23:E24)</f>
        <v>0</v>
      </c>
      <c r="F22" s="20"/>
      <c r="G22" s="26">
        <v>0</v>
      </c>
      <c r="H22" s="26"/>
      <c r="I22" s="48">
        <f>-90480/2</f>
        <v>-45240</v>
      </c>
      <c r="K22" s="49">
        <f>IFERROR(E22/I22*1000,0)</f>
        <v>0</v>
      </c>
    </row>
    <row r="23" spans="1:21" ht="15" customHeight="1">
      <c r="A23" s="50" t="s">
        <v>29</v>
      </c>
      <c r="B23" s="20"/>
      <c r="C23" s="39">
        <v>0</v>
      </c>
      <c r="D23" s="20"/>
      <c r="E23" s="40">
        <v>0</v>
      </c>
      <c r="F23" s="20"/>
      <c r="G23" s="26"/>
      <c r="H23" s="26"/>
      <c r="I23" s="26"/>
    </row>
    <row r="24" spans="1:21" ht="15" customHeight="1">
      <c r="A24" s="50" t="s">
        <v>30</v>
      </c>
      <c r="B24" s="20"/>
      <c r="C24" s="39">
        <v>0</v>
      </c>
      <c r="D24" s="20"/>
      <c r="E24" s="40">
        <v>0</v>
      </c>
      <c r="F24" s="20"/>
      <c r="G24" s="26"/>
      <c r="H24" s="26"/>
      <c r="I24" s="26"/>
    </row>
    <row r="25" spans="1:21" ht="15" customHeight="1">
      <c r="A25" s="20"/>
      <c r="B25" s="20"/>
      <c r="C25" s="39"/>
      <c r="D25" s="20"/>
      <c r="E25" s="40"/>
      <c r="F25" s="20"/>
      <c r="G25" s="26"/>
      <c r="H25" s="26"/>
      <c r="I25" s="26"/>
    </row>
    <row r="26" spans="1:21" ht="15" customHeight="1">
      <c r="A26" s="20" t="s">
        <v>36</v>
      </c>
      <c r="B26" s="20"/>
      <c r="C26" s="39"/>
      <c r="D26" s="20"/>
      <c r="E26" s="47">
        <f>SUM(E27:E28)</f>
        <v>0</v>
      </c>
      <c r="F26" s="20"/>
      <c r="G26" s="48">
        <v>0</v>
      </c>
      <c r="H26" s="26"/>
      <c r="I26" s="48">
        <v>-45240</v>
      </c>
      <c r="K26" s="49">
        <f>IFERROR(E26/I26*1000,0)</f>
        <v>0</v>
      </c>
    </row>
    <row r="27" spans="1:21" ht="15" customHeight="1">
      <c r="A27" s="50" t="s">
        <v>29</v>
      </c>
      <c r="B27" s="20"/>
      <c r="C27" s="39">
        <v>0</v>
      </c>
      <c r="D27" s="20"/>
      <c r="E27" s="40">
        <v>0</v>
      </c>
      <c r="F27" s="20"/>
      <c r="G27" s="26"/>
      <c r="H27" s="26"/>
      <c r="I27" s="26"/>
      <c r="M27" s="51"/>
      <c r="N27" s="45"/>
    </row>
    <row r="28" spans="1:21" ht="15" customHeight="1">
      <c r="A28" s="50" t="s">
        <v>30</v>
      </c>
      <c r="B28" s="20"/>
      <c r="C28" s="39">
        <v>0</v>
      </c>
      <c r="D28" s="20"/>
      <c r="E28" s="40">
        <v>0</v>
      </c>
      <c r="F28" s="20"/>
      <c r="G28" s="26"/>
      <c r="H28" s="26"/>
      <c r="I28" s="26"/>
      <c r="T28" s="52"/>
      <c r="U28" s="52"/>
    </row>
    <row r="29" spans="1:21" ht="15" customHeight="1">
      <c r="A29" s="20"/>
      <c r="B29" s="20"/>
      <c r="C29" s="25"/>
      <c r="D29" s="20"/>
      <c r="E29" s="40"/>
      <c r="F29" s="20"/>
      <c r="G29" s="26"/>
      <c r="H29" s="26"/>
      <c r="I29" s="26"/>
      <c r="T29" s="52"/>
      <c r="U29" s="52"/>
    </row>
    <row r="30" spans="1:21">
      <c r="A30" s="27" t="s">
        <v>37</v>
      </c>
      <c r="B30" s="27"/>
      <c r="C30" s="28"/>
      <c r="D30" s="27"/>
      <c r="E30" s="29">
        <f>SUM(E31:E32)</f>
        <v>0</v>
      </c>
      <c r="F30" s="27"/>
      <c r="G30" s="30">
        <f>SUM(G22:G27)</f>
        <v>0</v>
      </c>
      <c r="H30" s="30"/>
      <c r="I30" s="31">
        <f>SUM(I22:I27)</f>
        <v>-90480</v>
      </c>
      <c r="J30" s="32"/>
      <c r="K30" s="46">
        <f>IFERROR(E30/I30*1000,0)</f>
        <v>0</v>
      </c>
    </row>
    <row r="31" spans="1:21">
      <c r="A31" s="42" t="s">
        <v>29</v>
      </c>
      <c r="B31" s="27"/>
      <c r="C31" s="43">
        <f>C23+C27</f>
        <v>0</v>
      </c>
      <c r="D31" s="27"/>
      <c r="E31" s="29">
        <f>E23+E27</f>
        <v>0</v>
      </c>
      <c r="F31" s="27"/>
      <c r="G31" s="30"/>
      <c r="H31" s="30"/>
      <c r="I31" s="30"/>
      <c r="J31" s="32"/>
      <c r="K31" s="38"/>
    </row>
    <row r="32" spans="1:21">
      <c r="A32" s="42" t="s">
        <v>30</v>
      </c>
      <c r="B32" s="27"/>
      <c r="C32" s="43">
        <f>C24+C28</f>
        <v>0</v>
      </c>
      <c r="D32" s="27"/>
      <c r="E32" s="29">
        <f>E24+E28</f>
        <v>0</v>
      </c>
      <c r="F32" s="27"/>
      <c r="G32" s="30"/>
      <c r="H32" s="30"/>
      <c r="I32" s="30"/>
      <c r="J32" s="32"/>
      <c r="K32" s="38"/>
    </row>
    <row r="33" spans="1:22">
      <c r="A33" s="20"/>
      <c r="B33" s="20"/>
      <c r="C33" s="25"/>
      <c r="D33" s="20"/>
      <c r="E33" s="40"/>
      <c r="F33" s="20"/>
      <c r="G33" s="26"/>
      <c r="H33" s="26"/>
      <c r="I33" s="26"/>
      <c r="V33" s="52"/>
    </row>
    <row r="34" spans="1:22">
      <c r="A34" s="12" t="s">
        <v>38</v>
      </c>
      <c r="C34" s="39"/>
      <c r="D34" s="20"/>
      <c r="E34" s="47">
        <f>SUM(E35:E37)</f>
        <v>542881.80000000005</v>
      </c>
      <c r="G34" s="26">
        <v>20636744</v>
      </c>
      <c r="I34" s="26">
        <v>17162510</v>
      </c>
      <c r="K34" s="49">
        <f>E34/I34*1000</f>
        <v>31.631841729444005</v>
      </c>
      <c r="V34" s="52"/>
    </row>
    <row r="35" spans="1:22">
      <c r="A35" s="50" t="s">
        <v>29</v>
      </c>
      <c r="C35" s="39">
        <v>0</v>
      </c>
      <c r="D35" s="20"/>
      <c r="E35" s="40">
        <v>0</v>
      </c>
      <c r="V35" s="52"/>
    </row>
    <row r="36" spans="1:22">
      <c r="A36" s="50" t="s">
        <v>34</v>
      </c>
      <c r="C36" s="39">
        <v>0</v>
      </c>
      <c r="D36" s="20"/>
      <c r="E36" s="40">
        <v>0</v>
      </c>
      <c r="M36" s="53"/>
      <c r="V36" s="52"/>
    </row>
    <row r="37" spans="1:22">
      <c r="A37" s="50" t="s">
        <v>32</v>
      </c>
      <c r="C37" s="39">
        <v>232330</v>
      </c>
      <c r="D37" s="20"/>
      <c r="E37" s="40">
        <v>542881.80000000005</v>
      </c>
      <c r="N37" s="52"/>
      <c r="T37" s="74"/>
      <c r="V37" s="52"/>
    </row>
    <row r="38" spans="1:22">
      <c r="C38" s="39"/>
      <c r="D38" s="20"/>
      <c r="E38" s="40"/>
      <c r="N38" s="54"/>
    </row>
    <row r="39" spans="1:22">
      <c r="A39" s="12" t="s">
        <v>39</v>
      </c>
      <c r="C39" s="39"/>
      <c r="D39" s="20"/>
      <c r="E39" s="47">
        <f>SUM(E40:E42)</f>
        <v>296263.71000000002</v>
      </c>
      <c r="G39" s="26">
        <v>10702565</v>
      </c>
      <c r="I39" s="26">
        <v>7968035</v>
      </c>
      <c r="K39" s="49">
        <f>IFERROR(E39/I39*1000,0)</f>
        <v>37.181527189576855</v>
      </c>
      <c r="N39" s="26"/>
    </row>
    <row r="40" spans="1:22">
      <c r="A40" s="50" t="s">
        <v>29</v>
      </c>
      <c r="C40" s="39">
        <v>0</v>
      </c>
      <c r="D40" s="20"/>
      <c r="E40" s="40">
        <v>0</v>
      </c>
    </row>
    <row r="41" spans="1:22">
      <c r="A41" s="50" t="s">
        <v>34</v>
      </c>
      <c r="C41" s="39">
        <v>0</v>
      </c>
      <c r="D41" s="20"/>
      <c r="E41" s="40">
        <v>0</v>
      </c>
      <c r="I41" s="14"/>
    </row>
    <row r="42" spans="1:22">
      <c r="A42" s="50" t="s">
        <v>32</v>
      </c>
      <c r="C42" s="39">
        <v>127766</v>
      </c>
      <c r="D42" s="20"/>
      <c r="E42" s="40">
        <v>296263.71000000002</v>
      </c>
    </row>
    <row r="43" spans="1:22">
      <c r="E43" s="55"/>
    </row>
    <row r="44" spans="1:22">
      <c r="A44" s="32" t="s">
        <v>40</v>
      </c>
      <c r="B44" s="32"/>
      <c r="C44" s="38"/>
      <c r="D44" s="32"/>
      <c r="E44" s="56">
        <f>SUM(E45:E47)</f>
        <v>839145.51</v>
      </c>
      <c r="F44" s="32"/>
      <c r="G44" s="57">
        <f>SUM(G34:G41)</f>
        <v>31339309</v>
      </c>
      <c r="H44" s="57"/>
      <c r="I44" s="57">
        <f>SUM(I34:I41)</f>
        <v>25130545</v>
      </c>
      <c r="J44" s="32"/>
      <c r="K44" s="46">
        <f>E44/I44*1000</f>
        <v>33.391456890409664</v>
      </c>
      <c r="L44" s="58"/>
    </row>
    <row r="45" spans="1:22">
      <c r="A45" s="42" t="s">
        <v>29</v>
      </c>
      <c r="B45" s="32"/>
      <c r="C45" s="38">
        <f>C35+C40</f>
        <v>0</v>
      </c>
      <c r="D45" s="32"/>
      <c r="E45" s="56">
        <f>E35+E40</f>
        <v>0</v>
      </c>
      <c r="F45" s="32"/>
      <c r="G45" s="38"/>
      <c r="H45" s="57"/>
      <c r="I45" s="57"/>
      <c r="J45" s="32"/>
      <c r="K45" s="38"/>
      <c r="L45" s="58"/>
    </row>
    <row r="46" spans="1:22">
      <c r="A46" s="42" t="s">
        <v>34</v>
      </c>
      <c r="B46" s="32"/>
      <c r="C46" s="59">
        <f>C36+C41</f>
        <v>0</v>
      </c>
      <c r="D46" s="32"/>
      <c r="E46" s="56">
        <f>E36+E41</f>
        <v>0</v>
      </c>
      <c r="F46" s="32"/>
      <c r="G46" s="57"/>
      <c r="H46" s="57"/>
      <c r="I46" s="57"/>
      <c r="J46" s="32"/>
      <c r="K46" s="38"/>
      <c r="L46" s="58"/>
    </row>
    <row r="47" spans="1:22">
      <c r="A47" s="42" t="s">
        <v>32</v>
      </c>
      <c r="B47" s="32"/>
      <c r="C47" s="38">
        <f>C37+C42</f>
        <v>360096</v>
      </c>
      <c r="D47" s="32"/>
      <c r="E47" s="56">
        <f>E37+E42</f>
        <v>839145.51</v>
      </c>
      <c r="F47" s="32"/>
      <c r="G47" s="57"/>
      <c r="H47" s="57"/>
      <c r="I47" s="57"/>
      <c r="J47" s="32"/>
      <c r="K47" s="38"/>
      <c r="L47" s="58"/>
    </row>
    <row r="48" spans="1:22">
      <c r="E48" s="55"/>
    </row>
    <row r="49" spans="1:13">
      <c r="A49" s="60" t="s">
        <v>41</v>
      </c>
      <c r="E49" s="61">
        <f>E8+E13+E17+E30+E44</f>
        <v>6054722.3300000001</v>
      </c>
      <c r="F49" s="60"/>
      <c r="G49" s="62">
        <f>G8+G13+G17+G30+G44</f>
        <v>268461799</v>
      </c>
      <c r="H49" s="62"/>
      <c r="I49" s="62">
        <f>I8+I13+I17+I30+I44</f>
        <v>243290475</v>
      </c>
      <c r="J49" s="60"/>
      <c r="K49" s="63">
        <f>E49/I49*1000</f>
        <v>24.886803850417902</v>
      </c>
      <c r="L49" s="64"/>
    </row>
    <row r="51" spans="1:13">
      <c r="E51" s="135" t="s">
        <v>42</v>
      </c>
      <c r="F51" s="135"/>
      <c r="G51" s="135"/>
      <c r="I51" s="75">
        <v>14338783</v>
      </c>
    </row>
    <row r="52" spans="1:13">
      <c r="E52" s="135" t="s">
        <v>43</v>
      </c>
      <c r="F52" s="135"/>
      <c r="G52" s="135"/>
      <c r="I52" s="65">
        <f>I49-I51</f>
        <v>228951692</v>
      </c>
      <c r="K52" s="63">
        <f>E49/I52*1000</f>
        <v>26.44541421427888</v>
      </c>
    </row>
    <row r="53" spans="1:13">
      <c r="C53" s="136" t="s">
        <v>44</v>
      </c>
      <c r="D53" s="136"/>
      <c r="E53" s="136"/>
      <c r="F53" s="136"/>
      <c r="G53" s="136"/>
      <c r="I53" s="15">
        <f>+I8+I30</f>
        <v>-90480</v>
      </c>
      <c r="K53" s="63"/>
    </row>
    <row r="54" spans="1:13" ht="15" thickBot="1">
      <c r="C54" s="132" t="s">
        <v>45</v>
      </c>
      <c r="D54" s="132"/>
      <c r="E54" s="132"/>
      <c r="F54" s="132"/>
      <c r="G54" s="132"/>
      <c r="I54" s="66">
        <f>I52+-I53</f>
        <v>229042172</v>
      </c>
      <c r="K54" s="67">
        <f>E49/I54*1000</f>
        <v>26.434967312482524</v>
      </c>
    </row>
    <row r="55" spans="1:13" ht="15" thickTop="1">
      <c r="G55" s="62"/>
      <c r="I55" s="62"/>
      <c r="K55" s="63"/>
      <c r="M55" s="68"/>
    </row>
    <row r="56" spans="1:13">
      <c r="C56" s="12"/>
      <c r="I56" s="69" t="s">
        <v>46</v>
      </c>
    </row>
    <row r="57" spans="1:13">
      <c r="C57" s="12" t="s">
        <v>29</v>
      </c>
      <c r="E57" s="70">
        <f>IFERROR(E9+E18+E31+E45,0)</f>
        <v>4984689.67</v>
      </c>
      <c r="G57" s="71"/>
    </row>
    <row r="58" spans="1:13">
      <c r="C58" s="12" t="s">
        <v>47</v>
      </c>
      <c r="E58" s="70">
        <f>E19+E46</f>
        <v>0</v>
      </c>
    </row>
    <row r="59" spans="1:13">
      <c r="C59" s="12" t="s">
        <v>30</v>
      </c>
      <c r="E59" s="70">
        <f>IFERROR(E10+E14+E20+E32,0)</f>
        <v>210870.58</v>
      </c>
      <c r="G59" s="14"/>
    </row>
    <row r="60" spans="1:13">
      <c r="C60" s="12" t="s">
        <v>32</v>
      </c>
      <c r="E60" s="55">
        <f>E15+E47</f>
        <v>859162.08</v>
      </c>
      <c r="G60" s="14"/>
      <c r="K60" s="49"/>
    </row>
    <row r="61" spans="1:13" ht="15" thickBot="1">
      <c r="B61" s="14"/>
      <c r="C61" s="12"/>
      <c r="E61" s="72">
        <f>SUM(E57:E60)</f>
        <v>6054722.3300000001</v>
      </c>
    </row>
    <row r="62" spans="1:13" ht="15" thickTop="1"/>
    <row r="63" spans="1:13">
      <c r="J63"/>
      <c r="K63"/>
    </row>
  </sheetData>
  <mergeCells count="7">
    <mergeCell ref="C54:G54"/>
    <mergeCell ref="A2:K2"/>
    <mergeCell ref="A3:K3"/>
    <mergeCell ref="E4:G4"/>
    <mergeCell ref="E51:G51"/>
    <mergeCell ref="E52:G52"/>
    <mergeCell ref="C53:G5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FE03C-4BF6-4FF0-A36B-5CA93F4EB51D}">
  <dimension ref="A1:V63"/>
  <sheetViews>
    <sheetView workbookViewId="0">
      <selection activeCell="K13" sqref="K13"/>
    </sheetView>
  </sheetViews>
  <sheetFormatPr defaultRowHeight="14.25"/>
  <cols>
    <col min="1" max="1" width="16.125" style="12" customWidth="1"/>
    <col min="2" max="2" width="3.875" style="12" customWidth="1"/>
    <col min="3" max="3" width="14.375" style="14" customWidth="1"/>
    <col min="4" max="4" width="1.625" style="12" customWidth="1"/>
    <col min="5" max="5" width="16.625" style="14" customWidth="1"/>
    <col min="6" max="6" width="1.625" style="12" customWidth="1"/>
    <col min="7" max="7" width="16.75" style="15" customWidth="1"/>
    <col min="8" max="8" width="1.625" style="15" customWidth="1"/>
    <col min="9" max="9" width="13.25" style="15" customWidth="1"/>
    <col min="10" max="10" width="1.625" style="12" customWidth="1"/>
    <col min="11" max="11" width="13.625" style="14" customWidth="1"/>
    <col min="12" max="12" width="4" customWidth="1"/>
    <col min="13" max="13" width="10.625" bestFit="1" customWidth="1"/>
    <col min="14" max="14" width="12.25" bestFit="1" customWidth="1"/>
    <col min="20" max="20" width="9.75" bestFit="1" customWidth="1"/>
  </cols>
  <sheetData>
    <row r="1" spans="1:14">
      <c r="A1" s="12" t="s">
        <v>18</v>
      </c>
      <c r="B1" s="13"/>
      <c r="I1" s="16"/>
    </row>
    <row r="2" spans="1:14">
      <c r="A2" s="133" t="s">
        <v>19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4">
      <c r="A3" s="133" t="s">
        <v>20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4">
      <c r="C4" s="18" t="s">
        <v>21</v>
      </c>
      <c r="E4" s="134">
        <v>45382</v>
      </c>
      <c r="F4" s="134"/>
      <c r="G4" s="134"/>
    </row>
    <row r="5" spans="1:14">
      <c r="E5" s="14" t="s">
        <v>22</v>
      </c>
      <c r="I5" s="19" t="b">
        <v>1</v>
      </c>
    </row>
    <row r="6" spans="1:14">
      <c r="A6" s="20"/>
      <c r="B6" s="20"/>
      <c r="C6" s="21" t="s">
        <v>23</v>
      </c>
      <c r="D6" s="22"/>
      <c r="E6" s="21" t="s">
        <v>24</v>
      </c>
      <c r="F6" s="22"/>
      <c r="G6" s="23" t="s">
        <v>25</v>
      </c>
      <c r="H6" s="19"/>
      <c r="I6" s="23" t="s">
        <v>26</v>
      </c>
      <c r="J6" s="17"/>
      <c r="K6" s="24" t="s">
        <v>27</v>
      </c>
    </row>
    <row r="7" spans="1:14">
      <c r="A7" s="20"/>
      <c r="B7" s="20"/>
      <c r="C7" s="25"/>
      <c r="D7" s="20"/>
      <c r="E7" s="25"/>
      <c r="F7" s="20"/>
      <c r="G7" s="26"/>
      <c r="H7" s="26"/>
      <c r="I7" s="26"/>
    </row>
    <row r="8" spans="1:14">
      <c r="A8" s="27" t="s">
        <v>28</v>
      </c>
      <c r="B8" s="27"/>
      <c r="C8" s="28"/>
      <c r="D8" s="27"/>
      <c r="E8" s="29">
        <f>SUM(E9:E11)</f>
        <v>0</v>
      </c>
      <c r="F8" s="27"/>
      <c r="G8" s="30">
        <v>0</v>
      </c>
      <c r="H8" s="30"/>
      <c r="I8" s="31">
        <v>0</v>
      </c>
      <c r="J8" s="32"/>
      <c r="K8" s="33">
        <f>IFERROR(E8/I8*1000,0)</f>
        <v>0</v>
      </c>
    </row>
    <row r="9" spans="1:14">
      <c r="A9" s="34" t="s">
        <v>29</v>
      </c>
      <c r="B9" s="35"/>
      <c r="C9" s="36">
        <v>0</v>
      </c>
      <c r="D9" s="35"/>
      <c r="E9" s="37">
        <v>0</v>
      </c>
      <c r="F9" s="27"/>
      <c r="G9" s="30"/>
      <c r="H9" s="30"/>
      <c r="J9" s="32"/>
      <c r="K9" s="38"/>
    </row>
    <row r="10" spans="1:14">
      <c r="A10" s="34" t="s">
        <v>30</v>
      </c>
      <c r="B10" s="35"/>
      <c r="C10" s="36">
        <v>0</v>
      </c>
      <c r="D10" s="35"/>
      <c r="E10" s="37">
        <v>0</v>
      </c>
      <c r="F10" s="27"/>
      <c r="G10" s="30"/>
      <c r="H10" s="30"/>
      <c r="I10" s="30"/>
      <c r="J10" s="32"/>
      <c r="K10" s="38"/>
    </row>
    <row r="11" spans="1:14">
      <c r="A11" s="20"/>
      <c r="B11" s="20"/>
      <c r="C11" s="39"/>
      <c r="D11" s="20"/>
      <c r="E11" s="40"/>
      <c r="F11" s="20"/>
      <c r="G11" s="26"/>
      <c r="H11" s="26"/>
      <c r="I11" s="26"/>
    </row>
    <row r="12" spans="1:14">
      <c r="A12" s="20"/>
      <c r="B12" s="20"/>
      <c r="C12" s="25"/>
      <c r="D12" s="20"/>
      <c r="E12" s="40"/>
      <c r="F12" s="20"/>
      <c r="G12" s="26"/>
      <c r="H12" s="26"/>
      <c r="I12" s="26"/>
    </row>
    <row r="13" spans="1:14">
      <c r="A13" s="27" t="s">
        <v>31</v>
      </c>
      <c r="B13" s="27"/>
      <c r="C13" s="28"/>
      <c r="D13" s="27"/>
      <c r="E13" s="29">
        <f>E14+E15</f>
        <v>26663.24</v>
      </c>
      <c r="F13" s="27"/>
      <c r="G13" s="30">
        <v>718350</v>
      </c>
      <c r="H13" s="30"/>
      <c r="I13" s="31">
        <v>619330</v>
      </c>
      <c r="J13" s="32"/>
      <c r="K13" s="123">
        <f>IFERROR(E13/I13*1000,0)</f>
        <v>43.051749471202754</v>
      </c>
    </row>
    <row r="14" spans="1:14">
      <c r="A14" s="42" t="s">
        <v>30</v>
      </c>
      <c r="B14" s="27"/>
      <c r="C14" s="43">
        <v>0</v>
      </c>
      <c r="D14" s="27"/>
      <c r="E14" s="29">
        <v>0</v>
      </c>
      <c r="F14" s="27"/>
      <c r="G14" s="30"/>
      <c r="H14" s="30"/>
      <c r="I14" s="30"/>
      <c r="J14" s="32"/>
      <c r="K14" s="38"/>
      <c r="M14" s="44"/>
      <c r="N14" s="44"/>
    </row>
    <row r="15" spans="1:14">
      <c r="A15" s="42" t="s">
        <v>32</v>
      </c>
      <c r="B15" s="27"/>
      <c r="C15" s="36">
        <v>11893</v>
      </c>
      <c r="D15" s="35"/>
      <c r="E15" s="37">
        <v>26663.24</v>
      </c>
      <c r="F15" s="27"/>
      <c r="G15" s="30"/>
      <c r="H15" s="30"/>
      <c r="I15" s="30"/>
      <c r="J15" s="32"/>
      <c r="K15" s="38"/>
      <c r="N15" s="45"/>
    </row>
    <row r="16" spans="1:14">
      <c r="A16" s="20"/>
      <c r="B16" s="20"/>
      <c r="C16" s="25"/>
      <c r="D16" s="20"/>
      <c r="E16" s="40"/>
      <c r="F16" s="20"/>
      <c r="G16" s="26"/>
      <c r="H16" s="26"/>
      <c r="I16" s="26"/>
    </row>
    <row r="17" spans="1:21">
      <c r="A17" s="27" t="s">
        <v>33</v>
      </c>
      <c r="B17" s="27"/>
      <c r="C17" s="28"/>
      <c r="D17" s="27"/>
      <c r="E17" s="29">
        <f>SUM(E18:E20)</f>
        <v>2042628.55</v>
      </c>
      <c r="F17" s="27"/>
      <c r="G17" s="30">
        <v>94458450</v>
      </c>
      <c r="H17" s="30"/>
      <c r="I17" s="30">
        <v>85265180</v>
      </c>
      <c r="J17" s="32"/>
      <c r="K17" s="46">
        <f>IFERROR(E17/I17*1000,0)</f>
        <v>23.9561864526645</v>
      </c>
    </row>
    <row r="18" spans="1:21">
      <c r="A18" s="42" t="s">
        <v>29</v>
      </c>
      <c r="B18" s="27"/>
      <c r="C18" s="28">
        <v>41254.980000000003</v>
      </c>
      <c r="D18" s="27"/>
      <c r="E18" s="73">
        <v>1985255.94</v>
      </c>
      <c r="F18" s="27"/>
      <c r="G18" s="30"/>
      <c r="H18" s="30"/>
      <c r="I18" s="30"/>
      <c r="J18" s="32"/>
      <c r="K18" s="38"/>
    </row>
    <row r="19" spans="1:21">
      <c r="A19" s="42" t="s">
        <v>34</v>
      </c>
      <c r="B19" s="27"/>
      <c r="C19" s="43">
        <v>0</v>
      </c>
      <c r="D19" s="27"/>
      <c r="E19" s="29">
        <v>0</v>
      </c>
      <c r="F19" s="27"/>
      <c r="G19" s="30"/>
      <c r="H19" s="30"/>
      <c r="I19" s="30"/>
      <c r="J19" s="32"/>
      <c r="K19" s="46"/>
    </row>
    <row r="20" spans="1:21">
      <c r="A20" s="42" t="s">
        <v>30</v>
      </c>
      <c r="B20" s="27"/>
      <c r="C20" s="28">
        <v>20121</v>
      </c>
      <c r="D20" s="27"/>
      <c r="E20" s="29">
        <v>57372.61</v>
      </c>
      <c r="F20" s="27"/>
      <c r="G20" s="30"/>
      <c r="H20" s="30"/>
      <c r="I20" s="30"/>
      <c r="J20" s="32"/>
      <c r="K20" s="38"/>
    </row>
    <row r="21" spans="1:21">
      <c r="A21" s="20"/>
      <c r="B21" s="20"/>
      <c r="C21" s="39"/>
      <c r="D21" s="20"/>
      <c r="E21" s="40"/>
      <c r="F21" s="20"/>
      <c r="G21" s="26"/>
      <c r="H21" s="26"/>
      <c r="I21" s="26"/>
    </row>
    <row r="22" spans="1:21" ht="15" customHeight="1">
      <c r="A22" s="20" t="s">
        <v>35</v>
      </c>
      <c r="B22" s="20"/>
      <c r="C22" s="39"/>
      <c r="D22" s="20"/>
      <c r="E22" s="47">
        <f>SUM(E23:E24)</f>
        <v>0</v>
      </c>
      <c r="F22" s="20"/>
      <c r="G22" s="26">
        <v>0</v>
      </c>
      <c r="H22" s="26"/>
      <c r="I22" s="48">
        <v>-36311</v>
      </c>
      <c r="K22" s="49">
        <f>IFERROR(E22/I22*1000,0)</f>
        <v>0</v>
      </c>
    </row>
    <row r="23" spans="1:21" ht="15" customHeight="1">
      <c r="A23" s="50" t="s">
        <v>29</v>
      </c>
      <c r="B23" s="20"/>
      <c r="C23" s="39">
        <v>0</v>
      </c>
      <c r="D23" s="20"/>
      <c r="E23" s="40">
        <v>0</v>
      </c>
      <c r="F23" s="20"/>
      <c r="G23" s="26"/>
      <c r="H23" s="26"/>
      <c r="I23" s="26"/>
    </row>
    <row r="24" spans="1:21" ht="15" customHeight="1">
      <c r="A24" s="50" t="s">
        <v>30</v>
      </c>
      <c r="B24" s="20"/>
      <c r="C24" s="39">
        <v>0</v>
      </c>
      <c r="D24" s="20"/>
      <c r="E24" s="40">
        <v>0</v>
      </c>
      <c r="F24" s="20"/>
      <c r="G24" s="26"/>
      <c r="H24" s="26"/>
      <c r="I24" s="26"/>
    </row>
    <row r="25" spans="1:21" ht="15" customHeight="1">
      <c r="A25" s="20"/>
      <c r="B25" s="20"/>
      <c r="C25" s="39"/>
      <c r="D25" s="20"/>
      <c r="E25" s="40"/>
      <c r="F25" s="20"/>
      <c r="G25" s="26"/>
      <c r="H25" s="26"/>
      <c r="I25" s="26"/>
    </row>
    <row r="26" spans="1:21" ht="15" customHeight="1">
      <c r="A26" s="20" t="s">
        <v>36</v>
      </c>
      <c r="B26" s="20"/>
      <c r="C26" s="39"/>
      <c r="D26" s="20"/>
      <c r="E26" s="47">
        <f>SUM(E27:E28)</f>
        <v>0</v>
      </c>
      <c r="F26" s="20"/>
      <c r="G26" s="48">
        <v>0</v>
      </c>
      <c r="H26" s="26"/>
      <c r="I26" s="48">
        <v>-36310</v>
      </c>
      <c r="K26" s="49">
        <f>IFERROR(E26/I26*1000,0)</f>
        <v>0</v>
      </c>
    </row>
    <row r="27" spans="1:21" ht="15" customHeight="1">
      <c r="A27" s="50" t="s">
        <v>29</v>
      </c>
      <c r="B27" s="20"/>
      <c r="C27" s="39">
        <v>0</v>
      </c>
      <c r="D27" s="20"/>
      <c r="E27" s="40">
        <v>0</v>
      </c>
      <c r="F27" s="20"/>
      <c r="G27" s="26"/>
      <c r="H27" s="26"/>
      <c r="I27" s="26"/>
      <c r="M27" s="51"/>
      <c r="N27" s="45"/>
    </row>
    <row r="28" spans="1:21" ht="15" customHeight="1">
      <c r="A28" s="50" t="s">
        <v>30</v>
      </c>
      <c r="B28" s="20"/>
      <c r="C28" s="39">
        <v>0</v>
      </c>
      <c r="D28" s="20"/>
      <c r="E28" s="40">
        <v>0</v>
      </c>
      <c r="F28" s="20"/>
      <c r="G28" s="26"/>
      <c r="H28" s="26"/>
      <c r="I28" s="26"/>
      <c r="T28" s="52"/>
      <c r="U28" s="52"/>
    </row>
    <row r="29" spans="1:21" ht="15" customHeight="1">
      <c r="A29" s="20"/>
      <c r="B29" s="20"/>
      <c r="C29" s="25"/>
      <c r="D29" s="20"/>
      <c r="E29" s="40"/>
      <c r="F29" s="20"/>
      <c r="G29" s="26"/>
      <c r="H29" s="26"/>
      <c r="I29" s="26"/>
      <c r="T29" s="52"/>
      <c r="U29" s="52"/>
    </row>
    <row r="30" spans="1:21">
      <c r="A30" s="27" t="s">
        <v>37</v>
      </c>
      <c r="B30" s="27"/>
      <c r="C30" s="28"/>
      <c r="D30" s="27"/>
      <c r="E30" s="29">
        <f>SUM(E31:E32)</f>
        <v>0</v>
      </c>
      <c r="F30" s="27"/>
      <c r="G30" s="30">
        <f>SUM(G22:G27)</f>
        <v>0</v>
      </c>
      <c r="H30" s="30"/>
      <c r="I30" s="31">
        <f>SUM(I22:I27)</f>
        <v>-72621</v>
      </c>
      <c r="J30" s="32"/>
      <c r="K30" s="46">
        <f>IFERROR(E30/I30*1000,0)</f>
        <v>0</v>
      </c>
    </row>
    <row r="31" spans="1:21">
      <c r="A31" s="42" t="s">
        <v>29</v>
      </c>
      <c r="B31" s="27"/>
      <c r="C31" s="43">
        <f>C23+C27</f>
        <v>0</v>
      </c>
      <c r="D31" s="27"/>
      <c r="E31" s="29">
        <f>E23+E27</f>
        <v>0</v>
      </c>
      <c r="F31" s="27"/>
      <c r="G31" s="30"/>
      <c r="H31" s="30"/>
      <c r="I31" s="30"/>
      <c r="J31" s="32"/>
      <c r="K31" s="38"/>
    </row>
    <row r="32" spans="1:21">
      <c r="A32" s="42" t="s">
        <v>30</v>
      </c>
      <c r="B32" s="27"/>
      <c r="C32" s="43">
        <f>C24+C28</f>
        <v>0</v>
      </c>
      <c r="D32" s="27"/>
      <c r="E32" s="29">
        <f>E24+E28</f>
        <v>0</v>
      </c>
      <c r="F32" s="27"/>
      <c r="G32" s="30"/>
      <c r="H32" s="30"/>
      <c r="I32" s="30"/>
      <c r="J32" s="32"/>
      <c r="K32" s="38"/>
    </row>
    <row r="33" spans="1:22">
      <c r="A33" s="20"/>
      <c r="B33" s="20"/>
      <c r="C33" s="25"/>
      <c r="D33" s="20"/>
      <c r="E33" s="40"/>
      <c r="F33" s="20"/>
      <c r="G33" s="26"/>
      <c r="H33" s="26"/>
      <c r="I33" s="26"/>
      <c r="V33" s="52"/>
    </row>
    <row r="34" spans="1:22">
      <c r="A34" s="12" t="s">
        <v>38</v>
      </c>
      <c r="C34" s="39"/>
      <c r="D34" s="20"/>
      <c r="E34" s="47">
        <f>SUM(E35:E37)</f>
        <v>734391.55</v>
      </c>
      <c r="G34" s="26">
        <v>30051452</v>
      </c>
      <c r="I34" s="26">
        <v>25588881</v>
      </c>
      <c r="K34" s="49">
        <f>E34/I34*1000</f>
        <v>28.699635204837602</v>
      </c>
      <c r="V34" s="52"/>
    </row>
    <row r="35" spans="1:22">
      <c r="A35" s="50" t="s">
        <v>29</v>
      </c>
      <c r="C35" s="39">
        <v>0</v>
      </c>
      <c r="D35" s="20"/>
      <c r="E35" s="40">
        <v>0</v>
      </c>
      <c r="V35" s="52"/>
    </row>
    <row r="36" spans="1:22">
      <c r="A36" s="50" t="s">
        <v>34</v>
      </c>
      <c r="C36" s="39">
        <v>0</v>
      </c>
      <c r="D36" s="20"/>
      <c r="E36" s="40">
        <v>0</v>
      </c>
      <c r="M36" s="53"/>
      <c r="V36" s="52"/>
    </row>
    <row r="37" spans="1:22">
      <c r="A37" s="50" t="s">
        <v>32</v>
      </c>
      <c r="C37" s="39">
        <v>328477</v>
      </c>
      <c r="D37" s="20"/>
      <c r="E37" s="40">
        <v>734391.55</v>
      </c>
      <c r="N37" s="52"/>
      <c r="T37" s="74"/>
      <c r="V37" s="52"/>
    </row>
    <row r="38" spans="1:22">
      <c r="C38" s="39"/>
      <c r="D38" s="20"/>
      <c r="E38" s="40"/>
      <c r="N38" s="54"/>
    </row>
    <row r="39" spans="1:22">
      <c r="A39" s="12" t="s">
        <v>39</v>
      </c>
      <c r="C39" s="39"/>
      <c r="D39" s="20"/>
      <c r="E39" s="47">
        <f>SUM(E40:E42)</f>
        <v>651688.55000000005</v>
      </c>
      <c r="G39" s="26">
        <v>25016750</v>
      </c>
      <c r="I39" s="26">
        <v>20823514</v>
      </c>
      <c r="K39" s="49">
        <f>IFERROR(E39/I39*1000,0)</f>
        <v>31.295800987287738</v>
      </c>
      <c r="N39" s="26"/>
    </row>
    <row r="40" spans="1:22">
      <c r="A40" s="50" t="s">
        <v>29</v>
      </c>
      <c r="C40" s="39">
        <v>0</v>
      </c>
      <c r="D40" s="20"/>
      <c r="E40" s="40">
        <v>0</v>
      </c>
    </row>
    <row r="41" spans="1:22">
      <c r="A41" s="50" t="s">
        <v>34</v>
      </c>
      <c r="C41" s="39">
        <v>0</v>
      </c>
      <c r="D41" s="20"/>
      <c r="E41" s="40">
        <v>0</v>
      </c>
      <c r="I41" s="14"/>
    </row>
    <row r="42" spans="1:22">
      <c r="A42" s="50" t="s">
        <v>32</v>
      </c>
      <c r="C42" s="39">
        <v>293352</v>
      </c>
      <c r="D42" s="20"/>
      <c r="E42" s="40">
        <v>651688.55000000005</v>
      </c>
    </row>
    <row r="43" spans="1:22">
      <c r="E43" s="55"/>
    </row>
    <row r="44" spans="1:22">
      <c r="A44" s="32" t="s">
        <v>40</v>
      </c>
      <c r="B44" s="32"/>
      <c r="C44" s="38"/>
      <c r="D44" s="32"/>
      <c r="E44" s="56">
        <f>SUM(E45:E47)</f>
        <v>1386080.1</v>
      </c>
      <c r="F44" s="32"/>
      <c r="G44" s="57">
        <f>SUM(G34:G41)</f>
        <v>55068202</v>
      </c>
      <c r="H44" s="57"/>
      <c r="I44" s="57">
        <f>SUM(I34:I41)</f>
        <v>46412395</v>
      </c>
      <c r="J44" s="32"/>
      <c r="K44" s="46">
        <f>E44/I44*1000</f>
        <v>29.864438152782249</v>
      </c>
      <c r="L44" s="58"/>
    </row>
    <row r="45" spans="1:22">
      <c r="A45" s="42" t="s">
        <v>29</v>
      </c>
      <c r="B45" s="32"/>
      <c r="C45" s="38">
        <f>C35+C40</f>
        <v>0</v>
      </c>
      <c r="D45" s="32"/>
      <c r="E45" s="56">
        <f>E35+E40</f>
        <v>0</v>
      </c>
      <c r="F45" s="32"/>
      <c r="G45" s="38"/>
      <c r="H45" s="57"/>
      <c r="I45" s="57"/>
      <c r="J45" s="32"/>
      <c r="K45" s="38"/>
      <c r="L45" s="58"/>
    </row>
    <row r="46" spans="1:22">
      <c r="A46" s="42" t="s">
        <v>34</v>
      </c>
      <c r="B46" s="32"/>
      <c r="C46" s="59">
        <f>C36+C41</f>
        <v>0</v>
      </c>
      <c r="D46" s="32"/>
      <c r="E46" s="56">
        <f>E36+E41</f>
        <v>0</v>
      </c>
      <c r="F46" s="32"/>
      <c r="G46" s="57"/>
      <c r="H46" s="57"/>
      <c r="I46" s="57"/>
      <c r="J46" s="32"/>
      <c r="K46" s="38"/>
      <c r="L46" s="58"/>
    </row>
    <row r="47" spans="1:22">
      <c r="A47" s="42" t="s">
        <v>32</v>
      </c>
      <c r="B47" s="32"/>
      <c r="C47" s="38">
        <f>C37+C42</f>
        <v>621829</v>
      </c>
      <c r="D47" s="32"/>
      <c r="E47" s="56">
        <f>E37+E42</f>
        <v>1386080.1</v>
      </c>
      <c r="F47" s="32"/>
      <c r="G47" s="57"/>
      <c r="H47" s="57"/>
      <c r="I47" s="57"/>
      <c r="J47" s="32"/>
      <c r="K47" s="38"/>
      <c r="L47" s="58"/>
    </row>
    <row r="48" spans="1:22">
      <c r="E48" s="55"/>
    </row>
    <row r="49" spans="1:13">
      <c r="A49" s="60" t="s">
        <v>41</v>
      </c>
      <c r="E49" s="61">
        <f>E8+E13+E17+E30+E44</f>
        <v>3455371.89</v>
      </c>
      <c r="F49" s="60"/>
      <c r="G49" s="62">
        <f>G8+G13+G17+G30+G44</f>
        <v>150245002</v>
      </c>
      <c r="H49" s="62"/>
      <c r="I49" s="62">
        <f>I8+I13+I17+I30+I44</f>
        <v>132224284</v>
      </c>
      <c r="J49" s="60"/>
      <c r="K49" s="63">
        <f>E49/I49*1000</f>
        <v>26.132657220514805</v>
      </c>
      <c r="L49" s="64"/>
    </row>
    <row r="51" spans="1:13">
      <c r="E51" s="135" t="s">
        <v>42</v>
      </c>
      <c r="F51" s="135"/>
      <c r="G51" s="135"/>
      <c r="I51" s="75">
        <v>11060601</v>
      </c>
    </row>
    <row r="52" spans="1:13">
      <c r="E52" s="135" t="s">
        <v>43</v>
      </c>
      <c r="F52" s="135"/>
      <c r="G52" s="135"/>
      <c r="I52" s="65">
        <f>I49-I51</f>
        <v>121163683</v>
      </c>
      <c r="K52" s="63">
        <f>E49/I52*1000</f>
        <v>28.518214405879363</v>
      </c>
    </row>
    <row r="53" spans="1:13">
      <c r="C53" s="136" t="s">
        <v>44</v>
      </c>
      <c r="D53" s="136"/>
      <c r="E53" s="136"/>
      <c r="F53" s="136"/>
      <c r="G53" s="136"/>
      <c r="I53" s="15">
        <f>+I8+I30</f>
        <v>-72621</v>
      </c>
      <c r="K53" s="63"/>
    </row>
    <row r="54" spans="1:13" ht="15" thickBot="1">
      <c r="C54" s="132" t="s">
        <v>45</v>
      </c>
      <c r="D54" s="132"/>
      <c r="E54" s="132"/>
      <c r="F54" s="132"/>
      <c r="G54" s="132"/>
      <c r="I54" s="66">
        <f>I52+-I53</f>
        <v>121236304</v>
      </c>
      <c r="K54" s="67">
        <f>E49/I54*1000</f>
        <v>28.501131888679154</v>
      </c>
    </row>
    <row r="55" spans="1:13" ht="15" thickTop="1">
      <c r="G55" s="62"/>
      <c r="I55" s="62"/>
      <c r="K55" s="63"/>
      <c r="M55" s="68"/>
    </row>
    <row r="56" spans="1:13">
      <c r="C56" s="12"/>
      <c r="I56" s="69" t="s">
        <v>46</v>
      </c>
    </row>
    <row r="57" spans="1:13">
      <c r="C57" s="12" t="s">
        <v>29</v>
      </c>
      <c r="E57" s="70">
        <f>IFERROR(E9+E18+E31+E45,0)</f>
        <v>1985255.94</v>
      </c>
      <c r="G57" s="71"/>
    </row>
    <row r="58" spans="1:13">
      <c r="C58" s="12" t="s">
        <v>47</v>
      </c>
      <c r="E58" s="70">
        <f>E19+E46</f>
        <v>0</v>
      </c>
    </row>
    <row r="59" spans="1:13">
      <c r="C59" s="12" t="s">
        <v>30</v>
      </c>
      <c r="E59" s="70">
        <f>IFERROR(E10+E14+E20+E32,0)</f>
        <v>57372.61</v>
      </c>
      <c r="G59" s="14"/>
    </row>
    <row r="60" spans="1:13">
      <c r="C60" s="12" t="s">
        <v>32</v>
      </c>
      <c r="E60" s="55">
        <f>E15+E47</f>
        <v>1412743.34</v>
      </c>
      <c r="G60" s="14"/>
      <c r="K60" s="49"/>
    </row>
    <row r="61" spans="1:13" ht="15" thickBot="1">
      <c r="B61" s="14"/>
      <c r="C61" s="12"/>
      <c r="E61" s="72">
        <f>SUM(E57:E60)</f>
        <v>3455371.89</v>
      </c>
    </row>
    <row r="62" spans="1:13" ht="15" thickTop="1"/>
    <row r="63" spans="1:13">
      <c r="J63"/>
      <c r="K63"/>
    </row>
  </sheetData>
  <mergeCells count="7">
    <mergeCell ref="C54:G54"/>
    <mergeCell ref="A2:K2"/>
    <mergeCell ref="A3:K3"/>
    <mergeCell ref="E4:G4"/>
    <mergeCell ref="E51:G51"/>
    <mergeCell ref="E52:G52"/>
    <mergeCell ref="C53:G5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28CF2-CBDA-4C32-BC9D-4C6B9FBFEB0F}">
  <dimension ref="A1:V63"/>
  <sheetViews>
    <sheetView workbookViewId="0">
      <selection activeCell="K13" sqref="K13"/>
    </sheetView>
  </sheetViews>
  <sheetFormatPr defaultRowHeight="14.25"/>
  <cols>
    <col min="1" max="1" width="16.125" style="12" customWidth="1"/>
    <col min="2" max="2" width="3.875" style="12" customWidth="1"/>
    <col min="3" max="3" width="14.375" style="14" customWidth="1"/>
    <col min="4" max="4" width="1.625" style="12" customWidth="1"/>
    <col min="5" max="5" width="16.625" style="14" customWidth="1"/>
    <col min="6" max="6" width="1.625" style="12" customWidth="1"/>
    <col min="7" max="7" width="16.75" style="15" customWidth="1"/>
    <col min="8" max="8" width="1.625" style="15" customWidth="1"/>
    <col min="9" max="9" width="13.25" style="15" customWidth="1"/>
    <col min="10" max="10" width="1.625" style="12" customWidth="1"/>
    <col min="11" max="11" width="13.625" style="14" customWidth="1"/>
    <col min="12" max="12" width="4" customWidth="1"/>
    <col min="13" max="13" width="10.625" bestFit="1" customWidth="1"/>
    <col min="14" max="14" width="12.25" bestFit="1" customWidth="1"/>
    <col min="20" max="20" width="9.75" bestFit="1" customWidth="1"/>
  </cols>
  <sheetData>
    <row r="1" spans="1:14">
      <c r="A1" s="12" t="s">
        <v>18</v>
      </c>
      <c r="B1" s="13"/>
      <c r="I1" s="16"/>
    </row>
    <row r="2" spans="1:14">
      <c r="A2" s="133" t="s">
        <v>19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4">
      <c r="A3" s="133" t="s">
        <v>20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4">
      <c r="C4" s="18" t="s">
        <v>21</v>
      </c>
      <c r="E4" s="134">
        <v>45412</v>
      </c>
      <c r="F4" s="134"/>
      <c r="G4" s="134"/>
    </row>
    <row r="5" spans="1:14">
      <c r="E5" s="14" t="s">
        <v>22</v>
      </c>
      <c r="I5" s="19" t="b">
        <v>1</v>
      </c>
    </row>
    <row r="6" spans="1:14">
      <c r="A6" s="20"/>
      <c r="B6" s="20"/>
      <c r="C6" s="21" t="s">
        <v>23</v>
      </c>
      <c r="D6" s="22"/>
      <c r="E6" s="21" t="s">
        <v>24</v>
      </c>
      <c r="F6" s="22"/>
      <c r="G6" s="23" t="s">
        <v>25</v>
      </c>
      <c r="H6" s="19"/>
      <c r="I6" s="23" t="s">
        <v>26</v>
      </c>
      <c r="J6" s="17"/>
      <c r="K6" s="24" t="s">
        <v>27</v>
      </c>
    </row>
    <row r="7" spans="1:14">
      <c r="A7" s="20"/>
      <c r="B7" s="20"/>
      <c r="C7" s="25"/>
      <c r="D7" s="20"/>
      <c r="E7" s="25"/>
      <c r="F7" s="20"/>
      <c r="G7" s="26"/>
      <c r="H7" s="26"/>
      <c r="I7" s="26"/>
    </row>
    <row r="8" spans="1:14">
      <c r="A8" s="27" t="s">
        <v>28</v>
      </c>
      <c r="B8" s="27"/>
      <c r="C8" s="28"/>
      <c r="D8" s="27"/>
      <c r="E8" s="29">
        <f>SUM(E9:E11)</f>
        <v>0</v>
      </c>
      <c r="F8" s="27"/>
      <c r="G8" s="30">
        <v>0</v>
      </c>
      <c r="H8" s="30"/>
      <c r="I8" s="31">
        <v>0</v>
      </c>
      <c r="J8" s="32"/>
      <c r="K8" s="33">
        <f>IFERROR(E8/I8*1000,0)</f>
        <v>0</v>
      </c>
    </row>
    <row r="9" spans="1:14">
      <c r="A9" s="34" t="s">
        <v>29</v>
      </c>
      <c r="B9" s="35"/>
      <c r="C9" s="36">
        <v>0</v>
      </c>
      <c r="D9" s="35"/>
      <c r="E9" s="37">
        <v>0</v>
      </c>
      <c r="F9" s="27"/>
      <c r="G9" s="30"/>
      <c r="H9" s="30"/>
      <c r="J9" s="32"/>
      <c r="K9" s="38"/>
    </row>
    <row r="10" spans="1:14">
      <c r="A10" s="34" t="s">
        <v>30</v>
      </c>
      <c r="B10" s="35"/>
      <c r="C10" s="36">
        <v>0</v>
      </c>
      <c r="D10" s="35"/>
      <c r="E10" s="37">
        <v>0</v>
      </c>
      <c r="F10" s="27"/>
      <c r="G10" s="30"/>
      <c r="H10" s="30"/>
      <c r="I10" s="30"/>
      <c r="J10" s="32"/>
      <c r="K10" s="38"/>
    </row>
    <row r="11" spans="1:14">
      <c r="A11" s="20"/>
      <c r="B11" s="20"/>
      <c r="C11" s="39"/>
      <c r="D11" s="20"/>
      <c r="E11" s="40"/>
      <c r="F11" s="20"/>
      <c r="G11" s="26"/>
      <c r="H11" s="26"/>
      <c r="I11" s="26"/>
    </row>
    <row r="12" spans="1:14">
      <c r="A12" s="20"/>
      <c r="B12" s="20"/>
      <c r="C12" s="25"/>
      <c r="D12" s="20"/>
      <c r="E12" s="40"/>
      <c r="F12" s="20"/>
      <c r="G12" s="26"/>
      <c r="H12" s="26"/>
      <c r="I12" s="26"/>
    </row>
    <row r="13" spans="1:14">
      <c r="A13" s="27" t="s">
        <v>31</v>
      </c>
      <c r="B13" s="27"/>
      <c r="C13" s="28"/>
      <c r="D13" s="27"/>
      <c r="E13" s="29">
        <f>E14+E15</f>
        <v>160185.78</v>
      </c>
      <c r="F13" s="27"/>
      <c r="G13" s="30">
        <v>5031230</v>
      </c>
      <c r="H13" s="30"/>
      <c r="I13" s="31">
        <v>4954070</v>
      </c>
      <c r="J13" s="32"/>
      <c r="K13" s="123">
        <f>IFERROR(E13/I13*1000,0)</f>
        <v>32.334177756874652</v>
      </c>
    </row>
    <row r="14" spans="1:14">
      <c r="A14" s="42" t="s">
        <v>30</v>
      </c>
      <c r="B14" s="27"/>
      <c r="C14" s="43">
        <v>0</v>
      </c>
      <c r="D14" s="27"/>
      <c r="E14" s="29">
        <v>0</v>
      </c>
      <c r="F14" s="27"/>
      <c r="G14" s="30"/>
      <c r="H14" s="30"/>
      <c r="I14" s="30"/>
      <c r="J14" s="32"/>
      <c r="K14" s="38"/>
      <c r="M14" s="44"/>
      <c r="N14" s="44"/>
    </row>
    <row r="15" spans="1:14">
      <c r="A15" s="42" t="s">
        <v>32</v>
      </c>
      <c r="B15" s="27"/>
      <c r="C15" s="36">
        <v>76834</v>
      </c>
      <c r="D15" s="35"/>
      <c r="E15" s="37">
        <v>160185.78</v>
      </c>
      <c r="F15" s="27"/>
      <c r="G15" s="30"/>
      <c r="H15" s="30"/>
      <c r="I15" s="30"/>
      <c r="J15" s="32"/>
      <c r="K15" s="38"/>
      <c r="N15" s="45"/>
    </row>
    <row r="16" spans="1:14">
      <c r="A16" s="20"/>
      <c r="B16" s="20"/>
      <c r="C16" s="25"/>
      <c r="D16" s="20"/>
      <c r="E16" s="40"/>
      <c r="F16" s="20"/>
      <c r="G16" s="26"/>
      <c r="H16" s="26"/>
      <c r="I16" s="26"/>
    </row>
    <row r="17" spans="1:21">
      <c r="A17" s="27" t="s">
        <v>33</v>
      </c>
      <c r="B17" s="27"/>
      <c r="C17" s="28"/>
      <c r="D17" s="27"/>
      <c r="E17" s="29">
        <f>SUM(E18:E20)</f>
        <v>3565983.1100000003</v>
      </c>
      <c r="F17" s="27"/>
      <c r="G17" s="30">
        <v>146540130</v>
      </c>
      <c r="H17" s="30"/>
      <c r="I17" s="30">
        <v>133980220</v>
      </c>
      <c r="J17" s="32"/>
      <c r="K17" s="46">
        <f>IFERROR(E17/I17*1000,0)</f>
        <v>26.615743055206213</v>
      </c>
    </row>
    <row r="18" spans="1:21">
      <c r="A18" s="42" t="s">
        <v>29</v>
      </c>
      <c r="B18" s="27"/>
      <c r="C18" s="28">
        <v>65155.61</v>
      </c>
      <c r="D18" s="27"/>
      <c r="E18" s="73">
        <v>3143356.16</v>
      </c>
      <c r="F18" s="27"/>
      <c r="G18" s="30"/>
      <c r="H18" s="30"/>
      <c r="I18" s="30"/>
      <c r="J18" s="32"/>
      <c r="K18" s="38"/>
    </row>
    <row r="19" spans="1:21">
      <c r="A19" s="42" t="s">
        <v>34</v>
      </c>
      <c r="B19" s="27"/>
      <c r="C19" s="43">
        <v>0</v>
      </c>
      <c r="D19" s="27"/>
      <c r="E19" s="29">
        <v>0</v>
      </c>
      <c r="F19" s="27"/>
      <c r="G19" s="30"/>
      <c r="H19" s="30"/>
      <c r="I19" s="30"/>
      <c r="J19" s="32"/>
      <c r="K19" s="46"/>
    </row>
    <row r="20" spans="1:21">
      <c r="A20" s="42" t="s">
        <v>30</v>
      </c>
      <c r="B20" s="27"/>
      <c r="C20" s="28">
        <v>148806.13</v>
      </c>
      <c r="D20" s="27"/>
      <c r="E20" s="29">
        <v>422626.95</v>
      </c>
      <c r="F20" s="27"/>
      <c r="G20" s="30"/>
      <c r="H20" s="30"/>
      <c r="I20" s="30"/>
      <c r="J20" s="32"/>
      <c r="K20" s="38"/>
    </row>
    <row r="21" spans="1:21">
      <c r="A21" s="20"/>
      <c r="B21" s="20"/>
      <c r="C21" s="39"/>
      <c r="D21" s="20"/>
      <c r="E21" s="40"/>
      <c r="F21" s="20"/>
      <c r="G21" s="26"/>
      <c r="H21" s="26"/>
      <c r="I21" s="26"/>
    </row>
    <row r="22" spans="1:21" ht="15" customHeight="1">
      <c r="A22" s="20" t="s">
        <v>35</v>
      </c>
      <c r="B22" s="20"/>
      <c r="C22" s="39"/>
      <c r="D22" s="20"/>
      <c r="E22" s="47">
        <f>SUM(E23:E24)</f>
        <v>0</v>
      </c>
      <c r="F22" s="20"/>
      <c r="G22" s="26">
        <v>0</v>
      </c>
      <c r="H22" s="26"/>
      <c r="I22" s="48">
        <f>-63968/2</f>
        <v>-31984</v>
      </c>
      <c r="K22" s="49">
        <f>IFERROR(E22/I22*1000,0)</f>
        <v>0</v>
      </c>
    </row>
    <row r="23" spans="1:21" ht="15" customHeight="1">
      <c r="A23" s="50" t="s">
        <v>29</v>
      </c>
      <c r="B23" s="20"/>
      <c r="C23" s="39">
        <v>0</v>
      </c>
      <c r="D23" s="20"/>
      <c r="E23" s="40">
        <v>0</v>
      </c>
      <c r="F23" s="20"/>
      <c r="G23" s="26"/>
      <c r="H23" s="26"/>
      <c r="I23" s="26"/>
    </row>
    <row r="24" spans="1:21" ht="15" customHeight="1">
      <c r="A24" s="50" t="s">
        <v>30</v>
      </c>
      <c r="B24" s="20"/>
      <c r="C24" s="39">
        <v>0</v>
      </c>
      <c r="D24" s="20"/>
      <c r="E24" s="40">
        <v>0</v>
      </c>
      <c r="F24" s="20"/>
      <c r="G24" s="26"/>
      <c r="H24" s="26"/>
      <c r="I24" s="26"/>
    </row>
    <row r="25" spans="1:21" ht="15" customHeight="1">
      <c r="A25" s="20"/>
      <c r="B25" s="20"/>
      <c r="C25" s="39"/>
      <c r="D25" s="20"/>
      <c r="E25" s="40"/>
      <c r="F25" s="20"/>
      <c r="G25" s="26"/>
      <c r="H25" s="26"/>
      <c r="I25" s="26"/>
    </row>
    <row r="26" spans="1:21" ht="15" customHeight="1">
      <c r="A26" s="20" t="s">
        <v>36</v>
      </c>
      <c r="B26" s="20"/>
      <c r="C26" s="39"/>
      <c r="D26" s="20"/>
      <c r="E26" s="47">
        <f>SUM(E27:E28)</f>
        <v>0</v>
      </c>
      <c r="F26" s="20"/>
      <c r="G26" s="48">
        <v>0</v>
      </c>
      <c r="H26" s="26"/>
      <c r="I26" s="48">
        <v>-31984</v>
      </c>
      <c r="K26" s="49">
        <f>IFERROR(E26/I26*1000,0)</f>
        <v>0</v>
      </c>
    </row>
    <row r="27" spans="1:21" ht="15" customHeight="1">
      <c r="A27" s="50" t="s">
        <v>29</v>
      </c>
      <c r="B27" s="20"/>
      <c r="C27" s="39">
        <v>0</v>
      </c>
      <c r="D27" s="20"/>
      <c r="E27" s="40">
        <v>0</v>
      </c>
      <c r="F27" s="20"/>
      <c r="G27" s="26"/>
      <c r="H27" s="26"/>
      <c r="I27" s="26"/>
      <c r="M27" s="51"/>
      <c r="N27" s="45"/>
    </row>
    <row r="28" spans="1:21" ht="15" customHeight="1">
      <c r="A28" s="50" t="s">
        <v>30</v>
      </c>
      <c r="B28" s="20"/>
      <c r="C28" s="39">
        <v>0</v>
      </c>
      <c r="D28" s="20"/>
      <c r="E28" s="40">
        <v>0</v>
      </c>
      <c r="F28" s="20"/>
      <c r="G28" s="26"/>
      <c r="H28" s="26"/>
      <c r="I28" s="26"/>
      <c r="T28" s="52"/>
      <c r="U28" s="52"/>
    </row>
    <row r="29" spans="1:21" ht="15" customHeight="1">
      <c r="A29" s="20"/>
      <c r="B29" s="20"/>
      <c r="C29" s="25"/>
      <c r="D29" s="20"/>
      <c r="E29" s="40"/>
      <c r="F29" s="20"/>
      <c r="G29" s="26"/>
      <c r="H29" s="26"/>
      <c r="I29" s="26"/>
      <c r="T29" s="52"/>
      <c r="U29" s="52"/>
    </row>
    <row r="30" spans="1:21">
      <c r="A30" s="27" t="s">
        <v>37</v>
      </c>
      <c r="B30" s="27"/>
      <c r="C30" s="28"/>
      <c r="D30" s="27"/>
      <c r="E30" s="29">
        <f>SUM(E31:E32)</f>
        <v>0</v>
      </c>
      <c r="F30" s="27"/>
      <c r="G30" s="30">
        <f>SUM(G22:G27)</f>
        <v>0</v>
      </c>
      <c r="H30" s="30"/>
      <c r="I30" s="31">
        <f>SUM(I22:I27)</f>
        <v>-63968</v>
      </c>
      <c r="J30" s="32"/>
      <c r="K30" s="46">
        <f>IFERROR(E30/I30*1000,0)</f>
        <v>0</v>
      </c>
    </row>
    <row r="31" spans="1:21">
      <c r="A31" s="42" t="s">
        <v>29</v>
      </c>
      <c r="B31" s="27"/>
      <c r="C31" s="43">
        <f>C23+C27</f>
        <v>0</v>
      </c>
      <c r="D31" s="27"/>
      <c r="E31" s="29">
        <f>E23+E27</f>
        <v>0</v>
      </c>
      <c r="F31" s="27"/>
      <c r="G31" s="30"/>
      <c r="H31" s="30"/>
      <c r="I31" s="30"/>
      <c r="J31" s="32"/>
      <c r="K31" s="38"/>
    </row>
    <row r="32" spans="1:21">
      <c r="A32" s="42" t="s">
        <v>30</v>
      </c>
      <c r="B32" s="27"/>
      <c r="C32" s="43">
        <f>C24+C28</f>
        <v>0</v>
      </c>
      <c r="D32" s="27"/>
      <c r="E32" s="29">
        <f>E24+E28</f>
        <v>0</v>
      </c>
      <c r="F32" s="27"/>
      <c r="G32" s="30"/>
      <c r="H32" s="30"/>
      <c r="I32" s="30"/>
      <c r="J32" s="32"/>
      <c r="K32" s="38"/>
    </row>
    <row r="33" spans="1:22">
      <c r="A33" s="20"/>
      <c r="B33" s="20"/>
      <c r="C33" s="25"/>
      <c r="D33" s="20"/>
      <c r="E33" s="40"/>
      <c r="F33" s="20"/>
      <c r="G33" s="26"/>
      <c r="H33" s="26"/>
      <c r="I33" s="26"/>
      <c r="V33" s="52"/>
    </row>
    <row r="34" spans="1:22">
      <c r="A34" s="12" t="s">
        <v>38</v>
      </c>
      <c r="C34" s="39"/>
      <c r="D34" s="20"/>
      <c r="E34" s="47">
        <f>SUM(E35:E37)</f>
        <v>1618344.28</v>
      </c>
      <c r="G34" s="26">
        <v>78332064</v>
      </c>
      <c r="I34" s="26">
        <v>70669145</v>
      </c>
      <c r="K34" s="49">
        <f>E34/I34*1000</f>
        <v>22.900295171251894</v>
      </c>
      <c r="V34" s="52"/>
    </row>
    <row r="35" spans="1:22">
      <c r="A35" s="50" t="s">
        <v>29</v>
      </c>
      <c r="C35" s="39">
        <v>0</v>
      </c>
      <c r="D35" s="20"/>
      <c r="E35" s="40">
        <v>0</v>
      </c>
      <c r="V35" s="52"/>
    </row>
    <row r="36" spans="1:22">
      <c r="A36" s="50" t="s">
        <v>34</v>
      </c>
      <c r="C36" s="39">
        <v>0</v>
      </c>
      <c r="D36" s="20"/>
      <c r="E36" s="40">
        <v>0</v>
      </c>
      <c r="M36" s="53"/>
      <c r="V36" s="52"/>
    </row>
    <row r="37" spans="1:22">
      <c r="A37" s="50" t="s">
        <v>32</v>
      </c>
      <c r="C37" s="39">
        <v>781575</v>
      </c>
      <c r="D37" s="20"/>
      <c r="E37" s="40">
        <v>1618344.28</v>
      </c>
      <c r="N37" s="52"/>
      <c r="T37" s="74"/>
      <c r="V37" s="52"/>
    </row>
    <row r="38" spans="1:22">
      <c r="C38" s="39"/>
      <c r="D38" s="20"/>
      <c r="E38" s="40"/>
      <c r="N38" s="54"/>
    </row>
    <row r="39" spans="1:22">
      <c r="A39" s="12" t="s">
        <v>39</v>
      </c>
      <c r="C39" s="39"/>
      <c r="D39" s="20"/>
      <c r="E39" s="47">
        <f>SUM(E40:E42)</f>
        <v>683370.71</v>
      </c>
      <c r="G39" s="26">
        <v>28087811</v>
      </c>
      <c r="I39" s="26">
        <v>23640314</v>
      </c>
      <c r="K39" s="49">
        <f>IFERROR(E39/I39*1000,0)</f>
        <v>28.907006480539977</v>
      </c>
      <c r="N39" s="26"/>
    </row>
    <row r="40" spans="1:22">
      <c r="A40" s="50" t="s">
        <v>29</v>
      </c>
      <c r="C40" s="39">
        <v>0</v>
      </c>
      <c r="D40" s="20"/>
      <c r="E40" s="40">
        <v>0</v>
      </c>
    </row>
    <row r="41" spans="1:22">
      <c r="A41" s="50" t="s">
        <v>34</v>
      </c>
      <c r="C41" s="39">
        <v>0</v>
      </c>
      <c r="D41" s="20"/>
      <c r="E41" s="40">
        <v>0</v>
      </c>
      <c r="I41" s="14"/>
    </row>
    <row r="42" spans="1:22">
      <c r="A42" s="50" t="s">
        <v>32</v>
      </c>
      <c r="C42" s="39">
        <v>338811</v>
      </c>
      <c r="D42" s="20"/>
      <c r="E42" s="40">
        <v>683370.71</v>
      </c>
    </row>
    <row r="43" spans="1:22">
      <c r="E43" s="55"/>
    </row>
    <row r="44" spans="1:22">
      <c r="A44" s="32" t="s">
        <v>40</v>
      </c>
      <c r="B44" s="32"/>
      <c r="C44" s="38"/>
      <c r="D44" s="32"/>
      <c r="E44" s="56">
        <f>SUM(E45:E47)</f>
        <v>2301714.9900000002</v>
      </c>
      <c r="F44" s="32"/>
      <c r="G44" s="57">
        <f>SUM(G34:G41)</f>
        <v>106419875</v>
      </c>
      <c r="H44" s="57"/>
      <c r="I44" s="57">
        <f>SUM(I34:I41)</f>
        <v>94309459</v>
      </c>
      <c r="J44" s="32"/>
      <c r="K44" s="46">
        <f>E44/I44*1000</f>
        <v>24.40598233099821</v>
      </c>
      <c r="L44" s="58"/>
    </row>
    <row r="45" spans="1:22">
      <c r="A45" s="42" t="s">
        <v>29</v>
      </c>
      <c r="B45" s="32"/>
      <c r="C45" s="38">
        <f>C35+C40</f>
        <v>0</v>
      </c>
      <c r="D45" s="32"/>
      <c r="E45" s="56">
        <f>E35+E40</f>
        <v>0</v>
      </c>
      <c r="F45" s="32"/>
      <c r="G45" s="38"/>
      <c r="H45" s="57"/>
      <c r="I45" s="57"/>
      <c r="J45" s="32"/>
      <c r="K45" s="38"/>
      <c r="L45" s="58"/>
    </row>
    <row r="46" spans="1:22">
      <c r="A46" s="42" t="s">
        <v>34</v>
      </c>
      <c r="B46" s="32"/>
      <c r="C46" s="59">
        <f>C36+C41</f>
        <v>0</v>
      </c>
      <c r="D46" s="32"/>
      <c r="E46" s="56">
        <f>E36+E41</f>
        <v>0</v>
      </c>
      <c r="F46" s="32"/>
      <c r="G46" s="57"/>
      <c r="H46" s="57"/>
      <c r="I46" s="57"/>
      <c r="J46" s="32"/>
      <c r="K46" s="38"/>
      <c r="L46" s="58"/>
    </row>
    <row r="47" spans="1:22">
      <c r="A47" s="42" t="s">
        <v>32</v>
      </c>
      <c r="B47" s="32"/>
      <c r="C47" s="38">
        <f>C37+C42</f>
        <v>1120386</v>
      </c>
      <c r="D47" s="32"/>
      <c r="E47" s="56">
        <f>E37+E42</f>
        <v>2301714.9900000002</v>
      </c>
      <c r="F47" s="32"/>
      <c r="G47" s="57"/>
      <c r="H47" s="57"/>
      <c r="I47" s="57"/>
      <c r="J47" s="32"/>
      <c r="K47" s="38"/>
      <c r="L47" s="58"/>
    </row>
    <row r="48" spans="1:22">
      <c r="E48" s="55"/>
    </row>
    <row r="49" spans="1:13">
      <c r="A49" s="60" t="s">
        <v>41</v>
      </c>
      <c r="E49" s="61">
        <f>E8+E13+E17+E30+E44</f>
        <v>6027883.8800000008</v>
      </c>
      <c r="F49" s="60"/>
      <c r="G49" s="62">
        <f>G8+G13+G17+G30+G44</f>
        <v>257991235</v>
      </c>
      <c r="H49" s="62"/>
      <c r="I49" s="62">
        <f>I8+I13+I17+I30+I44</f>
        <v>233179781</v>
      </c>
      <c r="J49" s="60"/>
      <c r="K49" s="63">
        <f>E49/I49*1000</f>
        <v>25.850799988529026</v>
      </c>
      <c r="L49" s="64"/>
    </row>
    <row r="51" spans="1:13">
      <c r="E51" s="135" t="s">
        <v>42</v>
      </c>
      <c r="F51" s="135"/>
      <c r="G51" s="135"/>
      <c r="I51" s="75">
        <v>10200656</v>
      </c>
    </row>
    <row r="52" spans="1:13">
      <c r="E52" s="135" t="s">
        <v>43</v>
      </c>
      <c r="F52" s="135"/>
      <c r="G52" s="135"/>
      <c r="I52" s="65">
        <f>I49-I51</f>
        <v>222979125</v>
      </c>
      <c r="K52" s="63">
        <f>E49/I52*1000</f>
        <v>27.033400009978518</v>
      </c>
    </row>
    <row r="53" spans="1:13">
      <c r="C53" s="136" t="s">
        <v>44</v>
      </c>
      <c r="D53" s="136"/>
      <c r="E53" s="136"/>
      <c r="F53" s="136"/>
      <c r="G53" s="136"/>
      <c r="I53" s="15">
        <f>+I8+I30</f>
        <v>-63968</v>
      </c>
      <c r="K53" s="63"/>
    </row>
    <row r="54" spans="1:13" ht="15" thickBot="1">
      <c r="C54" s="132" t="s">
        <v>45</v>
      </c>
      <c r="D54" s="132"/>
      <c r="E54" s="132"/>
      <c r="F54" s="132"/>
      <c r="G54" s="132"/>
      <c r="I54" s="66">
        <f>I52+-I53</f>
        <v>223043093</v>
      </c>
      <c r="K54" s="67">
        <f>E49/I54*1000</f>
        <v>27.025646922857195</v>
      </c>
    </row>
    <row r="55" spans="1:13" ht="15" thickTop="1">
      <c r="G55" s="62"/>
      <c r="I55" s="62"/>
      <c r="K55" s="63"/>
      <c r="M55" s="68"/>
    </row>
    <row r="56" spans="1:13">
      <c r="C56" s="12"/>
      <c r="I56" s="69" t="s">
        <v>46</v>
      </c>
    </row>
    <row r="57" spans="1:13">
      <c r="C57" s="12" t="s">
        <v>29</v>
      </c>
      <c r="E57" s="70">
        <f>IFERROR(E9+E18+E31+E45,0)</f>
        <v>3143356.16</v>
      </c>
      <c r="G57" s="71"/>
    </row>
    <row r="58" spans="1:13">
      <c r="C58" s="12" t="s">
        <v>47</v>
      </c>
      <c r="E58" s="70">
        <f>E19+E46</f>
        <v>0</v>
      </c>
    </row>
    <row r="59" spans="1:13">
      <c r="C59" s="12" t="s">
        <v>30</v>
      </c>
      <c r="E59" s="70">
        <f>IFERROR(E10+E14+E20+E32,0)</f>
        <v>422626.95</v>
      </c>
      <c r="G59" s="14"/>
    </row>
    <row r="60" spans="1:13">
      <c r="C60" s="12" t="s">
        <v>32</v>
      </c>
      <c r="E60" s="55">
        <f>E15+E47</f>
        <v>2461900.77</v>
      </c>
      <c r="G60" s="14"/>
      <c r="K60" s="49"/>
    </row>
    <row r="61" spans="1:13" ht="15" thickBot="1">
      <c r="B61" s="14"/>
      <c r="C61" s="12"/>
      <c r="E61" s="72">
        <f>SUM(E57:E60)</f>
        <v>6027883.8800000008</v>
      </c>
    </row>
    <row r="62" spans="1:13" ht="15" thickTop="1"/>
    <row r="63" spans="1:13">
      <c r="J63"/>
      <c r="K63"/>
    </row>
  </sheetData>
  <mergeCells count="7">
    <mergeCell ref="C54:G54"/>
    <mergeCell ref="A2:K2"/>
    <mergeCell ref="A3:K3"/>
    <mergeCell ref="E4:G4"/>
    <mergeCell ref="E51:G51"/>
    <mergeCell ref="E52:G52"/>
    <mergeCell ref="C53:G5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BA081-544A-4FD3-ADC4-570F18CF0B2A}">
  <dimension ref="A1:G40"/>
  <sheetViews>
    <sheetView workbookViewId="0">
      <selection activeCell="B11" sqref="B11"/>
    </sheetView>
  </sheetViews>
  <sheetFormatPr defaultColWidth="9.125" defaultRowHeight="12.75"/>
  <cols>
    <col min="1" max="1" width="4" style="76" customWidth="1"/>
    <col min="2" max="2" width="69.625" style="76" customWidth="1"/>
    <col min="3" max="3" width="9.75" style="76" customWidth="1"/>
    <col min="4" max="4" width="2.875" style="76" customWidth="1"/>
    <col min="5" max="5" width="18.875" style="76" bestFit="1" customWidth="1"/>
    <col min="6" max="6" width="3.25" style="76" customWidth="1"/>
    <col min="7" max="7" width="4.625" style="76" customWidth="1"/>
    <col min="8" max="16384" width="9.125" style="76"/>
  </cols>
  <sheetData>
    <row r="1" spans="1:6">
      <c r="A1" s="58"/>
      <c r="B1" s="58"/>
      <c r="F1" s="77"/>
    </row>
    <row r="2" spans="1:6">
      <c r="E2" s="77" t="s">
        <v>48</v>
      </c>
      <c r="F2" s="77"/>
    </row>
    <row r="3" spans="1:6">
      <c r="A3" s="58"/>
      <c r="E3" s="78" t="s">
        <v>49</v>
      </c>
      <c r="F3" s="77"/>
    </row>
    <row r="4" spans="1:6">
      <c r="E4" s="78"/>
      <c r="F4" s="77"/>
    </row>
    <row r="5" spans="1:6">
      <c r="A5" s="137" t="s">
        <v>19</v>
      </c>
      <c r="B5" s="137"/>
      <c r="C5" s="137"/>
      <c r="D5" s="137"/>
      <c r="E5" s="137"/>
      <c r="F5" s="80"/>
    </row>
    <row r="6" spans="1:6">
      <c r="A6" s="137" t="s">
        <v>50</v>
      </c>
      <c r="B6" s="137"/>
      <c r="C6" s="137"/>
      <c r="D6" s="137"/>
      <c r="E6" s="137"/>
      <c r="F6" s="80"/>
    </row>
    <row r="7" spans="1:6" ht="17.25" customHeight="1">
      <c r="A7" s="79" t="s">
        <v>22</v>
      </c>
      <c r="B7" s="81"/>
      <c r="C7" s="80"/>
      <c r="D7" s="80"/>
      <c r="E7" s="80"/>
      <c r="F7" s="80"/>
    </row>
    <row r="8" spans="1:6">
      <c r="A8" s="138" t="str">
        <f>'[1]FAC - Page 1'!$A$9:$G$9</f>
        <v>Expense Month: November 2023</v>
      </c>
      <c r="B8" s="138"/>
      <c r="C8" s="138"/>
      <c r="D8" s="138"/>
      <c r="E8" s="138"/>
      <c r="F8" s="80"/>
    </row>
    <row r="9" spans="1:6" ht="17.25" customHeight="1">
      <c r="B9" s="139"/>
      <c r="C9" s="139"/>
      <c r="D9" s="139"/>
      <c r="E9" s="139"/>
    </row>
    <row r="10" spans="1:6">
      <c r="A10" s="82" t="s">
        <v>51</v>
      </c>
      <c r="B10" s="83" t="s">
        <v>52</v>
      </c>
    </row>
    <row r="11" spans="1:6">
      <c r="B11" s="76" t="s">
        <v>53</v>
      </c>
      <c r="D11" s="84" t="s">
        <v>54</v>
      </c>
      <c r="E11" s="85">
        <f>ROUND('[1]Inputs (Not Filed)'!N18,0)</f>
        <v>5262483</v>
      </c>
      <c r="F11" s="84"/>
    </row>
    <row r="12" spans="1:6">
      <c r="B12" s="86" t="s">
        <v>55</v>
      </c>
      <c r="D12" s="84" t="s">
        <v>54</v>
      </c>
      <c r="E12" s="87">
        <f>ROUND('[1]Inputs (Not Filed)'!N19,0)</f>
        <v>0</v>
      </c>
      <c r="F12" s="84"/>
    </row>
    <row r="13" spans="1:6">
      <c r="B13" s="76" t="s">
        <v>56</v>
      </c>
      <c r="D13" s="84" t="s">
        <v>54</v>
      </c>
      <c r="E13" s="87">
        <f>ROUND('[1]Inputs (Not Filed)'!N20,0)</f>
        <v>338519</v>
      </c>
      <c r="F13" s="84"/>
    </row>
    <row r="14" spans="1:6" ht="14.25">
      <c r="A14" s="88"/>
      <c r="B14" s="76" t="s">
        <v>57</v>
      </c>
      <c r="D14" s="84" t="s">
        <v>54</v>
      </c>
      <c r="E14" s="87">
        <f>ROUND('[1]Inputs (Not Filed)'!N21,0)</f>
        <v>289870</v>
      </c>
    </row>
    <row r="15" spans="1:6">
      <c r="B15" s="86" t="s">
        <v>58</v>
      </c>
      <c r="D15" s="84" t="s">
        <v>54</v>
      </c>
      <c r="E15" s="87">
        <f>ROUND('[1]Inputs (Not Filed)'!N22,0)</f>
        <v>0</v>
      </c>
    </row>
    <row r="16" spans="1:6">
      <c r="B16" s="89" t="s">
        <v>59</v>
      </c>
      <c r="D16" s="84" t="s">
        <v>60</v>
      </c>
      <c r="E16" s="87">
        <f>ROUND('[1]Inputs (Not Filed)'!N23,0)</f>
        <v>4871</v>
      </c>
    </row>
    <row r="17" spans="1:7">
      <c r="B17" s="76" t="s">
        <v>61</v>
      </c>
      <c r="D17" s="84" t="s">
        <v>54</v>
      </c>
      <c r="E17" s="87">
        <f>ROUND('[1]Inputs (Not Filed)'!N24,0)</f>
        <v>640622</v>
      </c>
      <c r="F17" s="90"/>
    </row>
    <row r="18" spans="1:7">
      <c r="B18" s="76" t="s">
        <v>62</v>
      </c>
      <c r="D18" s="84" t="s">
        <v>60</v>
      </c>
      <c r="E18" s="91">
        <f>ROUND('[1]Inputs (Not Filed)'!N25,0)</f>
        <v>0</v>
      </c>
      <c r="F18" s="90"/>
    </row>
    <row r="19" spans="1:7">
      <c r="B19" s="76" t="s">
        <v>63</v>
      </c>
      <c r="D19" s="90" t="s">
        <v>60</v>
      </c>
      <c r="E19" s="91">
        <f>ROUND('[1]Inputs (Not Filed)'!N26,0)</f>
        <v>0</v>
      </c>
      <c r="F19" s="90"/>
    </row>
    <row r="20" spans="1:7">
      <c r="B20" s="92" t="s">
        <v>64</v>
      </c>
      <c r="D20" s="90" t="s">
        <v>60</v>
      </c>
      <c r="E20" s="93">
        <f>ROUND('[1]Inputs (Not Filed)'!N27,0)</f>
        <v>0</v>
      </c>
      <c r="F20" s="90"/>
    </row>
    <row r="21" spans="1:7">
      <c r="B21" s="76" t="s">
        <v>65</v>
      </c>
      <c r="E21" s="94">
        <f>E11+E12+E13+E14+E15-E16+E17-E18-E19-E20</f>
        <v>6526623</v>
      </c>
      <c r="G21" s="95"/>
    </row>
    <row r="23" spans="1:7">
      <c r="A23" s="82" t="s">
        <v>66</v>
      </c>
      <c r="B23" s="92" t="s">
        <v>67</v>
      </c>
    </row>
    <row r="24" spans="1:7">
      <c r="B24" s="76" t="s">
        <v>68</v>
      </c>
      <c r="D24" s="84" t="s">
        <v>54</v>
      </c>
      <c r="E24" s="85">
        <f>ROUND('[1]Inputs (Not Filed)'!N31,0)</f>
        <v>5319835</v>
      </c>
    </row>
    <row r="25" spans="1:7">
      <c r="B25" s="76" t="s">
        <v>69</v>
      </c>
      <c r="D25" s="84" t="s">
        <v>54</v>
      </c>
      <c r="E25" s="96">
        <f>ROUND('[1]Inputs (Not Filed)'!N32,0)</f>
        <v>1171370</v>
      </c>
    </row>
    <row r="26" spans="1:7">
      <c r="B26" s="76" t="s">
        <v>70</v>
      </c>
      <c r="D26" s="84" t="s">
        <v>54</v>
      </c>
      <c r="E26" s="96">
        <f>ROUND('[1]Inputs (Not Filed)'!N33,0)</f>
        <v>1088514</v>
      </c>
    </row>
    <row r="27" spans="1:7">
      <c r="B27" s="76" t="s">
        <v>71</v>
      </c>
      <c r="D27" s="84" t="s">
        <v>60</v>
      </c>
      <c r="E27" s="96">
        <f>IF((E17-E18)&gt;E26,(E17-E18),E26)</f>
        <v>1088514</v>
      </c>
      <c r="F27" s="90"/>
    </row>
    <row r="28" spans="1:7">
      <c r="B28" s="86" t="s">
        <v>72</v>
      </c>
      <c r="D28" s="84" t="s">
        <v>60</v>
      </c>
      <c r="E28" s="97">
        <f>ROUND('[1]Inputs (Not Filed)'!N35,0)</f>
        <v>0</v>
      </c>
      <c r="F28" s="90"/>
    </row>
    <row r="29" spans="1:7">
      <c r="B29" s="86" t="s">
        <v>73</v>
      </c>
      <c r="D29" s="90" t="s">
        <v>60</v>
      </c>
      <c r="E29" s="97">
        <f>ROUND('[1]Inputs (Not Filed)'!N36,0)</f>
        <v>564264</v>
      </c>
      <c r="F29" s="90"/>
    </row>
    <row r="30" spans="1:7">
      <c r="B30" s="98" t="s">
        <v>74</v>
      </c>
      <c r="D30" s="84" t="s">
        <v>60</v>
      </c>
      <c r="E30" s="99">
        <f>ROUND('[1]Inputs (Not Filed)'!N37,0)</f>
        <v>1263</v>
      </c>
    </row>
    <row r="31" spans="1:7">
      <c r="B31" s="76" t="s">
        <v>65</v>
      </c>
      <c r="E31" s="94">
        <f>+E24+E25+E26-E27-E28-E29-E30</f>
        <v>5925678</v>
      </c>
      <c r="G31" s="95"/>
    </row>
    <row r="33" spans="1:7">
      <c r="A33" s="82" t="s">
        <v>75</v>
      </c>
      <c r="B33" s="92" t="s">
        <v>76</v>
      </c>
    </row>
    <row r="34" spans="1:7">
      <c r="B34" s="76" t="s">
        <v>77</v>
      </c>
      <c r="D34" s="84"/>
      <c r="E34" s="100">
        <f>ROUND('[1]Inputs (Not Filed)'!N43,0)</f>
        <v>3974837</v>
      </c>
    </row>
    <row r="36" spans="1:7">
      <c r="A36" s="82" t="s">
        <v>78</v>
      </c>
      <c r="B36" s="92" t="s">
        <v>79</v>
      </c>
    </row>
    <row r="37" spans="1:7">
      <c r="B37" s="86" t="s">
        <v>80</v>
      </c>
      <c r="E37" s="100">
        <f>ROUND('[1]FAC - Page 4'!F35,0)</f>
        <v>215682</v>
      </c>
    </row>
    <row r="39" spans="1:7" ht="13.5" thickBot="1">
      <c r="B39" s="76" t="s">
        <v>81</v>
      </c>
      <c r="E39" s="101">
        <f>E21+E31-E34-E37</f>
        <v>8261782</v>
      </c>
      <c r="G39" s="95"/>
    </row>
    <row r="40" spans="1:7" ht="13.5" thickTop="1">
      <c r="E40" s="100"/>
    </row>
  </sheetData>
  <mergeCells count="4">
    <mergeCell ref="A5:E5"/>
    <mergeCell ref="A6:E6"/>
    <mergeCell ref="A8:E8"/>
    <mergeCell ref="B9:E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9D706-62B9-4A28-9156-3BEF77FA374D}">
  <dimension ref="A1:G40"/>
  <sheetViews>
    <sheetView workbookViewId="0">
      <selection activeCell="H31" sqref="H31"/>
    </sheetView>
  </sheetViews>
  <sheetFormatPr defaultColWidth="9.125" defaultRowHeight="12.75"/>
  <cols>
    <col min="1" max="1" width="4" style="76" customWidth="1"/>
    <col min="2" max="2" width="69.625" style="76" customWidth="1"/>
    <col min="3" max="3" width="9.75" style="76" customWidth="1"/>
    <col min="4" max="4" width="2.875" style="76" customWidth="1"/>
    <col min="5" max="5" width="18.875" style="76" bestFit="1" customWidth="1"/>
    <col min="6" max="6" width="3.25" style="76" customWidth="1"/>
    <col min="7" max="7" width="4.625" style="76" customWidth="1"/>
    <col min="8" max="16384" width="9.125" style="76"/>
  </cols>
  <sheetData>
    <row r="1" spans="1:6">
      <c r="A1" s="58"/>
      <c r="B1" s="58"/>
      <c r="F1" s="77"/>
    </row>
    <row r="2" spans="1:6">
      <c r="E2" s="77" t="s">
        <v>48</v>
      </c>
      <c r="F2" s="77"/>
    </row>
    <row r="3" spans="1:6">
      <c r="A3" s="58"/>
      <c r="E3" s="78" t="s">
        <v>49</v>
      </c>
      <c r="F3" s="77"/>
    </row>
    <row r="4" spans="1:6">
      <c r="E4" s="78"/>
      <c r="F4" s="77"/>
    </row>
    <row r="5" spans="1:6">
      <c r="A5" s="137" t="s">
        <v>19</v>
      </c>
      <c r="B5" s="137"/>
      <c r="C5" s="137"/>
      <c r="D5" s="137"/>
      <c r="E5" s="137"/>
      <c r="F5" s="80"/>
    </row>
    <row r="6" spans="1:6">
      <c r="A6" s="137" t="s">
        <v>50</v>
      </c>
      <c r="B6" s="137"/>
      <c r="C6" s="137"/>
      <c r="D6" s="137"/>
      <c r="E6" s="137"/>
      <c r="F6" s="80"/>
    </row>
    <row r="7" spans="1:6" ht="17.25" customHeight="1">
      <c r="A7" s="79" t="s">
        <v>22</v>
      </c>
      <c r="B7" s="81"/>
      <c r="C7" s="80"/>
      <c r="D7" s="80"/>
      <c r="E7" s="80"/>
      <c r="F7" s="80"/>
    </row>
    <row r="8" spans="1:6">
      <c r="A8" s="138" t="str">
        <f>'[2]FAC - Page 1'!$A$9:$G$9</f>
        <v>Expense Month: December 2023</v>
      </c>
      <c r="B8" s="138"/>
      <c r="C8" s="138"/>
      <c r="D8" s="138"/>
      <c r="E8" s="138"/>
      <c r="F8" s="80"/>
    </row>
    <row r="9" spans="1:6" ht="17.25" customHeight="1">
      <c r="B9" s="139"/>
      <c r="C9" s="139"/>
      <c r="D9" s="139"/>
      <c r="E9" s="139"/>
    </row>
    <row r="10" spans="1:6">
      <c r="A10" s="82" t="s">
        <v>51</v>
      </c>
      <c r="B10" s="83" t="s">
        <v>52</v>
      </c>
    </row>
    <row r="11" spans="1:6">
      <c r="B11" s="76" t="s">
        <v>53</v>
      </c>
      <c r="D11" s="84" t="s">
        <v>54</v>
      </c>
      <c r="E11" s="85">
        <f>ROUND('[2]Inputs (Not Filed)'!N18,0)</f>
        <v>5638402</v>
      </c>
      <c r="F11" s="84"/>
    </row>
    <row r="12" spans="1:6">
      <c r="B12" s="86" t="s">
        <v>55</v>
      </c>
      <c r="D12" s="84" t="s">
        <v>54</v>
      </c>
      <c r="E12" s="87">
        <f>ROUND('[2]Inputs (Not Filed)'!N19,0)</f>
        <v>0</v>
      </c>
      <c r="F12" s="84"/>
    </row>
    <row r="13" spans="1:6">
      <c r="B13" s="76" t="s">
        <v>56</v>
      </c>
      <c r="D13" s="84" t="s">
        <v>54</v>
      </c>
      <c r="E13" s="87">
        <f>ROUND('[2]Inputs (Not Filed)'!N20,0)</f>
        <v>151355</v>
      </c>
      <c r="F13" s="84"/>
    </row>
    <row r="14" spans="1:6" ht="14.25">
      <c r="A14" s="88"/>
      <c r="B14" s="76" t="s">
        <v>57</v>
      </c>
      <c r="D14" s="84" t="s">
        <v>54</v>
      </c>
      <c r="E14" s="87">
        <f>ROUND('[2]Inputs (Not Filed)'!N21,0)</f>
        <v>259495</v>
      </c>
    </row>
    <row r="15" spans="1:6">
      <c r="B15" s="86" t="s">
        <v>58</v>
      </c>
      <c r="D15" s="84" t="s">
        <v>54</v>
      </c>
      <c r="E15" s="87">
        <f>ROUND('[2]Inputs (Not Filed)'!N22,0)</f>
        <v>0</v>
      </c>
    </row>
    <row r="16" spans="1:6">
      <c r="B16" s="89" t="s">
        <v>59</v>
      </c>
      <c r="D16" s="84" t="s">
        <v>60</v>
      </c>
      <c r="E16" s="87">
        <f>ROUND('[2]Inputs (Not Filed)'!N23,0)</f>
        <v>30672</v>
      </c>
    </row>
    <row r="17" spans="1:7">
      <c r="B17" s="76" t="s">
        <v>61</v>
      </c>
      <c r="D17" s="84" t="s">
        <v>54</v>
      </c>
      <c r="E17" s="87">
        <f>ROUND('[2]Inputs (Not Filed)'!N24,0)</f>
        <v>740084</v>
      </c>
      <c r="F17" s="90"/>
    </row>
    <row r="18" spans="1:7">
      <c r="B18" s="76" t="s">
        <v>62</v>
      </c>
      <c r="D18" s="84" t="s">
        <v>60</v>
      </c>
      <c r="E18" s="91">
        <f>ROUND('[2]Inputs (Not Filed)'!N25,0)</f>
        <v>0</v>
      </c>
      <c r="F18" s="90"/>
    </row>
    <row r="19" spans="1:7">
      <c r="B19" s="76" t="s">
        <v>63</v>
      </c>
      <c r="D19" s="90" t="s">
        <v>60</v>
      </c>
      <c r="E19" s="91">
        <f>ROUND('[2]Inputs (Not Filed)'!N26,0)</f>
        <v>0</v>
      </c>
      <c r="F19" s="90"/>
    </row>
    <row r="20" spans="1:7">
      <c r="B20" s="92" t="s">
        <v>64</v>
      </c>
      <c r="D20" s="90" t="s">
        <v>60</v>
      </c>
      <c r="E20" s="93">
        <f>ROUND('[2]Inputs (Not Filed)'!N27,0)</f>
        <v>0</v>
      </c>
      <c r="F20" s="90"/>
    </row>
    <row r="21" spans="1:7">
      <c r="B21" s="76" t="s">
        <v>65</v>
      </c>
      <c r="E21" s="94">
        <f>E11+E12+E13+E14+E15-E16+E17-E18-E19-E20</f>
        <v>6758664</v>
      </c>
      <c r="G21" s="95"/>
    </row>
    <row r="23" spans="1:7">
      <c r="A23" s="82" t="s">
        <v>66</v>
      </c>
      <c r="B23" s="92" t="s">
        <v>67</v>
      </c>
    </row>
    <row r="24" spans="1:7">
      <c r="B24" s="76" t="s">
        <v>68</v>
      </c>
      <c r="D24" s="84" t="s">
        <v>54</v>
      </c>
      <c r="E24" s="85">
        <f>ROUND('[2]Inputs (Not Filed)'!N31,0)</f>
        <v>5297304</v>
      </c>
    </row>
    <row r="25" spans="1:7">
      <c r="B25" s="76" t="s">
        <v>69</v>
      </c>
      <c r="D25" s="84" t="s">
        <v>54</v>
      </c>
      <c r="E25" s="96">
        <f>ROUND('[2]Inputs (Not Filed)'!N32,0)</f>
        <v>1070389</v>
      </c>
    </row>
    <row r="26" spans="1:7">
      <c r="B26" s="76" t="s">
        <v>70</v>
      </c>
      <c r="D26" s="84" t="s">
        <v>54</v>
      </c>
      <c r="E26" s="96">
        <f>ROUND('[2]Inputs (Not Filed)'!N33,0)</f>
        <v>836526</v>
      </c>
    </row>
    <row r="27" spans="1:7">
      <c r="B27" s="76" t="s">
        <v>71</v>
      </c>
      <c r="D27" s="84" t="s">
        <v>60</v>
      </c>
      <c r="E27" s="96">
        <f>IF((E17-E18)&gt;E26,(E17-E18),E26)</f>
        <v>836526</v>
      </c>
      <c r="F27" s="90"/>
    </row>
    <row r="28" spans="1:7">
      <c r="B28" s="86" t="s">
        <v>72</v>
      </c>
      <c r="D28" s="84" t="s">
        <v>60</v>
      </c>
      <c r="E28" s="97">
        <f>ROUND('[2]Inputs (Not Filed)'!N35,0)</f>
        <v>0</v>
      </c>
      <c r="F28" s="90"/>
    </row>
    <row r="29" spans="1:7">
      <c r="B29" s="86" t="s">
        <v>73</v>
      </c>
      <c r="D29" s="90" t="s">
        <v>60</v>
      </c>
      <c r="E29" s="97">
        <f>ROUND('[2]Inputs (Not Filed)'!N36,0)</f>
        <v>507868</v>
      </c>
      <c r="F29" s="90"/>
    </row>
    <row r="30" spans="1:7">
      <c r="B30" s="98" t="s">
        <v>74</v>
      </c>
      <c r="D30" s="84" t="s">
        <v>60</v>
      </c>
      <c r="E30" s="99">
        <f>ROUND('[2]Inputs (Not Filed)'!N37,0)</f>
        <v>57348</v>
      </c>
    </row>
    <row r="31" spans="1:7">
      <c r="B31" s="76" t="s">
        <v>65</v>
      </c>
      <c r="E31" s="94">
        <f>+E24+E25+E26-E27-E28-E29-E30</f>
        <v>5802477</v>
      </c>
      <c r="G31" s="95"/>
    </row>
    <row r="33" spans="1:7">
      <c r="A33" s="82" t="s">
        <v>75</v>
      </c>
      <c r="B33" s="92" t="s">
        <v>76</v>
      </c>
    </row>
    <row r="34" spans="1:7">
      <c r="B34" s="76" t="s">
        <v>77</v>
      </c>
      <c r="D34" s="84"/>
      <c r="E34" s="100">
        <f>ROUND('[2]Inputs (Not Filed)'!N43,0)</f>
        <v>3233072</v>
      </c>
    </row>
    <row r="36" spans="1:7">
      <c r="A36" s="82" t="s">
        <v>78</v>
      </c>
      <c r="B36" s="92" t="s">
        <v>79</v>
      </c>
    </row>
    <row r="37" spans="1:7">
      <c r="B37" s="86" t="s">
        <v>80</v>
      </c>
      <c r="E37" s="100">
        <f>ROUND('[2]FAC - Page 4'!F35,0)</f>
        <v>515162</v>
      </c>
    </row>
    <row r="39" spans="1:7" ht="13.5" thickBot="1">
      <c r="B39" s="76" t="s">
        <v>81</v>
      </c>
      <c r="E39" s="101">
        <f>E21+E31-E34-E37</f>
        <v>8812907</v>
      </c>
      <c r="G39" s="95"/>
    </row>
    <row r="40" spans="1:7" ht="13.5" thickTop="1">
      <c r="E40" s="100"/>
    </row>
  </sheetData>
  <mergeCells count="4">
    <mergeCell ref="A5:E5"/>
    <mergeCell ref="A6:E6"/>
    <mergeCell ref="A8:E8"/>
    <mergeCell ref="B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PSC 1-16</vt:lpstr>
      <vt:lpstr>Form B FuelBurned 11.2023</vt:lpstr>
      <vt:lpstr>Form B FuelBurned 12.2023</vt:lpstr>
      <vt:lpstr>Form B FuelBurned 01.2024</vt:lpstr>
      <vt:lpstr>Form B FuelBurned 02.2024</vt:lpstr>
      <vt:lpstr>Form B FuelBurned 03.2024</vt:lpstr>
      <vt:lpstr>Form B FuelBurned 04.2024</vt:lpstr>
      <vt:lpstr>Form A Pg 2 11.2023</vt:lpstr>
      <vt:lpstr>Form A Pg 2 12.2023</vt:lpstr>
      <vt:lpstr>Form A Pg 2 01.2024</vt:lpstr>
      <vt:lpstr>Form A Pg 2 02.2024</vt:lpstr>
      <vt:lpstr>Form A Pg 2 03.2024</vt:lpstr>
      <vt:lpstr>Form A Pg 2 04.2024</vt:lpstr>
    </vt:vector>
  </TitlesOfParts>
  <Company>Big Rivers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Shelton, Becky</dc:creator>
  <cp:lastModifiedBy>Santana, Senthia</cp:lastModifiedBy>
  <cp:lastPrinted>2025-06-16T14:47:51Z</cp:lastPrinted>
  <dcterms:created xsi:type="dcterms:W3CDTF">2025-06-09T18:47:56Z</dcterms:created>
  <dcterms:modified xsi:type="dcterms:W3CDTF">2025-06-16T14:48:27Z</dcterms:modified>
</cp:coreProperties>
</file>