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dba73962b2cd367/Documents/Graves County WD/1st DR/"/>
    </mc:Choice>
  </mc:AlternateContent>
  <xr:revisionPtr revIDLastSave="0" documentId="8_{AD0603D7-9C38-4D93-BA2D-BFDD7293148C}" xr6:coauthVersionLast="47" xr6:coauthVersionMax="47" xr10:uidLastSave="{00000000-0000-0000-0000-000000000000}"/>
  <bookViews>
    <workbookView xWindow="-120" yWindow="-120" windowWidth="24240" windowHeight="13020" tabRatio="602" xr2:uid="{66DCB12E-7761-47D1-A8C5-985704888B5C}"/>
  </bookViews>
  <sheets>
    <sheet name="SAO - DSC" sheetId="3" r:id="rId1"/>
    <sheet name="SAO - Op Ratio" sheetId="78" r:id="rId2"/>
    <sheet name="Water Rate Inc" sheetId="83" r:id="rId3"/>
    <sheet name="Cost Excess Water Loss" sheetId="82" r:id="rId4"/>
    <sheet name="Contractual Services" sheetId="86" r:id="rId5"/>
    <sheet name="Sheet2" sheetId="87" r:id="rId6"/>
    <sheet name="Dep Adj" sheetId="74" r:id="rId7"/>
    <sheet name="TY Dep Sch" sheetId="79" r:id="rId8"/>
    <sheet name="NARUC Dep Lives" sheetId="55" r:id="rId9"/>
    <sheet name="Debt Sch" sheetId="5" r:id="rId10"/>
    <sheet name="KIA Loan B11-02" sheetId="68" r:id="rId11"/>
    <sheet name="KIA Loan B07-03" sheetId="80" r:id="rId12"/>
    <sheet name="KIA Loan B05-04" sheetId="81" r:id="rId13"/>
    <sheet name="CurRates" sheetId="25" r:id="rId14"/>
    <sheet name="Rates Comp DSC" sheetId="84" r:id="rId15"/>
    <sheet name="Rates Comp OR" sheetId="2" r:id="rId16"/>
    <sheet name="ExBA" sheetId="10" r:id="rId17"/>
    <sheet name="BA Adj" sheetId="28" r:id="rId18"/>
    <sheet name="Pro BA DSC" sheetId="85" r:id="rId19"/>
    <sheet name="Prop BA OR" sheetId="73" r:id="rId20"/>
    <sheet name="Table A" sheetId="56" r:id="rId21"/>
    <sheet name="Tble B" sheetId="45" r:id="rId22"/>
    <sheet name="Table C" sheetId="52" r:id="rId23"/>
    <sheet name="Table D" sheetId="57" r:id="rId24"/>
    <sheet name="Cust Notice - OR" sheetId="65" r:id="rId25"/>
    <sheet name="34x58 Inch" sheetId="58" r:id="rId26"/>
    <sheet name="1-Inch" sheetId="59" r:id="rId27"/>
    <sheet name="1 1-2-Inch" sheetId="60" r:id="rId28"/>
    <sheet name="2-Inch" sheetId="61" r:id="rId29"/>
    <sheet name="3-Inch" sheetId="62" r:id="rId30"/>
    <sheet name="4-Inch" sheetId="63" r:id="rId31"/>
    <sheet name="Wholesale" sheetId="64" r:id="rId32"/>
    <sheet name="Blank" sheetId="76" r:id="rId33"/>
  </sheets>
  <definedNames>
    <definedName name="_xlnm.Print_Area" localSheetId="13">CurRates!$C$2:$G$3</definedName>
    <definedName name="_xlnm.Print_Area" localSheetId="9">'Debt Sch'!$C$2:$H$7</definedName>
    <definedName name="_xlnm.Print_Area" localSheetId="16">ExBA!$C$1:$M$23</definedName>
    <definedName name="_xlnm.Print_Area" localSheetId="15">'Rates Comp OR'!#REF!</definedName>
    <definedName name="_xlnm.Print_Area" localSheetId="0">'SAO - DSC'!$B$5:$N$58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10" l="1"/>
  <c r="L10" i="10"/>
  <c r="I34" i="78"/>
  <c r="I27" i="78"/>
  <c r="I27" i="3"/>
  <c r="I34" i="3"/>
  <c r="D47" i="82" l="1"/>
  <c r="D46" i="82"/>
  <c r="D45" i="82"/>
  <c r="F17" i="83"/>
  <c r="D17" i="83"/>
  <c r="F16" i="83"/>
  <c r="F18" i="83" s="1"/>
  <c r="F7" i="86"/>
  <c r="F9" i="86" s="1"/>
  <c r="J12" i="86"/>
  <c r="M51" i="3" l="1"/>
  <c r="M52" i="3"/>
  <c r="M53" i="3"/>
  <c r="M50" i="3"/>
  <c r="S40" i="65"/>
  <c r="H52" i="65"/>
  <c r="S37" i="65"/>
  <c r="R37" i="65"/>
  <c r="S35" i="65"/>
  <c r="S30" i="65"/>
  <c r="S29" i="65"/>
  <c r="R31" i="65"/>
  <c r="R32" i="65"/>
  <c r="R30" i="65"/>
  <c r="S26" i="65"/>
  <c r="R24" i="65"/>
  <c r="R25" i="65"/>
  <c r="R23" i="65"/>
  <c r="S20" i="65"/>
  <c r="S19" i="65"/>
  <c r="S18" i="65"/>
  <c r="R20" i="65"/>
  <c r="R19" i="65"/>
  <c r="R18" i="65"/>
  <c r="H57" i="65"/>
  <c r="H56" i="65"/>
  <c r="H55" i="65"/>
  <c r="H54" i="65"/>
  <c r="H53" i="65"/>
  <c r="H51" i="65"/>
  <c r="N14" i="63"/>
  <c r="O14" i="63" s="1"/>
  <c r="N15" i="63"/>
  <c r="S15" i="63" s="1"/>
  <c r="N13" i="63"/>
  <c r="L22" i="63"/>
  <c r="L21" i="63"/>
  <c r="L20" i="63"/>
  <c r="L19" i="63"/>
  <c r="L18" i="63"/>
  <c r="L17" i="63"/>
  <c r="R15" i="63"/>
  <c r="Q15" i="63"/>
  <c r="Q22" i="63" s="1"/>
  <c r="R14" i="63"/>
  <c r="Q14" i="63"/>
  <c r="Q21" i="63" s="1"/>
  <c r="R13" i="63"/>
  <c r="Q13" i="63"/>
  <c r="Q20" i="63" s="1"/>
  <c r="S12" i="63"/>
  <c r="R12" i="63"/>
  <c r="Q12" i="63"/>
  <c r="Q19" i="63" s="1"/>
  <c r="S11" i="63"/>
  <c r="R11" i="63"/>
  <c r="Q11" i="63"/>
  <c r="Q18" i="63" s="1"/>
  <c r="O11" i="63"/>
  <c r="S10" i="63"/>
  <c r="Q10" i="63"/>
  <c r="Q17" i="63" s="1"/>
  <c r="M10" i="63"/>
  <c r="R10" i="63" s="1"/>
  <c r="M8" i="63"/>
  <c r="R8" i="63" s="1"/>
  <c r="B11" i="62"/>
  <c r="L22" i="62"/>
  <c r="L21" i="62"/>
  <c r="L20" i="62"/>
  <c r="R19" i="62"/>
  <c r="L19" i="62"/>
  <c r="L18" i="62"/>
  <c r="L17" i="62"/>
  <c r="T15" i="62"/>
  <c r="S15" i="62"/>
  <c r="R15" i="62"/>
  <c r="R22" i="62" s="1"/>
  <c r="O15" i="62"/>
  <c r="U15" i="62" s="1"/>
  <c r="T14" i="62"/>
  <c r="S14" i="62"/>
  <c r="R14" i="62"/>
  <c r="R21" i="62" s="1"/>
  <c r="O14" i="62"/>
  <c r="U14" i="62" s="1"/>
  <c r="S13" i="62"/>
  <c r="R13" i="62"/>
  <c r="R20" i="62" s="1"/>
  <c r="N13" i="62"/>
  <c r="U12" i="62"/>
  <c r="S12" i="62"/>
  <c r="R12" i="62"/>
  <c r="N12" i="62"/>
  <c r="T12" i="62" s="1"/>
  <c r="U11" i="62"/>
  <c r="S11" i="62"/>
  <c r="R11" i="62"/>
  <c r="R18" i="62" s="1"/>
  <c r="N11" i="62"/>
  <c r="P11" i="62" s="1"/>
  <c r="U10" i="62"/>
  <c r="R10" i="62"/>
  <c r="R17" i="62" s="1"/>
  <c r="M10" i="62"/>
  <c r="S10" i="62" s="1"/>
  <c r="O8" i="62"/>
  <c r="U8" i="62" s="1"/>
  <c r="N8" i="62"/>
  <c r="T8" i="62" s="1"/>
  <c r="M8" i="62"/>
  <c r="S8" i="62" s="1"/>
  <c r="O15" i="61"/>
  <c r="O14" i="61"/>
  <c r="P14" i="61" s="1"/>
  <c r="N13" i="61"/>
  <c r="T15" i="61"/>
  <c r="M10" i="61"/>
  <c r="N8" i="61"/>
  <c r="T8" i="61" s="1"/>
  <c r="M8" i="61"/>
  <c r="S8" i="61" s="1"/>
  <c r="B11" i="61"/>
  <c r="O8" i="61" s="1"/>
  <c r="U8" i="61" s="1"/>
  <c r="L22" i="61"/>
  <c r="L21" i="61"/>
  <c r="L20" i="61"/>
  <c r="L19" i="61"/>
  <c r="L18" i="61"/>
  <c r="L17" i="61"/>
  <c r="U15" i="61"/>
  <c r="S15" i="61"/>
  <c r="R15" i="61"/>
  <c r="R22" i="61" s="1"/>
  <c r="P15" i="61"/>
  <c r="T14" i="61"/>
  <c r="S14" i="61"/>
  <c r="R14" i="61"/>
  <c r="R21" i="61" s="1"/>
  <c r="T13" i="61"/>
  <c r="S13" i="61"/>
  <c r="R13" i="61"/>
  <c r="R20" i="61" s="1"/>
  <c r="O13" i="61"/>
  <c r="U12" i="61"/>
  <c r="S12" i="61"/>
  <c r="R12" i="61"/>
  <c r="R19" i="61" s="1"/>
  <c r="N12" i="61"/>
  <c r="U11" i="61"/>
  <c r="S11" i="61"/>
  <c r="R11" i="61"/>
  <c r="R18" i="61" s="1"/>
  <c r="N11" i="61"/>
  <c r="U10" i="61"/>
  <c r="S10" i="61"/>
  <c r="R10" i="61"/>
  <c r="R17" i="61" s="1"/>
  <c r="N10" i="61"/>
  <c r="T10" i="61" s="1"/>
  <c r="T11" i="60"/>
  <c r="T12" i="60"/>
  <c r="T13" i="60"/>
  <c r="T14" i="60"/>
  <c r="T15" i="60"/>
  <c r="T26" i="60" s="1"/>
  <c r="T16" i="60"/>
  <c r="T17" i="60"/>
  <c r="T18" i="60"/>
  <c r="T29" i="60" s="1"/>
  <c r="T19" i="60"/>
  <c r="T30" i="60" s="1"/>
  <c r="T10" i="60"/>
  <c r="Q17" i="60"/>
  <c r="P16" i="60"/>
  <c r="X16" i="60" s="1"/>
  <c r="P15" i="60"/>
  <c r="O14" i="60"/>
  <c r="O13" i="60"/>
  <c r="R13" i="60" s="1"/>
  <c r="Q8" i="60"/>
  <c r="B13" i="60"/>
  <c r="L30" i="60"/>
  <c r="L29" i="60"/>
  <c r="T28" i="60"/>
  <c r="L28" i="60"/>
  <c r="T27" i="60"/>
  <c r="L27" i="60"/>
  <c r="L26" i="60"/>
  <c r="T25" i="60"/>
  <c r="L25" i="60"/>
  <c r="T24" i="60"/>
  <c r="L24" i="60"/>
  <c r="T23" i="60"/>
  <c r="L23" i="60"/>
  <c r="T22" i="60"/>
  <c r="L22" i="60"/>
  <c r="T21" i="60"/>
  <c r="L21" i="60"/>
  <c r="X19" i="60"/>
  <c r="W19" i="60"/>
  <c r="V19" i="60"/>
  <c r="U19" i="60"/>
  <c r="Q19" i="60"/>
  <c r="R19" i="60" s="1"/>
  <c r="X18" i="60"/>
  <c r="W18" i="60"/>
  <c r="V18" i="60"/>
  <c r="U18" i="60"/>
  <c r="Q18" i="60"/>
  <c r="Y18" i="60" s="1"/>
  <c r="Y17" i="60"/>
  <c r="W17" i="60"/>
  <c r="V17" i="60"/>
  <c r="U17" i="60"/>
  <c r="Y16" i="60"/>
  <c r="V16" i="60"/>
  <c r="U16" i="60"/>
  <c r="R16" i="60"/>
  <c r="Y15" i="60"/>
  <c r="X15" i="60"/>
  <c r="V15" i="60"/>
  <c r="U15" i="60"/>
  <c r="W15" i="60"/>
  <c r="Y14" i="60"/>
  <c r="X14" i="60"/>
  <c r="W14" i="60"/>
  <c r="U14" i="60"/>
  <c r="R14" i="60"/>
  <c r="Y13" i="60"/>
  <c r="X13" i="60"/>
  <c r="W13" i="60"/>
  <c r="U13" i="60"/>
  <c r="Y12" i="60"/>
  <c r="X12" i="60"/>
  <c r="W12" i="60"/>
  <c r="U12" i="60"/>
  <c r="N12" i="60"/>
  <c r="R12" i="60" s="1"/>
  <c r="Y11" i="60"/>
  <c r="X11" i="60"/>
  <c r="W11" i="60"/>
  <c r="U11" i="60"/>
  <c r="Z11" i="60" s="1"/>
  <c r="N11" i="60"/>
  <c r="V11" i="60" s="1"/>
  <c r="Y10" i="60"/>
  <c r="X10" i="60"/>
  <c r="W10" i="60"/>
  <c r="U10" i="60"/>
  <c r="N10" i="60"/>
  <c r="V10" i="60" s="1"/>
  <c r="Y8" i="60"/>
  <c r="T30" i="59"/>
  <c r="T29" i="59"/>
  <c r="T28" i="59"/>
  <c r="T27" i="59"/>
  <c r="T26" i="59"/>
  <c r="T25" i="59"/>
  <c r="T24" i="59"/>
  <c r="T23" i="59"/>
  <c r="T22" i="59"/>
  <c r="T21" i="59"/>
  <c r="L22" i="59"/>
  <c r="L23" i="59"/>
  <c r="L24" i="59"/>
  <c r="L25" i="59"/>
  <c r="L26" i="59"/>
  <c r="L27" i="59"/>
  <c r="L28" i="59"/>
  <c r="L29" i="59"/>
  <c r="L30" i="59"/>
  <c r="L21" i="59"/>
  <c r="Q19" i="59"/>
  <c r="Q18" i="59"/>
  <c r="P17" i="59"/>
  <c r="O16" i="59"/>
  <c r="X16" i="59"/>
  <c r="O15" i="59"/>
  <c r="W10" i="59"/>
  <c r="X10" i="59"/>
  <c r="W11" i="59"/>
  <c r="X11" i="59"/>
  <c r="W12" i="59"/>
  <c r="X12" i="59"/>
  <c r="W13" i="59"/>
  <c r="X13" i="59"/>
  <c r="W14" i="59"/>
  <c r="X14" i="59"/>
  <c r="W15" i="59"/>
  <c r="X15" i="59"/>
  <c r="W16" i="59"/>
  <c r="W17" i="59"/>
  <c r="X17" i="59"/>
  <c r="W18" i="59"/>
  <c r="X18" i="59"/>
  <c r="W19" i="59"/>
  <c r="X19" i="59"/>
  <c r="Y8" i="59"/>
  <c r="Q8" i="59"/>
  <c r="B13" i="59"/>
  <c r="Y5" i="58"/>
  <c r="Y6" i="58"/>
  <c r="Y7" i="58"/>
  <c r="Y8" i="58"/>
  <c r="Y9" i="58"/>
  <c r="Y10" i="58"/>
  <c r="Y11" i="58"/>
  <c r="Y12" i="58"/>
  <c r="T6" i="58"/>
  <c r="T7" i="58"/>
  <c r="T8" i="58"/>
  <c r="T9" i="58"/>
  <c r="T10" i="58"/>
  <c r="T11" i="58"/>
  <c r="T12" i="58"/>
  <c r="T13" i="58"/>
  <c r="T14" i="58"/>
  <c r="T5" i="58"/>
  <c r="L17" i="58"/>
  <c r="T17" i="58" s="1"/>
  <c r="L18" i="58"/>
  <c r="T18" i="58" s="1"/>
  <c r="L19" i="58"/>
  <c r="T19" i="58" s="1"/>
  <c r="L20" i="58"/>
  <c r="T20" i="58" s="1"/>
  <c r="L21" i="58"/>
  <c r="T21" i="58" s="1"/>
  <c r="L22" i="58"/>
  <c r="T22" i="58" s="1"/>
  <c r="L23" i="58"/>
  <c r="T23" i="58" s="1"/>
  <c r="L24" i="58"/>
  <c r="T24" i="58" s="1"/>
  <c r="L25" i="58"/>
  <c r="T25" i="58" s="1"/>
  <c r="L16" i="58"/>
  <c r="T16" i="58" s="1"/>
  <c r="Q14" i="58"/>
  <c r="Y14" i="58" s="1"/>
  <c r="Q13" i="58"/>
  <c r="Y13" i="58" s="1"/>
  <c r="O11" i="58"/>
  <c r="O10" i="58"/>
  <c r="Q3" i="58"/>
  <c r="Y3" i="58" s="1"/>
  <c r="B8" i="58"/>
  <c r="F67" i="85"/>
  <c r="D67" i="85"/>
  <c r="F61" i="85"/>
  <c r="D61" i="85"/>
  <c r="F54" i="85"/>
  <c r="F6" i="85" s="1"/>
  <c r="D54" i="85"/>
  <c r="D6" i="85" s="1"/>
  <c r="F47" i="85"/>
  <c r="F5" i="85" s="1"/>
  <c r="D47" i="85"/>
  <c r="F38" i="85"/>
  <c r="F4" i="85" s="1"/>
  <c r="D38" i="85"/>
  <c r="D4" i="85" s="1"/>
  <c r="F29" i="85"/>
  <c r="F71" i="85" s="1"/>
  <c r="D29" i="85"/>
  <c r="D71" i="85" s="1"/>
  <c r="L24" i="85"/>
  <c r="F9" i="85"/>
  <c r="D9" i="85"/>
  <c r="F8" i="85"/>
  <c r="D8" i="85"/>
  <c r="F7" i="85"/>
  <c r="D7" i="85"/>
  <c r="D5" i="85"/>
  <c r="F48" i="84"/>
  <c r="L48" i="84" s="1"/>
  <c r="R45" i="84"/>
  <c r="F45" i="84"/>
  <c r="P45" i="84" s="1"/>
  <c r="J43" i="84"/>
  <c r="F43" i="84"/>
  <c r="D43" i="84"/>
  <c r="R42" i="84"/>
  <c r="F42" i="84"/>
  <c r="P42" i="84" s="1"/>
  <c r="J39" i="84"/>
  <c r="F39" i="84"/>
  <c r="D39" i="84"/>
  <c r="F38" i="84"/>
  <c r="R37" i="84"/>
  <c r="F37" i="84"/>
  <c r="P37" i="84" s="1"/>
  <c r="J34" i="84"/>
  <c r="F34" i="84"/>
  <c r="D34" i="84"/>
  <c r="F33" i="84"/>
  <c r="R32" i="84"/>
  <c r="F32" i="84"/>
  <c r="P32" i="84" s="1"/>
  <c r="J29" i="84"/>
  <c r="F29" i="84"/>
  <c r="D29" i="84"/>
  <c r="F28" i="84"/>
  <c r="F27" i="84"/>
  <c r="F26" i="84"/>
  <c r="R25" i="84"/>
  <c r="F25" i="84"/>
  <c r="P25" i="84" s="1"/>
  <c r="J22" i="84"/>
  <c r="F22" i="84"/>
  <c r="D22" i="84"/>
  <c r="F21" i="84"/>
  <c r="F20" i="84"/>
  <c r="F19" i="84"/>
  <c r="R18" i="84"/>
  <c r="P18" i="84"/>
  <c r="F18" i="84"/>
  <c r="R15" i="84"/>
  <c r="J15" i="84"/>
  <c r="F15" i="84"/>
  <c r="P15" i="84" s="1"/>
  <c r="D15" i="84"/>
  <c r="R14" i="84"/>
  <c r="P14" i="84"/>
  <c r="F14" i="84"/>
  <c r="R13" i="84"/>
  <c r="F13" i="84"/>
  <c r="P13" i="84" s="1"/>
  <c r="F12" i="84"/>
  <c r="P12" i="84" s="1"/>
  <c r="F11" i="84"/>
  <c r="P11" i="84" s="1"/>
  <c r="C5" i="84"/>
  <c r="S15" i="2"/>
  <c r="S14" i="2"/>
  <c r="S13" i="2"/>
  <c r="I18" i="78"/>
  <c r="I20" i="78"/>
  <c r="I14" i="3"/>
  <c r="I14" i="78" s="1"/>
  <c r="I13" i="3"/>
  <c r="I13" i="78" s="1"/>
  <c r="I12" i="3"/>
  <c r="I12" i="78" s="1"/>
  <c r="L24" i="73"/>
  <c r="S45" i="2"/>
  <c r="S42" i="2"/>
  <c r="S37" i="2"/>
  <c r="S32" i="2"/>
  <c r="S25" i="2"/>
  <c r="S18" i="2"/>
  <c r="F67" i="73"/>
  <c r="D67" i="73"/>
  <c r="F61" i="73"/>
  <c r="F7" i="73" s="1"/>
  <c r="D61" i="73"/>
  <c r="D7" i="73" s="1"/>
  <c r="F54" i="73"/>
  <c r="D54" i="73"/>
  <c r="F47" i="73"/>
  <c r="F5" i="73" s="1"/>
  <c r="D47" i="73"/>
  <c r="D5" i="73" s="1"/>
  <c r="F38" i="73"/>
  <c r="D38" i="73"/>
  <c r="F29" i="73"/>
  <c r="D29" i="73"/>
  <c r="F9" i="73"/>
  <c r="D9" i="73"/>
  <c r="F8" i="73"/>
  <c r="D8" i="73"/>
  <c r="F6" i="73"/>
  <c r="D6" i="73"/>
  <c r="F4" i="73"/>
  <c r="D4" i="73"/>
  <c r="G18" i="78"/>
  <c r="G19" i="78"/>
  <c r="G20" i="78"/>
  <c r="M20" i="78" s="1"/>
  <c r="M54" i="78" s="1"/>
  <c r="I20" i="3"/>
  <c r="I19" i="3"/>
  <c r="I19" i="78" s="1"/>
  <c r="I17" i="3"/>
  <c r="I17" i="78" s="1"/>
  <c r="H16" i="10"/>
  <c r="H23" i="10" s="1"/>
  <c r="H13" i="10" s="1"/>
  <c r="S14" i="63" l="1"/>
  <c r="T14" i="63" s="1"/>
  <c r="T15" i="63"/>
  <c r="T12" i="63"/>
  <c r="O13" i="63"/>
  <c r="O15" i="63"/>
  <c r="O12" i="63"/>
  <c r="V14" i="62"/>
  <c r="P14" i="62"/>
  <c r="P15" i="62"/>
  <c r="V12" i="62"/>
  <c r="V15" i="62"/>
  <c r="V11" i="62"/>
  <c r="O13" i="62"/>
  <c r="N10" i="62"/>
  <c r="T11" i="62"/>
  <c r="P13" i="62"/>
  <c r="T13" i="62"/>
  <c r="P12" i="62"/>
  <c r="U14" i="61"/>
  <c r="V14" i="61" s="1"/>
  <c r="P11" i="61"/>
  <c r="V15" i="61"/>
  <c r="T12" i="61"/>
  <c r="P12" i="61"/>
  <c r="T11" i="61"/>
  <c r="U13" i="61"/>
  <c r="P13" i="61"/>
  <c r="V12" i="60"/>
  <c r="Z12" i="60" s="1"/>
  <c r="W16" i="60"/>
  <c r="Z16" i="60" s="1"/>
  <c r="Y19" i="60"/>
  <c r="Z19" i="60" s="1"/>
  <c r="V13" i="60"/>
  <c r="Z13" i="60" s="1"/>
  <c r="Z15" i="60"/>
  <c r="Z18" i="60"/>
  <c r="R18" i="60"/>
  <c r="V14" i="60"/>
  <c r="R11" i="60"/>
  <c r="R15" i="60"/>
  <c r="X17" i="60"/>
  <c r="R17" i="60"/>
  <c r="D3" i="85"/>
  <c r="D10" i="85" s="1"/>
  <c r="F3" i="85"/>
  <c r="F10" i="85" s="1"/>
  <c r="M19" i="78"/>
  <c r="M53" i="78" s="1"/>
  <c r="D71" i="73"/>
  <c r="F71" i="73"/>
  <c r="D3" i="73"/>
  <c r="F3" i="73"/>
  <c r="F10" i="73"/>
  <c r="D10" i="73"/>
  <c r="M19" i="3"/>
  <c r="S13" i="63" l="1"/>
  <c r="T11" i="63"/>
  <c r="U13" i="62"/>
  <c r="T10" i="62"/>
  <c r="V13" i="62"/>
  <c r="V13" i="61"/>
  <c r="V12" i="61"/>
  <c r="V11" i="61"/>
  <c r="Z17" i="60"/>
  <c r="Z14" i="60"/>
  <c r="T13" i="63" l="1"/>
  <c r="H30" i="10" l="1"/>
  <c r="H40" i="10"/>
  <c r="H41" i="10"/>
  <c r="H48" i="10"/>
  <c r="H63" i="10"/>
  <c r="H65" i="10"/>
  <c r="H74" i="10"/>
  <c r="H9" i="10" s="1"/>
  <c r="D9" i="10"/>
  <c r="H71" i="10"/>
  <c r="F72" i="10"/>
  <c r="F8" i="10" s="1"/>
  <c r="H64" i="10"/>
  <c r="H58" i="10"/>
  <c r="H57" i="10"/>
  <c r="H56" i="10"/>
  <c r="H51" i="10"/>
  <c r="H50" i="10"/>
  <c r="H49" i="10"/>
  <c r="H42" i="10"/>
  <c r="H39" i="10"/>
  <c r="H38" i="10"/>
  <c r="H33" i="10"/>
  <c r="H32" i="10"/>
  <c r="H31" i="10"/>
  <c r="H29" i="10"/>
  <c r="H66" i="10" l="1"/>
  <c r="H7" i="10" s="1"/>
  <c r="H43" i="10"/>
  <c r="H4" i="10" s="1"/>
  <c r="H34" i="10"/>
  <c r="H59" i="10"/>
  <c r="H6" i="10" s="1"/>
  <c r="D52" i="10"/>
  <c r="D5" i="10" s="1"/>
  <c r="H47" i="10"/>
  <c r="H52" i="10" s="1"/>
  <c r="H5" i="10" s="1"/>
  <c r="F52" i="10"/>
  <c r="F5" i="10" s="1"/>
  <c r="F59" i="10"/>
  <c r="F6" i="10" s="1"/>
  <c r="D72" i="10"/>
  <c r="D8" i="10" s="1"/>
  <c r="H70" i="10"/>
  <c r="H72" i="10" s="1"/>
  <c r="H8" i="10" s="1"/>
  <c r="D66" i="10"/>
  <c r="D7" i="10" s="1"/>
  <c r="F66" i="10"/>
  <c r="F7" i="10" s="1"/>
  <c r="D59" i="10"/>
  <c r="D6" i="10" s="1"/>
  <c r="D43" i="10"/>
  <c r="D4" i="10" s="1"/>
  <c r="F34" i="10"/>
  <c r="F43" i="10"/>
  <c r="F4" i="10" s="1"/>
  <c r="F3" i="10"/>
  <c r="D34" i="10"/>
  <c r="F9" i="10"/>
  <c r="F76" i="10" l="1"/>
  <c r="H3" i="10"/>
  <c r="H10" i="10" s="1"/>
  <c r="H12" i="10" s="1"/>
  <c r="H14" i="10" s="1"/>
  <c r="I15" i="3" s="1"/>
  <c r="H76" i="10"/>
  <c r="D76" i="10"/>
  <c r="D3" i="10"/>
  <c r="D10" i="10" s="1"/>
  <c r="F10" i="10"/>
  <c r="I15" i="78" l="1"/>
  <c r="M15" i="3"/>
  <c r="C59" i="65"/>
  <c r="C58" i="65"/>
  <c r="C57" i="65"/>
  <c r="C56" i="65"/>
  <c r="C55" i="65"/>
  <c r="C54" i="65"/>
  <c r="C53" i="65"/>
  <c r="D37" i="65"/>
  <c r="D33" i="65"/>
  <c r="D28" i="65"/>
  <c r="D23" i="65"/>
  <c r="D16" i="65"/>
  <c r="D9" i="65"/>
  <c r="T43" i="52"/>
  <c r="T39" i="52"/>
  <c r="T34" i="52"/>
  <c r="T29" i="52"/>
  <c r="T22" i="52"/>
  <c r="T15" i="52"/>
  <c r="F32" i="52"/>
  <c r="W32" i="52" s="1"/>
  <c r="D43" i="52"/>
  <c r="D39" i="52"/>
  <c r="D34" i="52"/>
  <c r="D29" i="52"/>
  <c r="D22" i="52"/>
  <c r="D15" i="52"/>
  <c r="I15" i="45"/>
  <c r="I14" i="45"/>
  <c r="I13" i="45"/>
  <c r="I12" i="45"/>
  <c r="I11" i="45"/>
  <c r="G15" i="45"/>
  <c r="G14" i="45"/>
  <c r="G13" i="45"/>
  <c r="G12" i="45"/>
  <c r="G11" i="45"/>
  <c r="E12" i="45"/>
  <c r="E13" i="45"/>
  <c r="E14" i="45"/>
  <c r="E15" i="45"/>
  <c r="E11" i="45"/>
  <c r="D41" i="45"/>
  <c r="K40" i="45"/>
  <c r="I40" i="45"/>
  <c r="H40" i="45"/>
  <c r="G40" i="45"/>
  <c r="E40" i="45"/>
  <c r="I39" i="45"/>
  <c r="H39" i="45"/>
  <c r="G39" i="45"/>
  <c r="E39" i="45"/>
  <c r="K39" i="45" s="1"/>
  <c r="K38" i="45"/>
  <c r="I38" i="45"/>
  <c r="H38" i="45"/>
  <c r="G38" i="45"/>
  <c r="E38" i="45"/>
  <c r="I37" i="45"/>
  <c r="H37" i="45"/>
  <c r="G37" i="45"/>
  <c r="E37" i="45"/>
  <c r="K37" i="45" s="1"/>
  <c r="I36" i="45"/>
  <c r="I42" i="45" s="1"/>
  <c r="H36" i="45"/>
  <c r="H41" i="45" s="1"/>
  <c r="G36" i="45"/>
  <c r="G42" i="45" s="1"/>
  <c r="E36" i="45"/>
  <c r="K36" i="45" s="1"/>
  <c r="I52" i="45"/>
  <c r="I51" i="45"/>
  <c r="I50" i="45"/>
  <c r="I49" i="45"/>
  <c r="I48" i="45"/>
  <c r="G52" i="45"/>
  <c r="G51" i="45"/>
  <c r="G50" i="45"/>
  <c r="G49" i="45"/>
  <c r="G48" i="45"/>
  <c r="E49" i="45"/>
  <c r="E50" i="45"/>
  <c r="E51" i="45"/>
  <c r="E52" i="45"/>
  <c r="E48" i="45"/>
  <c r="I52" i="5"/>
  <c r="I51" i="5"/>
  <c r="I50" i="5"/>
  <c r="I49" i="5"/>
  <c r="I48" i="5"/>
  <c r="G52" i="5"/>
  <c r="G51" i="5"/>
  <c r="G50" i="5"/>
  <c r="G49" i="5"/>
  <c r="G48" i="5"/>
  <c r="E49" i="5"/>
  <c r="E50" i="5"/>
  <c r="E51" i="5"/>
  <c r="E52" i="5"/>
  <c r="E48" i="5"/>
  <c r="S16" i="81"/>
  <c r="S15" i="81"/>
  <c r="S14" i="81"/>
  <c r="Q16" i="81"/>
  <c r="Q15" i="81"/>
  <c r="Q14" i="81"/>
  <c r="O16" i="81"/>
  <c r="U19" i="81"/>
  <c r="U18" i="81"/>
  <c r="U17" i="81"/>
  <c r="U16" i="81"/>
  <c r="O15" i="81"/>
  <c r="U15" i="81" s="1"/>
  <c r="U14" i="81"/>
  <c r="O14" i="81"/>
  <c r="I40" i="5"/>
  <c r="I39" i="5"/>
  <c r="I38" i="5"/>
  <c r="I37" i="5"/>
  <c r="I36" i="5"/>
  <c r="G40" i="5"/>
  <c r="G39" i="5"/>
  <c r="G38" i="5"/>
  <c r="G37" i="5"/>
  <c r="G36" i="5"/>
  <c r="E38" i="5"/>
  <c r="E39" i="5"/>
  <c r="E40" i="5"/>
  <c r="E37" i="5"/>
  <c r="E36" i="5"/>
  <c r="S16" i="80"/>
  <c r="S15" i="80"/>
  <c r="S14" i="80"/>
  <c r="Q16" i="80"/>
  <c r="Q15" i="80"/>
  <c r="Q14" i="80"/>
  <c r="O16" i="80"/>
  <c r="O15" i="80"/>
  <c r="O14" i="80"/>
  <c r="U19" i="80"/>
  <c r="U18" i="80"/>
  <c r="U17" i="80"/>
  <c r="U15" i="80"/>
  <c r="U14" i="80"/>
  <c r="I28" i="5"/>
  <c r="I27" i="5"/>
  <c r="I26" i="5"/>
  <c r="I25" i="5"/>
  <c r="I24" i="5"/>
  <c r="G28" i="5"/>
  <c r="G27" i="5"/>
  <c r="G26" i="5"/>
  <c r="G25" i="5"/>
  <c r="G24" i="5"/>
  <c r="E25" i="5"/>
  <c r="E26" i="5"/>
  <c r="E27" i="5"/>
  <c r="E28" i="5"/>
  <c r="E24" i="5"/>
  <c r="U19" i="68"/>
  <c r="S19" i="68"/>
  <c r="Q19" i="68"/>
  <c r="O19" i="68"/>
  <c r="S18" i="68"/>
  <c r="S17" i="68"/>
  <c r="S16" i="68"/>
  <c r="S15" i="68"/>
  <c r="S14" i="68"/>
  <c r="Q18" i="68"/>
  <c r="Q17" i="68"/>
  <c r="Q16" i="68"/>
  <c r="Q15" i="68"/>
  <c r="U15" i="68" s="1"/>
  <c r="Q14" i="68"/>
  <c r="O18" i="68"/>
  <c r="O17" i="68"/>
  <c r="O16" i="68"/>
  <c r="O15" i="68"/>
  <c r="O14" i="68"/>
  <c r="Q37" i="2"/>
  <c r="Q32" i="2"/>
  <c r="F48" i="2"/>
  <c r="F48" i="52" s="1"/>
  <c r="W48" i="52" s="1"/>
  <c r="F45" i="2"/>
  <c r="D10" i="64" s="1"/>
  <c r="F43" i="2"/>
  <c r="D10" i="63" s="1"/>
  <c r="N9" i="63" s="1"/>
  <c r="F42" i="2"/>
  <c r="D9" i="63" s="1"/>
  <c r="M9" i="63" s="1"/>
  <c r="M17" i="63" s="1"/>
  <c r="F39" i="2"/>
  <c r="F38" i="2"/>
  <c r="F37" i="2"/>
  <c r="D9" i="62" s="1"/>
  <c r="M9" i="62" s="1"/>
  <c r="M17" i="62" s="1"/>
  <c r="M18" i="62" s="1"/>
  <c r="F34" i="2"/>
  <c r="F28" i="65" s="1"/>
  <c r="U25" i="65" s="1"/>
  <c r="F33" i="2"/>
  <c r="F27" i="65" s="1"/>
  <c r="U24" i="65" s="1"/>
  <c r="F32" i="2"/>
  <c r="D9" i="61" s="1"/>
  <c r="M9" i="61" s="1"/>
  <c r="M17" i="61" s="1"/>
  <c r="F29" i="2"/>
  <c r="D13" i="60" s="1"/>
  <c r="Q9" i="60" s="1"/>
  <c r="F28" i="2"/>
  <c r="D12" i="60" s="1"/>
  <c r="P9" i="60" s="1"/>
  <c r="F27" i="2"/>
  <c r="D11" i="60" s="1"/>
  <c r="O9" i="60" s="1"/>
  <c r="F26" i="2"/>
  <c r="D10" i="60" s="1"/>
  <c r="N9" i="60" s="1"/>
  <c r="F25" i="2"/>
  <c r="D9" i="60" s="1"/>
  <c r="M9" i="60" s="1"/>
  <c r="M21" i="60" s="1"/>
  <c r="F22" i="2"/>
  <c r="D13" i="59" s="1"/>
  <c r="Q9" i="59" s="1"/>
  <c r="F21" i="2"/>
  <c r="D12" i="59" s="1"/>
  <c r="P9" i="59" s="1"/>
  <c r="F20" i="2"/>
  <c r="D11" i="59" s="1"/>
  <c r="O9" i="59" s="1"/>
  <c r="F19" i="2"/>
  <c r="D10" i="59" s="1"/>
  <c r="F18" i="2"/>
  <c r="D9" i="59" s="1"/>
  <c r="F13" i="2"/>
  <c r="Q13" i="2" s="1"/>
  <c r="F14" i="2"/>
  <c r="Q14" i="2" s="1"/>
  <c r="F15" i="2"/>
  <c r="D8" i="58" s="1"/>
  <c r="Q4" i="58" s="1"/>
  <c r="D43" i="2"/>
  <c r="D39" i="2"/>
  <c r="D34" i="2"/>
  <c r="D29" i="2"/>
  <c r="D22" i="2"/>
  <c r="D15" i="2"/>
  <c r="F13" i="52" l="1"/>
  <c r="Q42" i="2"/>
  <c r="F15" i="52"/>
  <c r="W15" i="52" s="1"/>
  <c r="Q25" i="2"/>
  <c r="F14" i="52"/>
  <c r="N22" i="63"/>
  <c r="N21" i="63"/>
  <c r="N18" i="63"/>
  <c r="N17" i="63"/>
  <c r="O17" i="63" s="1"/>
  <c r="E69" i="57" s="1"/>
  <c r="N19" i="63"/>
  <c r="N20" i="63"/>
  <c r="M18" i="63"/>
  <c r="N27" i="60"/>
  <c r="N30" i="60"/>
  <c r="N23" i="60"/>
  <c r="N26" i="60"/>
  <c r="N21" i="60"/>
  <c r="N28" i="60"/>
  <c r="N25" i="60"/>
  <c r="N22" i="60"/>
  <c r="N29" i="60"/>
  <c r="N24" i="60"/>
  <c r="O29" i="60"/>
  <c r="O23" i="60"/>
  <c r="O21" i="60"/>
  <c r="O24" i="60"/>
  <c r="O27" i="60"/>
  <c r="O28" i="60"/>
  <c r="O22" i="60"/>
  <c r="O26" i="60"/>
  <c r="O30" i="60"/>
  <c r="O25" i="60"/>
  <c r="P22" i="60"/>
  <c r="P25" i="60"/>
  <c r="P23" i="60"/>
  <c r="P26" i="60"/>
  <c r="P29" i="60"/>
  <c r="P24" i="60"/>
  <c r="P30" i="60"/>
  <c r="P28" i="60"/>
  <c r="P21" i="60"/>
  <c r="P27" i="60"/>
  <c r="Q17" i="58"/>
  <c r="Q20" i="58"/>
  <c r="Q24" i="58"/>
  <c r="Q16" i="58"/>
  <c r="Q19" i="58"/>
  <c r="Q18" i="58"/>
  <c r="Q22" i="58"/>
  <c r="Q21" i="58"/>
  <c r="Q25" i="58"/>
  <c r="Q23" i="58"/>
  <c r="Q27" i="60"/>
  <c r="Q30" i="60"/>
  <c r="Q21" i="60"/>
  <c r="Q26" i="60"/>
  <c r="Q25" i="60"/>
  <c r="Q29" i="60"/>
  <c r="Q24" i="60"/>
  <c r="Q23" i="60"/>
  <c r="Q28" i="60"/>
  <c r="Q22" i="60"/>
  <c r="M18" i="61"/>
  <c r="M19" i="62"/>
  <c r="M22" i="60"/>
  <c r="O28" i="59"/>
  <c r="O23" i="59"/>
  <c r="O22" i="59"/>
  <c r="O29" i="59"/>
  <c r="O24" i="59"/>
  <c r="O30" i="59"/>
  <c r="O25" i="59"/>
  <c r="O26" i="59"/>
  <c r="O21" i="59"/>
  <c r="O27" i="59"/>
  <c r="P26" i="59"/>
  <c r="P21" i="59"/>
  <c r="P24" i="59"/>
  <c r="P27" i="59"/>
  <c r="P30" i="59"/>
  <c r="P28" i="59"/>
  <c r="P29" i="59"/>
  <c r="P22" i="59"/>
  <c r="P23" i="59"/>
  <c r="P25" i="59"/>
  <c r="F28" i="52"/>
  <c r="W28" i="52" s="1"/>
  <c r="F26" i="65"/>
  <c r="U23" i="65" s="1"/>
  <c r="I48" i="2"/>
  <c r="F33" i="52"/>
  <c r="W33" i="52" s="1"/>
  <c r="F9" i="65"/>
  <c r="F39" i="65"/>
  <c r="U40" i="65" s="1"/>
  <c r="F18" i="52"/>
  <c r="W18" i="52" s="1"/>
  <c r="F34" i="52"/>
  <c r="W34" i="52" s="1"/>
  <c r="F12" i="65"/>
  <c r="F27" i="52"/>
  <c r="W27" i="52" s="1"/>
  <c r="F42" i="65"/>
  <c r="L59" i="65" s="1"/>
  <c r="F29" i="52"/>
  <c r="W29" i="52" s="1"/>
  <c r="Q45" i="2"/>
  <c r="F19" i="52"/>
  <c r="W19" i="52" s="1"/>
  <c r="F37" i="52"/>
  <c r="W37" i="52" s="1"/>
  <c r="F13" i="65"/>
  <c r="F31" i="65"/>
  <c r="U30" i="65" s="1"/>
  <c r="U33" i="65" s="1"/>
  <c r="J55" i="65" s="1"/>
  <c r="F20" i="65"/>
  <c r="U19" i="65" s="1"/>
  <c r="F23" i="65"/>
  <c r="D10" i="62"/>
  <c r="N9" i="62" s="1"/>
  <c r="D10" i="61"/>
  <c r="N9" i="61" s="1"/>
  <c r="Q15" i="2"/>
  <c r="F20" i="52"/>
  <c r="W20" i="52" s="1"/>
  <c r="F38" i="52"/>
  <c r="W38" i="52" s="1"/>
  <c r="F14" i="65"/>
  <c r="F32" i="65"/>
  <c r="F26" i="52"/>
  <c r="W26" i="52" s="1"/>
  <c r="F22" i="65"/>
  <c r="D11" i="62"/>
  <c r="O9" i="62" s="1"/>
  <c r="D11" i="61"/>
  <c r="O9" i="61" s="1"/>
  <c r="F21" i="52"/>
  <c r="W21" i="52" s="1"/>
  <c r="F39" i="52"/>
  <c r="W39" i="52" s="1"/>
  <c r="F15" i="65"/>
  <c r="F33" i="65"/>
  <c r="F22" i="52"/>
  <c r="W22" i="52" s="1"/>
  <c r="F42" i="52"/>
  <c r="W42" i="52" s="1"/>
  <c r="F16" i="65"/>
  <c r="F36" i="65"/>
  <c r="U36" i="65" s="1"/>
  <c r="F45" i="52"/>
  <c r="W45" i="52" s="1"/>
  <c r="F21" i="65"/>
  <c r="U20" i="65" s="1"/>
  <c r="Q18" i="2"/>
  <c r="F25" i="52"/>
  <c r="W25" i="52" s="1"/>
  <c r="F43" i="52"/>
  <c r="W43" i="52" s="1"/>
  <c r="F19" i="65"/>
  <c r="U18" i="65" s="1"/>
  <c r="U21" i="65" s="1"/>
  <c r="J53" i="65" s="1"/>
  <c r="F37" i="65"/>
  <c r="U37" i="65" s="1"/>
  <c r="U38" i="65" s="1"/>
  <c r="J56" i="65" s="1"/>
  <c r="K42" i="45"/>
  <c r="K43" i="45" s="1"/>
  <c r="K41" i="45"/>
  <c r="E41" i="45"/>
  <c r="I41" i="45"/>
  <c r="G41" i="45"/>
  <c r="E42" i="45"/>
  <c r="U16" i="80"/>
  <c r="U14" i="68"/>
  <c r="U17" i="68"/>
  <c r="U18" i="68"/>
  <c r="U16" i="68"/>
  <c r="R21" i="60" l="1"/>
  <c r="E36" i="57" s="1"/>
  <c r="J59" i="65"/>
  <c r="M19" i="61"/>
  <c r="N17" i="61"/>
  <c r="N19" i="61"/>
  <c r="N18" i="61"/>
  <c r="N20" i="61"/>
  <c r="N21" i="61"/>
  <c r="N22" i="61"/>
  <c r="N18" i="62"/>
  <c r="P18" i="62" s="1"/>
  <c r="E62" i="57" s="1"/>
  <c r="N22" i="62"/>
  <c r="N19" i="62"/>
  <c r="P19" i="62" s="1"/>
  <c r="E63" i="57" s="1"/>
  <c r="N20" i="62"/>
  <c r="N21" i="62"/>
  <c r="N17" i="62"/>
  <c r="M19" i="63"/>
  <c r="O18" i="63"/>
  <c r="E70" i="57" s="1"/>
  <c r="O22" i="61"/>
  <c r="O21" i="61"/>
  <c r="O20" i="61"/>
  <c r="O19" i="61"/>
  <c r="O17" i="61"/>
  <c r="O18" i="61"/>
  <c r="O22" i="62"/>
  <c r="O19" i="62"/>
  <c r="O18" i="62"/>
  <c r="O21" i="62"/>
  <c r="O17" i="62"/>
  <c r="O20" i="62"/>
  <c r="R22" i="60"/>
  <c r="E37" i="57" s="1"/>
  <c r="M23" i="60"/>
  <c r="M20" i="62"/>
  <c r="I48" i="52"/>
  <c r="J42" i="65"/>
  <c r="N42" i="65" s="1"/>
  <c r="P42" i="65" s="1"/>
  <c r="N59" i="65"/>
  <c r="P59" i="65" s="1"/>
  <c r="C2" i="25"/>
  <c r="F39" i="25"/>
  <c r="F37" i="25"/>
  <c r="F33" i="25"/>
  <c r="F32" i="25"/>
  <c r="D37" i="25"/>
  <c r="D33" i="25"/>
  <c r="F28" i="25"/>
  <c r="F27" i="25"/>
  <c r="D28" i="25"/>
  <c r="F21" i="25"/>
  <c r="F22" i="25"/>
  <c r="F23" i="25"/>
  <c r="F20" i="25"/>
  <c r="D23" i="25"/>
  <c r="F14" i="25"/>
  <c r="F15" i="25"/>
  <c r="F16" i="25"/>
  <c r="F13" i="25"/>
  <c r="D16" i="25"/>
  <c r="F7" i="25"/>
  <c r="F8" i="25"/>
  <c r="F9" i="25"/>
  <c r="F6" i="25"/>
  <c r="D9" i="25"/>
  <c r="P18" i="61" l="1"/>
  <c r="E54" i="57" s="1"/>
  <c r="Z48" i="52"/>
  <c r="AC48" i="52" s="1"/>
  <c r="L48" i="52"/>
  <c r="N48" i="52" s="1"/>
  <c r="R23" i="60"/>
  <c r="E38" i="57" s="1"/>
  <c r="M24" i="60"/>
  <c r="P20" i="62"/>
  <c r="E64" i="57" s="1"/>
  <c r="M21" i="62"/>
  <c r="P17" i="61"/>
  <c r="E53" i="57" s="1"/>
  <c r="P17" i="62"/>
  <c r="E61" i="57" s="1"/>
  <c r="M20" i="61"/>
  <c r="P19" i="61"/>
  <c r="E55" i="57" s="1"/>
  <c r="M20" i="63"/>
  <c r="O19" i="63"/>
  <c r="E71" i="57" s="1"/>
  <c r="D40" i="82"/>
  <c r="C40" i="82"/>
  <c r="F11" i="83"/>
  <c r="F12" i="83" s="1"/>
  <c r="E40" i="82"/>
  <c r="C16" i="82"/>
  <c r="D5" i="82"/>
  <c r="D6" i="82"/>
  <c r="D7" i="82"/>
  <c r="D8" i="82"/>
  <c r="D9" i="82"/>
  <c r="D10" i="82"/>
  <c r="D11" i="82"/>
  <c r="D12" i="82"/>
  <c r="D13" i="82"/>
  <c r="D14" i="82"/>
  <c r="D15" i="82"/>
  <c r="D4" i="82"/>
  <c r="C34" i="82"/>
  <c r="B35" i="82" s="1"/>
  <c r="D25" i="82"/>
  <c r="E16" i="82"/>
  <c r="E20" i="82" s="1"/>
  <c r="B16" i="82"/>
  <c r="M25" i="60" l="1"/>
  <c r="R24" i="60"/>
  <c r="E39" i="57" s="1"/>
  <c r="O20" i="63"/>
  <c r="E72" i="57" s="1"/>
  <c r="M21" i="63"/>
  <c r="P20" i="61"/>
  <c r="E56" i="57" s="1"/>
  <c r="M21" i="61"/>
  <c r="P21" i="62"/>
  <c r="E65" i="57" s="1"/>
  <c r="M22" i="62"/>
  <c r="P22" i="62" s="1"/>
  <c r="E66" i="57" s="1"/>
  <c r="D30" i="82"/>
  <c r="D16" i="82"/>
  <c r="E19" i="82" s="1"/>
  <c r="E30" i="82" s="1"/>
  <c r="D34" i="82" s="1"/>
  <c r="D36" i="82" s="1"/>
  <c r="D41" i="82" s="1"/>
  <c r="D42" i="82" s="1"/>
  <c r="I30" i="3" s="1"/>
  <c r="I30" i="78" s="1"/>
  <c r="F40" i="82"/>
  <c r="P21" i="61" l="1"/>
  <c r="E57" i="57" s="1"/>
  <c r="M22" i="61"/>
  <c r="P22" i="61" s="1"/>
  <c r="E58" i="57" s="1"/>
  <c r="O21" i="63"/>
  <c r="E73" i="57" s="1"/>
  <c r="M22" i="63"/>
  <c r="O22" i="63" s="1"/>
  <c r="E74" i="57" s="1"/>
  <c r="R25" i="60"/>
  <c r="E40" i="57" s="1"/>
  <c r="M26" i="60"/>
  <c r="F41" i="82"/>
  <c r="F42" i="82" s="1"/>
  <c r="E41" i="82"/>
  <c r="E42" i="82" s="1"/>
  <c r="I29" i="3" s="1"/>
  <c r="C41" i="82"/>
  <c r="C42" i="82" s="1"/>
  <c r="I28" i="3" s="1"/>
  <c r="M27" i="60" l="1"/>
  <c r="R26" i="60"/>
  <c r="E41" i="57" s="1"/>
  <c r="I29" i="78"/>
  <c r="M63" i="3"/>
  <c r="I28" i="78"/>
  <c r="M65" i="78" s="1"/>
  <c r="M28" i="3"/>
  <c r="R27" i="60" l="1"/>
  <c r="E42" i="57" s="1"/>
  <c r="M28" i="60"/>
  <c r="G26" i="78"/>
  <c r="M26" i="78" s="1"/>
  <c r="G27" i="78"/>
  <c r="M28" i="78" s="1"/>
  <c r="G29" i="78"/>
  <c r="M29" i="78" s="1"/>
  <c r="G30" i="78"/>
  <c r="G31" i="78"/>
  <c r="G32" i="78"/>
  <c r="G33" i="78"/>
  <c r="G34" i="78"/>
  <c r="M34" i="78" s="1"/>
  <c r="G35" i="78"/>
  <c r="G36" i="78"/>
  <c r="G37" i="78"/>
  <c r="M37" i="78" s="1"/>
  <c r="G38" i="78"/>
  <c r="G25" i="78"/>
  <c r="M26" i="3"/>
  <c r="M30" i="3"/>
  <c r="M31" i="3"/>
  <c r="M32" i="3"/>
  <c r="M33" i="3"/>
  <c r="M34" i="3"/>
  <c r="M35" i="3"/>
  <c r="M36" i="3"/>
  <c r="M37" i="3"/>
  <c r="M38" i="3"/>
  <c r="I54" i="5"/>
  <c r="G11" i="5"/>
  <c r="E11" i="5"/>
  <c r="K52" i="5"/>
  <c r="K51" i="5"/>
  <c r="K50" i="5"/>
  <c r="G54" i="5"/>
  <c r="E54" i="5"/>
  <c r="E13" i="5"/>
  <c r="E14" i="5"/>
  <c r="E15" i="5"/>
  <c r="G15" i="5"/>
  <c r="G14" i="5"/>
  <c r="G13" i="5"/>
  <c r="I13" i="5"/>
  <c r="I11" i="5"/>
  <c r="I14" i="5"/>
  <c r="I15" i="5"/>
  <c r="I7" i="81"/>
  <c r="I5" i="81"/>
  <c r="K14" i="81"/>
  <c r="C48" i="80"/>
  <c r="C16" i="80"/>
  <c r="C15" i="80"/>
  <c r="I15" i="80" s="1"/>
  <c r="I9" i="80"/>
  <c r="E15" i="80"/>
  <c r="I7" i="80"/>
  <c r="I5" i="80"/>
  <c r="I3" i="80"/>
  <c r="G39" i="3"/>
  <c r="M29" i="60" l="1"/>
  <c r="R28" i="60"/>
  <c r="E43" i="57" s="1"/>
  <c r="E12" i="5"/>
  <c r="I12" i="5"/>
  <c r="K49" i="5"/>
  <c r="G29" i="5"/>
  <c r="G12" i="5"/>
  <c r="E53" i="5"/>
  <c r="G53" i="5"/>
  <c r="K48" i="5"/>
  <c r="I53" i="5"/>
  <c r="I9" i="81"/>
  <c r="G15" i="81"/>
  <c r="K14" i="80"/>
  <c r="G15" i="80" s="1"/>
  <c r="M30" i="60" l="1"/>
  <c r="R30" i="60" s="1"/>
  <c r="E45" i="57" s="1"/>
  <c r="R29" i="60"/>
  <c r="E44" i="57" s="1"/>
  <c r="K54" i="5"/>
  <c r="K55" i="5" s="1"/>
  <c r="K53" i="5"/>
  <c r="K15" i="80"/>
  <c r="G16" i="80"/>
  <c r="E16" i="80"/>
  <c r="I15" i="81" l="1"/>
  <c r="K15" i="81"/>
  <c r="I41" i="78"/>
  <c r="G41" i="78"/>
  <c r="G40" i="78"/>
  <c r="M36" i="78"/>
  <c r="M35" i="78"/>
  <c r="M33" i="78"/>
  <c r="M32" i="78"/>
  <c r="M31" i="78"/>
  <c r="M30" i="78"/>
  <c r="M25" i="78"/>
  <c r="G17" i="78"/>
  <c r="G12" i="78"/>
  <c r="M15" i="78" s="1"/>
  <c r="C7" i="78"/>
  <c r="H13" i="85" l="1"/>
  <c r="H13" i="73"/>
  <c r="M57" i="78"/>
  <c r="M41" i="78"/>
  <c r="E16" i="81"/>
  <c r="G16" i="81"/>
  <c r="I16" i="80"/>
  <c r="K16" i="80"/>
  <c r="M18" i="78"/>
  <c r="M52" i="78" s="1"/>
  <c r="G39" i="78"/>
  <c r="G42" i="78" s="1"/>
  <c r="G21" i="78"/>
  <c r="C16" i="81" l="1"/>
  <c r="G17" i="80"/>
  <c r="E17" i="80"/>
  <c r="C17" i="80" s="1"/>
  <c r="G43" i="78"/>
  <c r="R36" i="65"/>
  <c r="S36" i="65" s="1"/>
  <c r="R13" i="65"/>
  <c r="S13" i="65" s="1"/>
  <c r="R12" i="65"/>
  <c r="S12" i="65" s="1"/>
  <c r="C52" i="65"/>
  <c r="C51" i="65"/>
  <c r="R14" i="65"/>
  <c r="C7" i="57"/>
  <c r="N5" i="58"/>
  <c r="U5" i="58"/>
  <c r="C5" i="52"/>
  <c r="D53" i="45"/>
  <c r="D29" i="45"/>
  <c r="C5" i="2"/>
  <c r="O5" i="58" l="1"/>
  <c r="W5" i="58" s="1"/>
  <c r="I16" i="81"/>
  <c r="K16" i="81"/>
  <c r="V5" i="58"/>
  <c r="P5" i="58"/>
  <c r="X5" i="58" s="1"/>
  <c r="R5" i="58" l="1"/>
  <c r="G17" i="81"/>
  <c r="E17" i="81"/>
  <c r="I17" i="80"/>
  <c r="K17" i="80"/>
  <c r="I5" i="68"/>
  <c r="I7" i="68"/>
  <c r="I3" i="68"/>
  <c r="C17" i="81" l="1"/>
  <c r="G18" i="80"/>
  <c r="E18" i="80"/>
  <c r="C18" i="80" s="1"/>
  <c r="I9" i="68"/>
  <c r="I17" i="81" l="1"/>
  <c r="K17" i="81"/>
  <c r="H48" i="45"/>
  <c r="G18" i="81" l="1"/>
  <c r="E18" i="81"/>
  <c r="I18" i="80"/>
  <c r="K18" i="80"/>
  <c r="I40" i="78"/>
  <c r="C18" i="81" l="1"/>
  <c r="G19" i="80"/>
  <c r="E19" i="80"/>
  <c r="C19" i="80" s="1"/>
  <c r="M40" i="78"/>
  <c r="I18" i="81" l="1"/>
  <c r="K18" i="81"/>
  <c r="M68" i="78"/>
  <c r="G19" i="81" l="1"/>
  <c r="E19" i="81"/>
  <c r="I19" i="80"/>
  <c r="K19" i="80"/>
  <c r="M17" i="78"/>
  <c r="M51" i="78" l="1"/>
  <c r="M21" i="78"/>
  <c r="C19" i="81"/>
  <c r="E20" i="80"/>
  <c r="C20" i="80" s="1"/>
  <c r="G20" i="80"/>
  <c r="I19" i="81" l="1"/>
  <c r="K19" i="81"/>
  <c r="G20" i="81" l="1"/>
  <c r="E20" i="81"/>
  <c r="C20" i="81" s="1"/>
  <c r="I20" i="81" s="1"/>
  <c r="I20" i="80"/>
  <c r="K20" i="80"/>
  <c r="M38" i="78"/>
  <c r="M39" i="78" s="1"/>
  <c r="M42" i="78" s="1"/>
  <c r="M46" i="78" s="1"/>
  <c r="S17" i="65"/>
  <c r="S33" i="65"/>
  <c r="S38" i="65"/>
  <c r="S22" i="65"/>
  <c r="I39" i="78" l="1"/>
  <c r="I42" i="78" s="1"/>
  <c r="K20" i="81"/>
  <c r="G21" i="80"/>
  <c r="E21" i="80"/>
  <c r="C21" i="80" s="1"/>
  <c r="M48" i="78"/>
  <c r="M64" i="78"/>
  <c r="G21" i="81" l="1"/>
  <c r="E21" i="81"/>
  <c r="C21" i="81" s="1"/>
  <c r="I21" i="81" s="1"/>
  <c r="I21" i="80"/>
  <c r="K21" i="80"/>
  <c r="I21" i="3"/>
  <c r="I21" i="78"/>
  <c r="I43" i="78" s="1"/>
  <c r="M25" i="3"/>
  <c r="C5" i="5"/>
  <c r="E28" i="45"/>
  <c r="E27" i="45"/>
  <c r="E26" i="45"/>
  <c r="E25" i="45"/>
  <c r="K14" i="68"/>
  <c r="C5" i="45"/>
  <c r="K21" i="81" l="1"/>
  <c r="E22" i="80"/>
  <c r="G22" i="80"/>
  <c r="E24" i="45"/>
  <c r="E29" i="45" s="1"/>
  <c r="M43" i="78"/>
  <c r="G15" i="68"/>
  <c r="E30" i="45" l="1"/>
  <c r="G22" i="81"/>
  <c r="E22" i="81"/>
  <c r="C22" i="81" s="1"/>
  <c r="I22" i="81" s="1"/>
  <c r="C22" i="80"/>
  <c r="I22" i="80" s="1"/>
  <c r="K22" i="80"/>
  <c r="G23" i="80" s="1"/>
  <c r="I15" i="68"/>
  <c r="G21" i="3"/>
  <c r="K22" i="81" l="1"/>
  <c r="E23" i="80"/>
  <c r="K15" i="68"/>
  <c r="E16" i="68" s="1"/>
  <c r="M56" i="3"/>
  <c r="C7" i="3"/>
  <c r="D7" i="58" l="1"/>
  <c r="F8" i="65"/>
  <c r="E23" i="81"/>
  <c r="C23" i="81" s="1"/>
  <c r="I23" i="81" s="1"/>
  <c r="G23" i="81"/>
  <c r="C23" i="80"/>
  <c r="K23" i="80" s="1"/>
  <c r="G24" i="80"/>
  <c r="E24" i="80"/>
  <c r="G16" i="68"/>
  <c r="C16" i="68"/>
  <c r="K23" i="81" l="1"/>
  <c r="C24" i="80"/>
  <c r="I24" i="80" s="1"/>
  <c r="I23" i="80"/>
  <c r="K24" i="80"/>
  <c r="K16" i="68"/>
  <c r="E17" i="68" s="1"/>
  <c r="I16" i="68"/>
  <c r="G24" i="81" l="1"/>
  <c r="E24" i="81"/>
  <c r="C24" i="81" s="1"/>
  <c r="I24" i="81" s="1"/>
  <c r="G25" i="80"/>
  <c r="E25" i="80"/>
  <c r="G17" i="68"/>
  <c r="C17" i="68"/>
  <c r="K17" i="68" s="1"/>
  <c r="E18" i="68" s="1"/>
  <c r="C18" i="68" s="1"/>
  <c r="K24" i="81" l="1"/>
  <c r="C25" i="80"/>
  <c r="I25" i="80" s="1"/>
  <c r="K48" i="45"/>
  <c r="I17" i="68"/>
  <c r="G18" i="68"/>
  <c r="G25" i="81" l="1"/>
  <c r="E25" i="81"/>
  <c r="C25" i="81" s="1"/>
  <c r="I25" i="81" s="1"/>
  <c r="K25" i="80"/>
  <c r="G26" i="80"/>
  <c r="E26" i="80"/>
  <c r="K18" i="68"/>
  <c r="E19" i="68" s="1"/>
  <c r="K25" i="81" l="1"/>
  <c r="C26" i="80"/>
  <c r="I26" i="80" s="1"/>
  <c r="C19" i="68"/>
  <c r="K49" i="45"/>
  <c r="I18" i="68"/>
  <c r="G19" i="68"/>
  <c r="E26" i="81" l="1"/>
  <c r="C26" i="81" s="1"/>
  <c r="I26" i="81" s="1"/>
  <c r="G26" i="81"/>
  <c r="K26" i="80"/>
  <c r="G27" i="80"/>
  <c r="E27" i="80"/>
  <c r="H49" i="45"/>
  <c r="K19" i="68"/>
  <c r="E20" i="68" s="1"/>
  <c r="K26" i="81" l="1"/>
  <c r="C27" i="80"/>
  <c r="I27" i="80" s="1"/>
  <c r="C20" i="68"/>
  <c r="I20" i="68" s="1"/>
  <c r="I19" i="68"/>
  <c r="G20" i="68"/>
  <c r="G27" i="81" l="1"/>
  <c r="E27" i="81"/>
  <c r="C27" i="81" s="1"/>
  <c r="I27" i="81" s="1"/>
  <c r="K27" i="80"/>
  <c r="G28" i="80"/>
  <c r="E28" i="80"/>
  <c r="K20" i="68"/>
  <c r="K27" i="81" l="1"/>
  <c r="C28" i="80"/>
  <c r="I28" i="80" s="1"/>
  <c r="G21" i="68"/>
  <c r="E21" i="68"/>
  <c r="E28" i="81" l="1"/>
  <c r="C28" i="81" s="1"/>
  <c r="I28" i="81" s="1"/>
  <c r="G28" i="81"/>
  <c r="K28" i="80"/>
  <c r="G29" i="80"/>
  <c r="E29" i="80"/>
  <c r="C21" i="68"/>
  <c r="K21" i="68" s="1"/>
  <c r="K50" i="45"/>
  <c r="K28" i="81" l="1"/>
  <c r="C29" i="80"/>
  <c r="I29" i="80" s="1"/>
  <c r="H50" i="45"/>
  <c r="I21" i="68"/>
  <c r="G22" i="68"/>
  <c r="E22" i="68"/>
  <c r="G29" i="81" l="1"/>
  <c r="E29" i="81"/>
  <c r="C29" i="81" s="1"/>
  <c r="I29" i="81" s="1"/>
  <c r="K29" i="80"/>
  <c r="G30" i="80"/>
  <c r="E30" i="80"/>
  <c r="C22" i="68"/>
  <c r="K22" i="68" s="1"/>
  <c r="K29" i="81" l="1"/>
  <c r="C30" i="80"/>
  <c r="I30" i="80" s="1"/>
  <c r="K30" i="80"/>
  <c r="I22" i="68"/>
  <c r="G23" i="68"/>
  <c r="E23" i="68"/>
  <c r="G30" i="81" l="1"/>
  <c r="E30" i="81"/>
  <c r="C30" i="81" s="1"/>
  <c r="I30" i="81" s="1"/>
  <c r="G31" i="80"/>
  <c r="E31" i="80"/>
  <c r="C23" i="68"/>
  <c r="K23" i="68" s="1"/>
  <c r="K30" i="81" l="1"/>
  <c r="C31" i="80"/>
  <c r="I31" i="80" s="1"/>
  <c r="I23" i="68"/>
  <c r="K51" i="45"/>
  <c r="G24" i="68"/>
  <c r="E24" i="68"/>
  <c r="G31" i="81" l="1"/>
  <c r="E31" i="81"/>
  <c r="C31" i="81" s="1"/>
  <c r="I31" i="81" s="1"/>
  <c r="K31" i="80"/>
  <c r="E32" i="80"/>
  <c r="G32" i="80"/>
  <c r="I54" i="45"/>
  <c r="I53" i="45"/>
  <c r="C24" i="68"/>
  <c r="K24" i="68" s="1"/>
  <c r="H51" i="45"/>
  <c r="K31" i="81" l="1"/>
  <c r="C32" i="80"/>
  <c r="I32" i="80" s="1"/>
  <c r="I24" i="68"/>
  <c r="G25" i="68"/>
  <c r="E25" i="68"/>
  <c r="C25" i="68" s="1"/>
  <c r="I25" i="68" s="1"/>
  <c r="G32" i="81" l="1"/>
  <c r="E32" i="81"/>
  <c r="C32" i="81" s="1"/>
  <c r="I32" i="81" s="1"/>
  <c r="K32" i="80"/>
  <c r="G33" i="80"/>
  <c r="E33" i="80"/>
  <c r="G54" i="45"/>
  <c r="G53" i="45"/>
  <c r="K25" i="68"/>
  <c r="K32" i="81" l="1"/>
  <c r="C33" i="80"/>
  <c r="I33" i="80" s="1"/>
  <c r="K33" i="80"/>
  <c r="K52" i="45"/>
  <c r="E53" i="45"/>
  <c r="E54" i="45"/>
  <c r="G26" i="68"/>
  <c r="E26" i="68"/>
  <c r="C26" i="68" s="1"/>
  <c r="I26" i="68" s="1"/>
  <c r="G33" i="81" l="1"/>
  <c r="E33" i="81"/>
  <c r="C33" i="81" s="1"/>
  <c r="I33" i="81" s="1"/>
  <c r="G34" i="80"/>
  <c r="E34" i="80"/>
  <c r="H52" i="45"/>
  <c r="H53" i="45" s="1"/>
  <c r="K54" i="45"/>
  <c r="K55" i="45" s="1"/>
  <c r="K53" i="45"/>
  <c r="K26" i="68"/>
  <c r="K33" i="81" l="1"/>
  <c r="C34" i="80"/>
  <c r="I34" i="80" s="1"/>
  <c r="G27" i="68"/>
  <c r="E27" i="68"/>
  <c r="C27" i="68" s="1"/>
  <c r="I27" i="68" s="1"/>
  <c r="G34" i="81" l="1"/>
  <c r="E34" i="81"/>
  <c r="C34" i="81" s="1"/>
  <c r="I34" i="81" s="1"/>
  <c r="K34" i="80"/>
  <c r="G35" i="80"/>
  <c r="E35" i="80"/>
  <c r="K27" i="68"/>
  <c r="K34" i="81" l="1"/>
  <c r="C35" i="80"/>
  <c r="I35" i="80" s="1"/>
  <c r="G28" i="68"/>
  <c r="E28" i="68"/>
  <c r="C28" i="68" s="1"/>
  <c r="I28" i="68" s="1"/>
  <c r="E35" i="81" l="1"/>
  <c r="C35" i="81" s="1"/>
  <c r="I35" i="81" s="1"/>
  <c r="G35" i="81"/>
  <c r="K35" i="80"/>
  <c r="G36" i="80"/>
  <c r="E36" i="80"/>
  <c r="K28" i="68"/>
  <c r="K35" i="81" l="1"/>
  <c r="C36" i="80"/>
  <c r="I36" i="80" s="1"/>
  <c r="G29" i="68"/>
  <c r="E29" i="68"/>
  <c r="C29" i="68" s="1"/>
  <c r="I29" i="68" s="1"/>
  <c r="G36" i="81" l="1"/>
  <c r="E36" i="81"/>
  <c r="C36" i="81" s="1"/>
  <c r="I36" i="81" s="1"/>
  <c r="K36" i="80"/>
  <c r="G37" i="80"/>
  <c r="E37" i="80"/>
  <c r="K29" i="68"/>
  <c r="K36" i="81" l="1"/>
  <c r="C37" i="80"/>
  <c r="I37" i="80" s="1"/>
  <c r="G30" i="68"/>
  <c r="E30" i="68"/>
  <c r="C30" i="68" s="1"/>
  <c r="I30" i="68" s="1"/>
  <c r="G37" i="81" l="1"/>
  <c r="E37" i="81"/>
  <c r="C37" i="81" s="1"/>
  <c r="I37" i="81" s="1"/>
  <c r="K37" i="80"/>
  <c r="G38" i="80"/>
  <c r="E38" i="80"/>
  <c r="K30" i="68"/>
  <c r="K37" i="81" l="1"/>
  <c r="C38" i="80"/>
  <c r="I38" i="80" s="1"/>
  <c r="G31" i="68"/>
  <c r="E31" i="68"/>
  <c r="C31" i="68" s="1"/>
  <c r="E38" i="81" l="1"/>
  <c r="C38" i="81" s="1"/>
  <c r="I38" i="81" s="1"/>
  <c r="G38" i="81"/>
  <c r="K38" i="80"/>
  <c r="G39" i="80"/>
  <c r="E39" i="80"/>
  <c r="K38" i="81" l="1"/>
  <c r="C39" i="80"/>
  <c r="I39" i="80" s="1"/>
  <c r="I31" i="68"/>
  <c r="K31" i="68"/>
  <c r="G39" i="81" l="1"/>
  <c r="E39" i="81"/>
  <c r="C39" i="81" s="1"/>
  <c r="I39" i="81" s="1"/>
  <c r="K39" i="80"/>
  <c r="G40" i="80"/>
  <c r="E40" i="80"/>
  <c r="G32" i="68"/>
  <c r="E32" i="68"/>
  <c r="C32" i="68" s="1"/>
  <c r="I24" i="45"/>
  <c r="K39" i="81" l="1"/>
  <c r="C40" i="80"/>
  <c r="I40" i="80" s="1"/>
  <c r="G40" i="81" l="1"/>
  <c r="E40" i="81"/>
  <c r="C40" i="81" s="1"/>
  <c r="I40" i="81" s="1"/>
  <c r="K40" i="80"/>
  <c r="G41" i="80"/>
  <c r="E41" i="80"/>
  <c r="I32" i="68"/>
  <c r="K32" i="68"/>
  <c r="K36" i="5"/>
  <c r="E42" i="5"/>
  <c r="E41" i="5"/>
  <c r="K40" i="81" l="1"/>
  <c r="C41" i="80"/>
  <c r="I41" i="80" s="1"/>
  <c r="G33" i="68"/>
  <c r="E33" i="68"/>
  <c r="C33" i="68" s="1"/>
  <c r="G41" i="81" l="1"/>
  <c r="E41" i="81"/>
  <c r="C41" i="81" s="1"/>
  <c r="I41" i="81" s="1"/>
  <c r="K41" i="80"/>
  <c r="G42" i="80"/>
  <c r="E42" i="80"/>
  <c r="K37" i="5"/>
  <c r="K41" i="81" l="1"/>
  <c r="C42" i="80"/>
  <c r="I42" i="80" s="1"/>
  <c r="I33" i="68"/>
  <c r="K33" i="68"/>
  <c r="G42" i="81" l="1"/>
  <c r="E42" i="81"/>
  <c r="C42" i="81" s="1"/>
  <c r="I42" i="81" s="1"/>
  <c r="K42" i="80"/>
  <c r="G43" i="80"/>
  <c r="E43" i="80"/>
  <c r="G34" i="68"/>
  <c r="I25" i="45" s="1"/>
  <c r="E34" i="68"/>
  <c r="C34" i="68" s="1"/>
  <c r="K42" i="81" l="1"/>
  <c r="C43" i="80"/>
  <c r="I43" i="80" s="1"/>
  <c r="K38" i="5"/>
  <c r="G43" i="81" l="1"/>
  <c r="E43" i="81"/>
  <c r="C43" i="81" s="1"/>
  <c r="I43" i="81" s="1"/>
  <c r="K43" i="80"/>
  <c r="E44" i="80"/>
  <c r="G44" i="80"/>
  <c r="I34" i="68"/>
  <c r="K34" i="68"/>
  <c r="K43" i="81" l="1"/>
  <c r="C44" i="80"/>
  <c r="I44" i="80" s="1"/>
  <c r="E35" i="68"/>
  <c r="C35" i="68" s="1"/>
  <c r="G35" i="68"/>
  <c r="E30" i="5"/>
  <c r="E29" i="5"/>
  <c r="K39" i="5"/>
  <c r="G44" i="81" l="1"/>
  <c r="E44" i="81"/>
  <c r="C44" i="81" s="1"/>
  <c r="I44" i="81" s="1"/>
  <c r="K44" i="80"/>
  <c r="G45" i="80" s="1"/>
  <c r="E45" i="80"/>
  <c r="I35" i="68"/>
  <c r="K35" i="68"/>
  <c r="K40" i="5"/>
  <c r="G41" i="5"/>
  <c r="G42" i="5"/>
  <c r="I42" i="5"/>
  <c r="I41" i="5"/>
  <c r="K44" i="81" l="1"/>
  <c r="C45" i="80"/>
  <c r="I45" i="80" s="1"/>
  <c r="K45" i="80"/>
  <c r="G36" i="68"/>
  <c r="E36" i="68"/>
  <c r="K41" i="5"/>
  <c r="K42" i="5"/>
  <c r="K43" i="5" s="1"/>
  <c r="H41" i="5"/>
  <c r="G45" i="81" l="1"/>
  <c r="E45" i="81"/>
  <c r="C45" i="81" s="1"/>
  <c r="I45" i="81" s="1"/>
  <c r="G46" i="80"/>
  <c r="E46" i="80"/>
  <c r="C36" i="68"/>
  <c r="I26" i="45"/>
  <c r="E17" i="5"/>
  <c r="E16" i="5"/>
  <c r="K45" i="81" l="1"/>
  <c r="C46" i="80"/>
  <c r="I46" i="80" s="1"/>
  <c r="K46" i="80"/>
  <c r="I36" i="68"/>
  <c r="K36" i="68"/>
  <c r="G46" i="81" l="1"/>
  <c r="E46" i="81"/>
  <c r="C46" i="81" s="1"/>
  <c r="I46" i="81" s="1"/>
  <c r="G47" i="80"/>
  <c r="E47" i="80"/>
  <c r="G37" i="68"/>
  <c r="E37" i="68"/>
  <c r="K46" i="81" l="1"/>
  <c r="C47" i="80"/>
  <c r="I47" i="80" s="1"/>
  <c r="K47" i="80"/>
  <c r="C37" i="68"/>
  <c r="S23" i="65"/>
  <c r="R5" i="65"/>
  <c r="Y5" i="65" s="1"/>
  <c r="R7" i="65"/>
  <c r="R8" i="65"/>
  <c r="R6" i="65"/>
  <c r="S5" i="65"/>
  <c r="C50" i="57"/>
  <c r="M11" i="64"/>
  <c r="M12" i="64"/>
  <c r="M13" i="64"/>
  <c r="M14" i="64"/>
  <c r="M10" i="64"/>
  <c r="N10" i="64" s="1"/>
  <c r="L20" i="64"/>
  <c r="P20" i="64" s="1"/>
  <c r="L19" i="64"/>
  <c r="P19" i="64" s="1"/>
  <c r="L18" i="64"/>
  <c r="P18" i="64" s="1"/>
  <c r="L17" i="64"/>
  <c r="P17" i="64" s="1"/>
  <c r="L16" i="64"/>
  <c r="P16" i="64" s="1"/>
  <c r="P14" i="64"/>
  <c r="Q13" i="64"/>
  <c r="P13" i="64"/>
  <c r="P12" i="64"/>
  <c r="Q12" i="64"/>
  <c r="Q11" i="64"/>
  <c r="P11" i="64"/>
  <c r="N11" i="64"/>
  <c r="P10" i="64"/>
  <c r="B10" i="64"/>
  <c r="Q8" i="64" s="1"/>
  <c r="V7" i="58"/>
  <c r="V8" i="58"/>
  <c r="V9" i="58"/>
  <c r="V10" i="58"/>
  <c r="V11" i="58"/>
  <c r="V12" i="58"/>
  <c r="V13" i="58"/>
  <c r="V14" i="58"/>
  <c r="U6" i="58"/>
  <c r="U7" i="58"/>
  <c r="U8" i="58"/>
  <c r="U9" i="58"/>
  <c r="U10" i="58"/>
  <c r="U11" i="58"/>
  <c r="U12" i="58"/>
  <c r="U13" i="58"/>
  <c r="U14" i="58"/>
  <c r="V19" i="59"/>
  <c r="U11" i="59"/>
  <c r="U12" i="59"/>
  <c r="U13" i="59"/>
  <c r="U14" i="59"/>
  <c r="U15" i="59"/>
  <c r="U16" i="59"/>
  <c r="U17" i="59"/>
  <c r="U18" i="59"/>
  <c r="U19" i="59"/>
  <c r="U10" i="59"/>
  <c r="N12" i="59"/>
  <c r="V12" i="59" s="1"/>
  <c r="N13" i="59"/>
  <c r="V13" i="59" s="1"/>
  <c r="N14" i="59"/>
  <c r="Y14" i="59" s="1"/>
  <c r="Y15" i="59"/>
  <c r="V16" i="59"/>
  <c r="V17" i="59"/>
  <c r="Y18" i="59"/>
  <c r="Y19" i="59"/>
  <c r="Y13" i="59"/>
  <c r="N11" i="59"/>
  <c r="V11" i="59" s="1"/>
  <c r="N10" i="59"/>
  <c r="V10" i="59" s="1"/>
  <c r="P10" i="58"/>
  <c r="X10" i="58" s="1"/>
  <c r="P11" i="58"/>
  <c r="X11" i="58" s="1"/>
  <c r="O7" i="58"/>
  <c r="W7" i="58" s="1"/>
  <c r="O8" i="58"/>
  <c r="W8" i="58" s="1"/>
  <c r="O9" i="58"/>
  <c r="W9" i="58" s="1"/>
  <c r="W10" i="58"/>
  <c r="W11" i="58"/>
  <c r="P12" i="58"/>
  <c r="X12" i="58" s="1"/>
  <c r="W13" i="58"/>
  <c r="X14" i="58"/>
  <c r="X3" i="58"/>
  <c r="W3" i="58"/>
  <c r="V3" i="58"/>
  <c r="U3" i="58"/>
  <c r="N6" i="58"/>
  <c r="O6" i="58" s="1"/>
  <c r="W6" i="58" s="1"/>
  <c r="I46" i="55"/>
  <c r="I45" i="55"/>
  <c r="I44" i="55"/>
  <c r="I43" i="55"/>
  <c r="I42" i="55"/>
  <c r="I41" i="55"/>
  <c r="I40" i="55"/>
  <c r="I39" i="55"/>
  <c r="I36" i="55"/>
  <c r="I35" i="55"/>
  <c r="I34" i="55"/>
  <c r="I33" i="55"/>
  <c r="I32" i="55"/>
  <c r="I31" i="55"/>
  <c r="I30" i="55"/>
  <c r="I29" i="55"/>
  <c r="I26" i="55"/>
  <c r="I25" i="55"/>
  <c r="I22" i="55"/>
  <c r="I21" i="55"/>
  <c r="I20" i="55"/>
  <c r="I17" i="55"/>
  <c r="I16" i="55"/>
  <c r="I15" i="55"/>
  <c r="I14" i="55"/>
  <c r="I13" i="55"/>
  <c r="I12" i="55"/>
  <c r="I11" i="55"/>
  <c r="Y12" i="59" l="1"/>
  <c r="Y16" i="59"/>
  <c r="E47" i="81"/>
  <c r="C47" i="81" s="1"/>
  <c r="I47" i="81" s="1"/>
  <c r="G47" i="81"/>
  <c r="G48" i="80"/>
  <c r="E48" i="80"/>
  <c r="S24" i="65"/>
  <c r="Y17" i="59"/>
  <c r="V18" i="59"/>
  <c r="V15" i="59"/>
  <c r="V14" i="59"/>
  <c r="P9" i="58"/>
  <c r="X9" i="58" s="1"/>
  <c r="W12" i="58"/>
  <c r="P8" i="58"/>
  <c r="X8" i="58" s="1"/>
  <c r="V6" i="58"/>
  <c r="P7" i="58"/>
  <c r="X7" i="58" s="1"/>
  <c r="P6" i="58"/>
  <c r="X6" i="58" s="1"/>
  <c r="W14" i="58"/>
  <c r="X13" i="58"/>
  <c r="I37" i="68"/>
  <c r="K37" i="68"/>
  <c r="R13" i="64"/>
  <c r="R12" i="64"/>
  <c r="N12" i="64"/>
  <c r="N14" i="64"/>
  <c r="Q14" i="64"/>
  <c r="R11" i="64"/>
  <c r="Q10" i="64"/>
  <c r="N13" i="64"/>
  <c r="Y10" i="59"/>
  <c r="Y11" i="59"/>
  <c r="Z12" i="59"/>
  <c r="R14" i="58"/>
  <c r="R11" i="58"/>
  <c r="R9" i="58" l="1"/>
  <c r="K47" i="81"/>
  <c r="I48" i="80"/>
  <c r="K48" i="80"/>
  <c r="E38" i="68"/>
  <c r="G38" i="68"/>
  <c r="R14" i="64"/>
  <c r="Z13" i="59"/>
  <c r="Z15" i="59"/>
  <c r="R14" i="59"/>
  <c r="R6" i="58"/>
  <c r="R8" i="58"/>
  <c r="R7" i="58"/>
  <c r="R13" i="58"/>
  <c r="R12" i="58"/>
  <c r="R10" i="58"/>
  <c r="G48" i="81" l="1"/>
  <c r="G55" i="81" s="1"/>
  <c r="E48" i="81"/>
  <c r="E55" i="81" s="1"/>
  <c r="C48" i="81"/>
  <c r="C38" i="68"/>
  <c r="I27" i="45"/>
  <c r="Z7" i="58"/>
  <c r="R16" i="59"/>
  <c r="Z17" i="59"/>
  <c r="Z14" i="59"/>
  <c r="R13" i="59"/>
  <c r="Z19" i="59"/>
  <c r="R18" i="59"/>
  <c r="Z16" i="59"/>
  <c r="Z12" i="58"/>
  <c r="Z10" i="58"/>
  <c r="Z14" i="58"/>
  <c r="Z13" i="58"/>
  <c r="I48" i="81" l="1"/>
  <c r="I55" i="81" s="1"/>
  <c r="C55" i="81"/>
  <c r="K48" i="81"/>
  <c r="I38" i="68"/>
  <c r="K38" i="68"/>
  <c r="Z8" i="58"/>
  <c r="Z9" i="58"/>
  <c r="Z6" i="58"/>
  <c r="Z11" i="58"/>
  <c r="R19" i="59"/>
  <c r="Z18" i="59"/>
  <c r="R17" i="59"/>
  <c r="R12" i="59"/>
  <c r="R15" i="59"/>
  <c r="E39" i="68" l="1"/>
  <c r="G39" i="68"/>
  <c r="Z11" i="59"/>
  <c r="R11" i="59"/>
  <c r="C39" i="68" l="1"/>
  <c r="I39" i="68" l="1"/>
  <c r="K39" i="68"/>
  <c r="E40" i="68" l="1"/>
  <c r="G40" i="68"/>
  <c r="I28" i="45" l="1"/>
  <c r="C40" i="68"/>
  <c r="I30" i="45" l="1"/>
  <c r="I29" i="45"/>
  <c r="I40" i="68"/>
  <c r="K40" i="68"/>
  <c r="I30" i="5"/>
  <c r="I29" i="5"/>
  <c r="S5" i="52"/>
  <c r="F12" i="2"/>
  <c r="F12" i="52" s="1"/>
  <c r="F11" i="2"/>
  <c r="F11" i="52" s="1"/>
  <c r="D6" i="58" l="1"/>
  <c r="F7" i="65"/>
  <c r="D5" i="58"/>
  <c r="F6" i="65"/>
  <c r="D4" i="58"/>
  <c r="F5" i="65"/>
  <c r="U12" i="65"/>
  <c r="I17" i="45"/>
  <c r="I16" i="45"/>
  <c r="I16" i="5"/>
  <c r="I17" i="5"/>
  <c r="E41" i="68"/>
  <c r="C41" i="68" s="1"/>
  <c r="I41" i="68" s="1"/>
  <c r="G41" i="68"/>
  <c r="Q11" i="2"/>
  <c r="Q12" i="2"/>
  <c r="M41" i="3"/>
  <c r="U13" i="65" l="1"/>
  <c r="K41" i="68"/>
  <c r="E17" i="45"/>
  <c r="E16" i="45"/>
  <c r="E42" i="68"/>
  <c r="C42" i="68" s="1"/>
  <c r="I42" i="68" s="1"/>
  <c r="G42" i="68"/>
  <c r="P4" i="58"/>
  <c r="W11" i="52"/>
  <c r="M4" i="58"/>
  <c r="M16" i="58" s="1"/>
  <c r="U5" i="65"/>
  <c r="W12" i="52"/>
  <c r="N4" i="58"/>
  <c r="M9" i="59"/>
  <c r="M21" i="59" s="1"/>
  <c r="M22" i="59" s="1"/>
  <c r="M23" i="59" s="1"/>
  <c r="M24" i="59" s="1"/>
  <c r="W14" i="52"/>
  <c r="W13" i="52"/>
  <c r="O4" i="58"/>
  <c r="K42" i="68" l="1"/>
  <c r="G43" i="68"/>
  <c r="E43" i="68"/>
  <c r="C43" i="68" s="1"/>
  <c r="I43" i="68" s="1"/>
  <c r="N9" i="59"/>
  <c r="N21" i="59" s="1"/>
  <c r="O21" i="58"/>
  <c r="O20" i="58"/>
  <c r="O19" i="58"/>
  <c r="O18" i="58"/>
  <c r="O17" i="58"/>
  <c r="O16" i="58"/>
  <c r="O25" i="58"/>
  <c r="O24" i="58"/>
  <c r="O23" i="58"/>
  <c r="O22" i="58"/>
  <c r="AA5" i="65"/>
  <c r="M17" i="58"/>
  <c r="M25" i="59"/>
  <c r="N16" i="58"/>
  <c r="N23" i="58"/>
  <c r="N19" i="58"/>
  <c r="N24" i="58"/>
  <c r="N25" i="58"/>
  <c r="N17" i="58"/>
  <c r="N20" i="58"/>
  <c r="N21" i="58"/>
  <c r="N18" i="58"/>
  <c r="N22" i="58"/>
  <c r="P23" i="58"/>
  <c r="P22" i="58"/>
  <c r="P21" i="58"/>
  <c r="P20" i="58"/>
  <c r="P19" i="58"/>
  <c r="P18" i="58"/>
  <c r="P17" i="58"/>
  <c r="P16" i="58"/>
  <c r="P25" i="58"/>
  <c r="P24" i="58"/>
  <c r="R16" i="58" l="1"/>
  <c r="R17" i="58"/>
  <c r="G55" i="80"/>
  <c r="N30" i="59"/>
  <c r="N28" i="59"/>
  <c r="N26" i="59"/>
  <c r="N25" i="59"/>
  <c r="N24" i="59"/>
  <c r="N27" i="59"/>
  <c r="N22" i="59"/>
  <c r="N23" i="59"/>
  <c r="N29" i="59"/>
  <c r="K43" i="68"/>
  <c r="E12" i="57"/>
  <c r="M26" i="59"/>
  <c r="M18" i="58"/>
  <c r="R18" i="58" s="1"/>
  <c r="E13" i="57"/>
  <c r="Q28" i="59"/>
  <c r="Q26" i="59"/>
  <c r="Q30" i="59"/>
  <c r="Q25" i="59"/>
  <c r="Q27" i="59"/>
  <c r="Q24" i="59"/>
  <c r="Q23" i="59"/>
  <c r="Q29" i="59"/>
  <c r="Q21" i="59"/>
  <c r="R21" i="59" s="1"/>
  <c r="E24" i="57" s="1"/>
  <c r="Q22" i="59"/>
  <c r="U31" i="65" l="1"/>
  <c r="E55" i="80"/>
  <c r="R22" i="59"/>
  <c r="E25" i="57" s="1"/>
  <c r="R23" i="59"/>
  <c r="E26" i="57" s="1"/>
  <c r="E44" i="68"/>
  <c r="C44" i="68" s="1"/>
  <c r="I44" i="68" s="1"/>
  <c r="G44" i="68"/>
  <c r="R24" i="59"/>
  <c r="E27" i="57" s="1"/>
  <c r="R25" i="59"/>
  <c r="E28" i="57" s="1"/>
  <c r="R26" i="59"/>
  <c r="E29" i="57" s="1"/>
  <c r="M27" i="59"/>
  <c r="M19" i="58"/>
  <c r="R19" i="58" s="1"/>
  <c r="E14" i="57"/>
  <c r="I55" i="80" l="1"/>
  <c r="C55" i="80"/>
  <c r="K44" i="68"/>
  <c r="G24" i="45"/>
  <c r="K24" i="5"/>
  <c r="E45" i="68"/>
  <c r="C45" i="68" s="1"/>
  <c r="I45" i="68" s="1"/>
  <c r="G45" i="68"/>
  <c r="R27" i="59"/>
  <c r="E30" i="57" s="1"/>
  <c r="M28" i="59"/>
  <c r="M20" i="58"/>
  <c r="R20" i="58" s="1"/>
  <c r="E15" i="57"/>
  <c r="M9" i="64" l="1"/>
  <c r="J57" i="65"/>
  <c r="K45" i="68"/>
  <c r="K11" i="5"/>
  <c r="K24" i="45"/>
  <c r="E46" i="68"/>
  <c r="C46" i="68" s="1"/>
  <c r="I46" i="68" s="1"/>
  <c r="G46" i="68"/>
  <c r="E16" i="57"/>
  <c r="M21" i="58"/>
  <c r="R21" i="58" s="1"/>
  <c r="M29" i="59"/>
  <c r="R28" i="59"/>
  <c r="E31" i="57" s="1"/>
  <c r="M16" i="64" l="1"/>
  <c r="N16" i="64" s="1"/>
  <c r="E77" i="57" s="1"/>
  <c r="M19" i="64"/>
  <c r="N19" i="64" s="1"/>
  <c r="E80" i="57" s="1"/>
  <c r="M18" i="64"/>
  <c r="N18" i="64" s="1"/>
  <c r="E79" i="57" s="1"/>
  <c r="M17" i="64"/>
  <c r="N17" i="64" s="1"/>
  <c r="E78" i="57" s="1"/>
  <c r="M20" i="64"/>
  <c r="N20" i="64" s="1"/>
  <c r="E81" i="57" s="1"/>
  <c r="G25" i="45"/>
  <c r="K25" i="5"/>
  <c r="K11" i="45"/>
  <c r="F24" i="45"/>
  <c r="H24" i="45" s="1"/>
  <c r="K46" i="68"/>
  <c r="G47" i="68" s="1"/>
  <c r="F24" i="5"/>
  <c r="M30" i="59"/>
  <c r="R30" i="59" s="1"/>
  <c r="E33" i="57" s="1"/>
  <c r="R29" i="59"/>
  <c r="E32" i="57" s="1"/>
  <c r="M22" i="58"/>
  <c r="R22" i="58" s="1"/>
  <c r="E17" i="57"/>
  <c r="K12" i="5" l="1"/>
  <c r="K25" i="45"/>
  <c r="F25" i="45" s="1"/>
  <c r="H25" i="45" s="1"/>
  <c r="E47" i="68"/>
  <c r="C47" i="68" s="1"/>
  <c r="I47" i="68" s="1"/>
  <c r="E18" i="57"/>
  <c r="M23" i="58"/>
  <c r="R23" i="58" s="1"/>
  <c r="K47" i="68" l="1"/>
  <c r="G26" i="45"/>
  <c r="K26" i="5"/>
  <c r="K12" i="45"/>
  <c r="E48" i="68"/>
  <c r="C48" i="68" s="1"/>
  <c r="I48" i="68" s="1"/>
  <c r="G48" i="68"/>
  <c r="F25" i="5"/>
  <c r="M24" i="58"/>
  <c r="R24" i="58" s="1"/>
  <c r="E19" i="57"/>
  <c r="K13" i="5" l="1"/>
  <c r="K26" i="45"/>
  <c r="K48" i="68"/>
  <c r="E20" i="57"/>
  <c r="M25" i="58"/>
  <c r="R25" i="58" l="1"/>
  <c r="E21" i="57" s="1"/>
  <c r="F26" i="45"/>
  <c r="H26" i="45" s="1"/>
  <c r="G27" i="45"/>
  <c r="K27" i="5"/>
  <c r="K13" i="45"/>
  <c r="E49" i="68"/>
  <c r="C49" i="68" s="1"/>
  <c r="I49" i="68" s="1"/>
  <c r="G49" i="68"/>
  <c r="F26" i="5"/>
  <c r="M18" i="3"/>
  <c r="M17" i="3"/>
  <c r="K14" i="5" l="1"/>
  <c r="K27" i="45"/>
  <c r="K49" i="68"/>
  <c r="E50" i="68" s="1"/>
  <c r="C50" i="68" s="1"/>
  <c r="I50" i="68" s="1"/>
  <c r="S4" i="65"/>
  <c r="S6" i="65" s="1"/>
  <c r="F27" i="5" l="1"/>
  <c r="G50" i="68"/>
  <c r="G28" i="45"/>
  <c r="K28" i="5"/>
  <c r="G30" i="5"/>
  <c r="K14" i="45"/>
  <c r="F27" i="45"/>
  <c r="H27" i="45" s="1"/>
  <c r="U6" i="65"/>
  <c r="S9" i="65"/>
  <c r="K50" i="68"/>
  <c r="K30" i="5" l="1"/>
  <c r="K31" i="5" s="1"/>
  <c r="K29" i="5"/>
  <c r="K15" i="5"/>
  <c r="G16" i="5"/>
  <c r="G17" i="5"/>
  <c r="M49" i="78" s="1"/>
  <c r="M50" i="78" s="1"/>
  <c r="M63" i="78" s="1"/>
  <c r="K28" i="45"/>
  <c r="G29" i="45"/>
  <c r="G30" i="45"/>
  <c r="U9" i="65"/>
  <c r="J51" i="65" s="1"/>
  <c r="E51" i="68"/>
  <c r="C51" i="68" s="1"/>
  <c r="I51" i="68" s="1"/>
  <c r="G51" i="68"/>
  <c r="F28" i="5"/>
  <c r="Y4" i="65"/>
  <c r="Y6" i="65" s="1"/>
  <c r="AA6" i="65" s="1"/>
  <c r="AA7" i="65" s="1"/>
  <c r="U26" i="65" l="1"/>
  <c r="J54" i="65" s="1"/>
  <c r="K30" i="45"/>
  <c r="K31" i="45" s="1"/>
  <c r="F28" i="45"/>
  <c r="K29" i="45"/>
  <c r="K15" i="45"/>
  <c r="G16" i="45"/>
  <c r="G17" i="45"/>
  <c r="K17" i="5"/>
  <c r="K16" i="5"/>
  <c r="K51" i="68"/>
  <c r="G52" i="68" s="1"/>
  <c r="F29" i="5"/>
  <c r="E52" i="68" l="1"/>
  <c r="C52" i="68" s="1"/>
  <c r="I52" i="68" s="1"/>
  <c r="K17" i="45"/>
  <c r="K18" i="45" s="1"/>
  <c r="K16" i="45"/>
  <c r="H28" i="45"/>
  <c r="H29" i="45" s="1"/>
  <c r="F29" i="45"/>
  <c r="M47" i="3"/>
  <c r="M66" i="78" s="1"/>
  <c r="M67" i="78" s="1"/>
  <c r="M69" i="78" s="1"/>
  <c r="K18" i="5"/>
  <c r="M48" i="3" s="1"/>
  <c r="K52" i="68" l="1"/>
  <c r="E53" i="68"/>
  <c r="C53" i="68" s="1"/>
  <c r="K53" i="68" s="1"/>
  <c r="G53" i="68"/>
  <c r="C54" i="68" l="1"/>
  <c r="G54" i="68"/>
  <c r="G55" i="68" s="1"/>
  <c r="E54" i="68"/>
  <c r="E55" i="68" s="1"/>
  <c r="I53" i="68"/>
  <c r="K54" i="68" l="1"/>
  <c r="I54" i="68"/>
  <c r="I55" i="68" s="1"/>
  <c r="C55" i="68"/>
  <c r="M64" i="3"/>
  <c r="M40" i="3" l="1"/>
  <c r="M66" i="3" s="1"/>
  <c r="M29" i="3" l="1"/>
  <c r="M20" i="3" l="1"/>
  <c r="M56" i="78" s="1"/>
  <c r="M58" i="78" l="1"/>
  <c r="M59" i="78" s="1"/>
  <c r="S4" i="2" s="1"/>
  <c r="H17" i="73"/>
  <c r="M21" i="3"/>
  <c r="L13" i="73" l="1"/>
  <c r="M13" i="73" s="1"/>
  <c r="L13" i="85"/>
  <c r="M13" i="85" s="1"/>
  <c r="I39" i="3"/>
  <c r="I42" i="3" s="1"/>
  <c r="I43" i="3" s="1"/>
  <c r="M39" i="3" l="1"/>
  <c r="M42" i="3" s="1"/>
  <c r="G42" i="3"/>
  <c r="G43" i="3" s="1"/>
  <c r="M43" i="3" l="1"/>
  <c r="M46" i="3"/>
  <c r="M62" i="3" l="1"/>
  <c r="M49" i="3"/>
  <c r="M55" i="3" s="1"/>
  <c r="H17" i="85" s="1"/>
  <c r="M61" i="3" l="1"/>
  <c r="M65" i="3" s="1"/>
  <c r="M67" i="3" s="1"/>
  <c r="M57" i="3" l="1"/>
  <c r="M58" i="3" s="1"/>
  <c r="R4" i="84" s="1"/>
  <c r="Q14" i="84" l="1"/>
  <c r="S14" i="84" s="1"/>
  <c r="L14" i="84" s="1"/>
  <c r="Q25" i="84"/>
  <c r="S25" i="84" s="1"/>
  <c r="L25" i="84" s="1"/>
  <c r="C42" i="85" s="1"/>
  <c r="H42" i="85" s="1"/>
  <c r="Q45" i="84"/>
  <c r="S45" i="84" s="1"/>
  <c r="L45" i="84" s="1"/>
  <c r="C69" i="85" s="1"/>
  <c r="H69" i="85" s="1"/>
  <c r="H9" i="85" s="1"/>
  <c r="Q15" i="84"/>
  <c r="S15" i="84" s="1"/>
  <c r="L15" i="84" s="1"/>
  <c r="Q32" i="84"/>
  <c r="S32" i="84" s="1"/>
  <c r="L32" i="84" s="1"/>
  <c r="C51" i="85" s="1"/>
  <c r="H51" i="85" s="1"/>
  <c r="Q12" i="84"/>
  <c r="S12" i="84" s="1"/>
  <c r="L12" i="84" s="1"/>
  <c r="Q18" i="84"/>
  <c r="S18" i="84" s="1"/>
  <c r="L18" i="84" s="1"/>
  <c r="C33" i="85" s="1"/>
  <c r="H33" i="85" s="1"/>
  <c r="Q11" i="84"/>
  <c r="S11" i="84" s="1"/>
  <c r="L11" i="84" s="1"/>
  <c r="C24" i="85" s="1"/>
  <c r="H24" i="85" s="1"/>
  <c r="Q42" i="84"/>
  <c r="S42" i="84" s="1"/>
  <c r="L42" i="84" s="1"/>
  <c r="C65" i="85" s="1"/>
  <c r="H65" i="85" s="1"/>
  <c r="Q37" i="84"/>
  <c r="S37" i="84" s="1"/>
  <c r="L37" i="84" s="1"/>
  <c r="C58" i="85" s="1"/>
  <c r="H58" i="85" s="1"/>
  <c r="Q13" i="84"/>
  <c r="S13" i="84" s="1"/>
  <c r="L13" i="84" s="1"/>
  <c r="R13" i="2"/>
  <c r="T13" i="2" s="1"/>
  <c r="I13" i="2" s="1"/>
  <c r="L13" i="2" s="1"/>
  <c r="N13" i="2" s="1"/>
  <c r="R14" i="2"/>
  <c r="T14" i="2" s="1"/>
  <c r="I14" i="2" s="1"/>
  <c r="R15" i="2"/>
  <c r="T15" i="2" s="1"/>
  <c r="I15" i="2" s="1"/>
  <c r="L15" i="2" s="1"/>
  <c r="N15" i="2" s="1"/>
  <c r="R18" i="2"/>
  <c r="T18" i="2" s="1"/>
  <c r="I18" i="2" s="1"/>
  <c r="L18" i="2" s="1"/>
  <c r="N18" i="2" s="1"/>
  <c r="R45" i="2"/>
  <c r="T45" i="2" s="1"/>
  <c r="I45" i="2" s="1"/>
  <c r="L45" i="2" s="1"/>
  <c r="N45" i="2" s="1"/>
  <c r="R25" i="2"/>
  <c r="T25" i="2" s="1"/>
  <c r="I25" i="2" s="1"/>
  <c r="L25" i="2" s="1"/>
  <c r="N25" i="2" s="1"/>
  <c r="R37" i="2"/>
  <c r="T37" i="2" s="1"/>
  <c r="I37" i="2" s="1"/>
  <c r="L37" i="2" s="1"/>
  <c r="N37" i="2" s="1"/>
  <c r="R32" i="2"/>
  <c r="T32" i="2" s="1"/>
  <c r="I32" i="2" s="1"/>
  <c r="L32" i="2" s="1"/>
  <c r="N32" i="2" s="1"/>
  <c r="R42" i="2"/>
  <c r="T42" i="2" s="1"/>
  <c r="I42" i="2" s="1"/>
  <c r="L42" i="2" s="1"/>
  <c r="N42" i="2" s="1"/>
  <c r="R12" i="2"/>
  <c r="T12" i="2" s="1"/>
  <c r="I12" i="2" s="1"/>
  <c r="L12" i="2" s="1"/>
  <c r="N12" i="2" s="1"/>
  <c r="R11" i="2"/>
  <c r="T11" i="2" s="1"/>
  <c r="I11" i="2" s="1"/>
  <c r="C24" i="73" l="1"/>
  <c r="H24" i="73" s="1"/>
  <c r="M24" i="73" s="1"/>
  <c r="N24" i="73" s="1"/>
  <c r="L11" i="2"/>
  <c r="N11" i="2" s="1"/>
  <c r="G7" i="58"/>
  <c r="L14" i="2"/>
  <c r="N14" i="2" s="1"/>
  <c r="M24" i="85"/>
  <c r="N24" i="85" s="1"/>
  <c r="C25" i="85"/>
  <c r="L19" i="84"/>
  <c r="L26" i="84"/>
  <c r="C28" i="85"/>
  <c r="L22" i="84"/>
  <c r="L29" i="84"/>
  <c r="L34" i="84" s="1"/>
  <c r="L39" i="84" s="1"/>
  <c r="L43" i="84"/>
  <c r="C26" i="85"/>
  <c r="L20" i="84"/>
  <c r="L27" i="84"/>
  <c r="C27" i="85"/>
  <c r="L21" i="84"/>
  <c r="L28" i="84"/>
  <c r="L33" i="84" s="1"/>
  <c r="L38" i="84" s="1"/>
  <c r="C42" i="73"/>
  <c r="H42" i="73" s="1"/>
  <c r="G9" i="60"/>
  <c r="U9" i="60" s="1"/>
  <c r="U21" i="60" s="1"/>
  <c r="U22" i="60" s="1"/>
  <c r="C33" i="73"/>
  <c r="H33" i="73" s="1"/>
  <c r="G9" i="59"/>
  <c r="U9" i="59" s="1"/>
  <c r="U21" i="59" s="1"/>
  <c r="C58" i="73"/>
  <c r="H58" i="73" s="1"/>
  <c r="G9" i="62"/>
  <c r="S9" i="62" s="1"/>
  <c r="S17" i="62" s="1"/>
  <c r="S18" i="62" s="1"/>
  <c r="C28" i="73"/>
  <c r="H28" i="73" s="1"/>
  <c r="G8" i="58"/>
  <c r="Y4" i="58" s="1"/>
  <c r="C51" i="73"/>
  <c r="H51" i="73" s="1"/>
  <c r="G9" i="61"/>
  <c r="S9" i="61" s="1"/>
  <c r="S17" i="61" s="1"/>
  <c r="C65" i="73"/>
  <c r="H65" i="73" s="1"/>
  <c r="G9" i="63"/>
  <c r="R9" i="63" s="1"/>
  <c r="R17" i="63" s="1"/>
  <c r="C69" i="73"/>
  <c r="H69" i="73" s="1"/>
  <c r="H9" i="73" s="1"/>
  <c r="G10" i="64"/>
  <c r="I14" i="52"/>
  <c r="L14" i="52" s="1"/>
  <c r="N14" i="52" s="1"/>
  <c r="C27" i="73"/>
  <c r="I13" i="52"/>
  <c r="L13" i="52" s="1"/>
  <c r="N13" i="52" s="1"/>
  <c r="C26" i="73"/>
  <c r="I12" i="52"/>
  <c r="L12" i="52" s="1"/>
  <c r="N12" i="52" s="1"/>
  <c r="C25" i="73"/>
  <c r="J36" i="65"/>
  <c r="I42" i="52"/>
  <c r="I32" i="52"/>
  <c r="J26" i="65"/>
  <c r="I37" i="52"/>
  <c r="J31" i="65"/>
  <c r="J19" i="65"/>
  <c r="I25" i="52"/>
  <c r="I45" i="52"/>
  <c r="J39" i="65"/>
  <c r="I18" i="52"/>
  <c r="J12" i="65"/>
  <c r="N12" i="65" s="1"/>
  <c r="P12" i="65" s="1"/>
  <c r="G4" i="58"/>
  <c r="U4" i="58" s="1"/>
  <c r="U16" i="58" s="1"/>
  <c r="I11" i="52"/>
  <c r="J9" i="65"/>
  <c r="N9" i="65" s="1"/>
  <c r="P9" i="65" s="1"/>
  <c r="I15" i="52"/>
  <c r="I43" i="2"/>
  <c r="I29" i="2"/>
  <c r="I22" i="2"/>
  <c r="G5" i="58"/>
  <c r="V4" i="58" s="1"/>
  <c r="I19" i="2"/>
  <c r="I26" i="2"/>
  <c r="I28" i="2"/>
  <c r="I21" i="2"/>
  <c r="I27" i="2"/>
  <c r="I20" i="2"/>
  <c r="G6" i="58"/>
  <c r="W4" i="58" s="1"/>
  <c r="X4" i="58"/>
  <c r="J8" i="65"/>
  <c r="N8" i="65" s="1"/>
  <c r="P8" i="65" s="1"/>
  <c r="J5" i="65"/>
  <c r="J6" i="65"/>
  <c r="J7" i="65"/>
  <c r="N7" i="65" s="1"/>
  <c r="P7" i="65" s="1"/>
  <c r="Z14" i="52"/>
  <c r="AC14" i="52" s="1"/>
  <c r="G10" i="60" l="1"/>
  <c r="V9" i="60" s="1"/>
  <c r="L26" i="2"/>
  <c r="N26" i="2" s="1"/>
  <c r="G10" i="59"/>
  <c r="L19" i="2"/>
  <c r="N19" i="2" s="1"/>
  <c r="G10" i="63"/>
  <c r="S9" i="63" s="1"/>
  <c r="L43" i="2"/>
  <c r="N43" i="2" s="1"/>
  <c r="G13" i="60"/>
  <c r="Y9" i="60" s="1"/>
  <c r="Y25" i="60" s="1"/>
  <c r="L29" i="2"/>
  <c r="N29" i="2" s="1"/>
  <c r="G13" i="59"/>
  <c r="Y9" i="59" s="1"/>
  <c r="L22" i="2"/>
  <c r="N22" i="2" s="1"/>
  <c r="G11" i="59"/>
  <c r="W9" i="59" s="1"/>
  <c r="W21" i="59" s="1"/>
  <c r="L20" i="2"/>
  <c r="N20" i="2" s="1"/>
  <c r="G11" i="60"/>
  <c r="W9" i="60" s="1"/>
  <c r="L27" i="2"/>
  <c r="N27" i="2" s="1"/>
  <c r="G12" i="59"/>
  <c r="X9" i="59" s="1"/>
  <c r="L21" i="2"/>
  <c r="N21" i="2" s="1"/>
  <c r="G12" i="60"/>
  <c r="X9" i="60" s="1"/>
  <c r="X23" i="60" s="1"/>
  <c r="L28" i="2"/>
  <c r="N28" i="2" s="1"/>
  <c r="H28" i="85"/>
  <c r="C37" i="85"/>
  <c r="C35" i="85"/>
  <c r="H26" i="85"/>
  <c r="C34" i="85"/>
  <c r="H25" i="85"/>
  <c r="H27" i="85"/>
  <c r="C36" i="85"/>
  <c r="R18" i="63"/>
  <c r="S18" i="61"/>
  <c r="S19" i="61" s="1"/>
  <c r="X25" i="60"/>
  <c r="X29" i="60"/>
  <c r="X24" i="60"/>
  <c r="X22" i="60"/>
  <c r="Y19" i="58"/>
  <c r="Y20" i="58"/>
  <c r="Y23" i="58"/>
  <c r="Y21" i="58"/>
  <c r="Y24" i="58"/>
  <c r="Y22" i="58"/>
  <c r="Y25" i="58"/>
  <c r="Y16" i="58"/>
  <c r="Y17" i="58"/>
  <c r="Y18" i="58"/>
  <c r="X24" i="59"/>
  <c r="X21" i="59"/>
  <c r="X27" i="59"/>
  <c r="X29" i="59"/>
  <c r="X23" i="59"/>
  <c r="X22" i="59"/>
  <c r="X28" i="59"/>
  <c r="X30" i="59"/>
  <c r="X25" i="59"/>
  <c r="X26" i="59"/>
  <c r="S19" i="62"/>
  <c r="N19" i="65"/>
  <c r="P19" i="65" s="1"/>
  <c r="V18" i="65"/>
  <c r="Y27" i="60"/>
  <c r="Y24" i="60"/>
  <c r="Y22" i="60"/>
  <c r="Y28" i="60"/>
  <c r="Y21" i="60"/>
  <c r="N31" i="65"/>
  <c r="P31" i="65" s="1"/>
  <c r="V30" i="65"/>
  <c r="V33" i="65" s="1"/>
  <c r="L55" i="65" s="1"/>
  <c r="C37" i="73"/>
  <c r="C46" i="73" s="1"/>
  <c r="W25" i="60"/>
  <c r="W21" i="60"/>
  <c r="W30" i="60"/>
  <c r="W29" i="60"/>
  <c r="W28" i="60"/>
  <c r="W24" i="60"/>
  <c r="W26" i="60"/>
  <c r="W22" i="60"/>
  <c r="W23" i="60"/>
  <c r="W27" i="60"/>
  <c r="V28" i="60"/>
  <c r="V26" i="60"/>
  <c r="V21" i="60"/>
  <c r="V23" i="60"/>
  <c r="V30" i="60"/>
  <c r="V29" i="60"/>
  <c r="V22" i="60"/>
  <c r="V27" i="60"/>
  <c r="V25" i="60"/>
  <c r="V24" i="60"/>
  <c r="S17" i="63"/>
  <c r="T17" i="63" s="1"/>
  <c r="G69" i="57" s="1"/>
  <c r="S18" i="63"/>
  <c r="S19" i="63"/>
  <c r="S22" i="63"/>
  <c r="S21" i="63"/>
  <c r="S20" i="63"/>
  <c r="N36" i="65"/>
  <c r="P36" i="65" s="1"/>
  <c r="V36" i="65"/>
  <c r="N26" i="65"/>
  <c r="P26" i="65" s="1"/>
  <c r="V23" i="65"/>
  <c r="U23" i="60"/>
  <c r="N39" i="65"/>
  <c r="P39" i="65" s="1"/>
  <c r="V40" i="65"/>
  <c r="H26" i="73"/>
  <c r="C35" i="73"/>
  <c r="H27" i="73"/>
  <c r="C36" i="73"/>
  <c r="H25" i="73"/>
  <c r="C34" i="73"/>
  <c r="I21" i="52"/>
  <c r="J15" i="65"/>
  <c r="N15" i="65" s="1"/>
  <c r="P15" i="65" s="1"/>
  <c r="I19" i="52"/>
  <c r="J13" i="65"/>
  <c r="N13" i="65" s="1"/>
  <c r="P13" i="65" s="1"/>
  <c r="L45" i="52"/>
  <c r="N45" i="52" s="1"/>
  <c r="Z45" i="52"/>
  <c r="AC45" i="52" s="1"/>
  <c r="I33" i="2"/>
  <c r="L33" i="2" s="1"/>
  <c r="N33" i="2" s="1"/>
  <c r="I28" i="52"/>
  <c r="J22" i="65"/>
  <c r="N22" i="65" s="1"/>
  <c r="P22" i="65" s="1"/>
  <c r="L25" i="52"/>
  <c r="N25" i="52" s="1"/>
  <c r="Z25" i="52"/>
  <c r="AC25" i="52" s="1"/>
  <c r="I34" i="2"/>
  <c r="L34" i="2" s="1"/>
  <c r="N34" i="2" s="1"/>
  <c r="J23" i="65"/>
  <c r="N23" i="65" s="1"/>
  <c r="P23" i="65" s="1"/>
  <c r="I29" i="52"/>
  <c r="J37" i="65"/>
  <c r="I43" i="52"/>
  <c r="L37" i="52"/>
  <c r="N37" i="52" s="1"/>
  <c r="Z37" i="52"/>
  <c r="AC37" i="52" s="1"/>
  <c r="Z15" i="52"/>
  <c r="AC15" i="52" s="1"/>
  <c r="L15" i="52"/>
  <c r="N15" i="52" s="1"/>
  <c r="L32" i="52"/>
  <c r="N32" i="52" s="1"/>
  <c r="Z32" i="52"/>
  <c r="AC32" i="52" s="1"/>
  <c r="L18" i="52"/>
  <c r="N18" i="52" s="1"/>
  <c r="Z18" i="52"/>
  <c r="AC18" i="52" s="1"/>
  <c r="I22" i="52"/>
  <c r="J16" i="65"/>
  <c r="N16" i="65" s="1"/>
  <c r="P16" i="65" s="1"/>
  <c r="I20" i="52"/>
  <c r="J14" i="65"/>
  <c r="N14" i="65" s="1"/>
  <c r="P14" i="65" s="1"/>
  <c r="L42" i="52"/>
  <c r="N42" i="52" s="1"/>
  <c r="Z42" i="52"/>
  <c r="AC42" i="52" s="1"/>
  <c r="J20" i="65"/>
  <c r="I26" i="52"/>
  <c r="I27" i="52"/>
  <c r="J21" i="65"/>
  <c r="Z13" i="52"/>
  <c r="AC13" i="52" s="1"/>
  <c r="Z12" i="52"/>
  <c r="AC12" i="52" s="1"/>
  <c r="V12" i="65"/>
  <c r="Z11" i="52"/>
  <c r="AC11" i="52" s="1"/>
  <c r="L11" i="52"/>
  <c r="N11" i="52" s="1"/>
  <c r="V9" i="59"/>
  <c r="V21" i="58"/>
  <c r="V18" i="58"/>
  <c r="V19" i="58"/>
  <c r="V20" i="58"/>
  <c r="V24" i="58"/>
  <c r="V25" i="58"/>
  <c r="V22" i="58"/>
  <c r="V17" i="58"/>
  <c r="V23" i="58"/>
  <c r="V16" i="58"/>
  <c r="U22" i="59"/>
  <c r="X23" i="58"/>
  <c r="X22" i="58"/>
  <c r="X20" i="58"/>
  <c r="X19" i="58"/>
  <c r="X17" i="58"/>
  <c r="X18" i="58"/>
  <c r="X25" i="58"/>
  <c r="X24" i="58"/>
  <c r="X21" i="58"/>
  <c r="X16" i="58"/>
  <c r="U17" i="58"/>
  <c r="N5" i="65"/>
  <c r="P5" i="65" s="1"/>
  <c r="V5" i="65"/>
  <c r="W16" i="58"/>
  <c r="W18" i="58"/>
  <c r="W20" i="58"/>
  <c r="W25" i="58"/>
  <c r="W22" i="58"/>
  <c r="W23" i="58"/>
  <c r="W19" i="58"/>
  <c r="W21" i="58"/>
  <c r="W17" i="58"/>
  <c r="W24" i="58"/>
  <c r="V6" i="65"/>
  <c r="N6" i="65"/>
  <c r="P6" i="65" s="1"/>
  <c r="AB6" i="65"/>
  <c r="W28" i="59" l="1"/>
  <c r="Y26" i="60"/>
  <c r="Y30" i="60"/>
  <c r="X26" i="60"/>
  <c r="X21" i="60"/>
  <c r="X30" i="60"/>
  <c r="X27" i="60"/>
  <c r="Y23" i="60"/>
  <c r="Y29" i="60"/>
  <c r="W24" i="59"/>
  <c r="W25" i="59"/>
  <c r="W26" i="59"/>
  <c r="W30" i="59"/>
  <c r="W29" i="59"/>
  <c r="W22" i="59"/>
  <c r="W23" i="59"/>
  <c r="W27" i="59"/>
  <c r="X28" i="60"/>
  <c r="H29" i="85"/>
  <c r="C45" i="85"/>
  <c r="H36" i="85"/>
  <c r="H3" i="85"/>
  <c r="H34" i="85"/>
  <c r="C43" i="85"/>
  <c r="H43" i="85" s="1"/>
  <c r="H35" i="85"/>
  <c r="C44" i="85"/>
  <c r="H44" i="85" s="1"/>
  <c r="H37" i="85"/>
  <c r="C46" i="85"/>
  <c r="Z22" i="60"/>
  <c r="G37" i="57" s="1"/>
  <c r="H37" i="73"/>
  <c r="Z16" i="58"/>
  <c r="G12" i="57" s="1"/>
  <c r="I12" i="57" s="1"/>
  <c r="K12" i="57" s="1"/>
  <c r="H29" i="73"/>
  <c r="H3" i="73" s="1"/>
  <c r="N37" i="65"/>
  <c r="P37" i="65" s="1"/>
  <c r="V37" i="65"/>
  <c r="Z23" i="60"/>
  <c r="G38" i="57" s="1"/>
  <c r="U24" i="60"/>
  <c r="S20" i="62"/>
  <c r="N21" i="65"/>
  <c r="P21" i="65" s="1"/>
  <c r="V20" i="65"/>
  <c r="Z17" i="58"/>
  <c r="G13" i="57" s="1"/>
  <c r="I13" i="57" s="1"/>
  <c r="K13" i="57" s="1"/>
  <c r="N20" i="65"/>
  <c r="P20" i="65" s="1"/>
  <c r="V19" i="65"/>
  <c r="S20" i="61"/>
  <c r="Z21" i="60"/>
  <c r="G36" i="57" s="1"/>
  <c r="T18" i="63"/>
  <c r="G70" i="57" s="1"/>
  <c r="I70" i="57" s="1"/>
  <c r="K70" i="57" s="1"/>
  <c r="R19" i="63"/>
  <c r="H46" i="73"/>
  <c r="C53" i="73"/>
  <c r="C45" i="73"/>
  <c r="H36" i="73"/>
  <c r="H35" i="73"/>
  <c r="C44" i="73"/>
  <c r="H44" i="73" s="1"/>
  <c r="H34" i="73"/>
  <c r="C43" i="73"/>
  <c r="H43" i="73" s="1"/>
  <c r="V13" i="65"/>
  <c r="L28" i="52"/>
  <c r="N28" i="52" s="1"/>
  <c r="Z28" i="52"/>
  <c r="AC28" i="52" s="1"/>
  <c r="I38" i="2"/>
  <c r="L38" i="2" s="1"/>
  <c r="N38" i="2" s="1"/>
  <c r="J27" i="65"/>
  <c r="I33" i="52"/>
  <c r="L43" i="52"/>
  <c r="N43" i="52" s="1"/>
  <c r="Z43" i="52"/>
  <c r="AC43" i="52" s="1"/>
  <c r="L27" i="52"/>
  <c r="N27" i="52" s="1"/>
  <c r="Z27" i="52"/>
  <c r="AC27" i="52" s="1"/>
  <c r="Z20" i="52"/>
  <c r="AC20" i="52" s="1"/>
  <c r="L20" i="52"/>
  <c r="N20" i="52" s="1"/>
  <c r="L26" i="52"/>
  <c r="N26" i="52" s="1"/>
  <c r="Z26" i="52"/>
  <c r="AC26" i="52" s="1"/>
  <c r="L29" i="52"/>
  <c r="N29" i="52" s="1"/>
  <c r="Z29" i="52"/>
  <c r="AC29" i="52" s="1"/>
  <c r="L19" i="52"/>
  <c r="N19" i="52" s="1"/>
  <c r="Z19" i="52"/>
  <c r="AC19" i="52" s="1"/>
  <c r="Z22" i="52"/>
  <c r="AC22" i="52" s="1"/>
  <c r="L22" i="52"/>
  <c r="N22" i="52" s="1"/>
  <c r="I39" i="2"/>
  <c r="L39" i="2" s="1"/>
  <c r="N39" i="2" s="1"/>
  <c r="J28" i="65"/>
  <c r="I34" i="52"/>
  <c r="Z21" i="52"/>
  <c r="AC21" i="52" s="1"/>
  <c r="L21" i="52"/>
  <c r="N21" i="52" s="1"/>
  <c r="V9" i="65"/>
  <c r="L51" i="65" s="1"/>
  <c r="U23" i="59"/>
  <c r="Y23" i="59"/>
  <c r="Y29" i="59"/>
  <c r="Y24" i="59"/>
  <c r="Y21" i="59"/>
  <c r="Y22" i="59"/>
  <c r="Y27" i="59"/>
  <c r="Y28" i="59"/>
  <c r="Y25" i="59"/>
  <c r="Y30" i="59"/>
  <c r="Y26" i="59"/>
  <c r="V27" i="59"/>
  <c r="V26" i="59"/>
  <c r="V22" i="59"/>
  <c r="V28" i="59"/>
  <c r="V23" i="59"/>
  <c r="V24" i="59"/>
  <c r="V29" i="59"/>
  <c r="V25" i="59"/>
  <c r="V21" i="59"/>
  <c r="V30" i="59"/>
  <c r="U18" i="58"/>
  <c r="Z18" i="58" s="1"/>
  <c r="AB5" i="65"/>
  <c r="AB7" i="65" s="1"/>
  <c r="C53" i="85" l="1"/>
  <c r="H46" i="85"/>
  <c r="H38" i="85"/>
  <c r="C52" i="85"/>
  <c r="H45" i="85"/>
  <c r="V21" i="65"/>
  <c r="L53" i="65" s="1"/>
  <c r="N28" i="65"/>
  <c r="P28" i="65" s="1"/>
  <c r="V25" i="65"/>
  <c r="N27" i="65"/>
  <c r="P27" i="65" s="1"/>
  <c r="V24" i="65"/>
  <c r="S21" i="62"/>
  <c r="G10" i="61"/>
  <c r="T9" i="61" s="1"/>
  <c r="G10" i="62"/>
  <c r="T9" i="62" s="1"/>
  <c r="R20" i="63"/>
  <c r="T19" i="63"/>
  <c r="G71" i="57" s="1"/>
  <c r="I71" i="57" s="1"/>
  <c r="K71" i="57" s="1"/>
  <c r="Z24" i="60"/>
  <c r="G39" i="57" s="1"/>
  <c r="U25" i="60"/>
  <c r="G11" i="61"/>
  <c r="U9" i="61" s="1"/>
  <c r="G11" i="62"/>
  <c r="U9" i="62" s="1"/>
  <c r="S21" i="61"/>
  <c r="H38" i="73"/>
  <c r="H4" i="73" s="1"/>
  <c r="H45" i="73"/>
  <c r="H47" i="73" s="1"/>
  <c r="C52" i="73"/>
  <c r="C60" i="73"/>
  <c r="H53" i="73"/>
  <c r="J33" i="65"/>
  <c r="N33" i="65" s="1"/>
  <c r="P33" i="65" s="1"/>
  <c r="I39" i="52"/>
  <c r="L34" i="52"/>
  <c r="N34" i="52" s="1"/>
  <c r="Z34" i="52"/>
  <c r="AC34" i="52" s="1"/>
  <c r="L33" i="52"/>
  <c r="N33" i="52" s="1"/>
  <c r="Z33" i="52"/>
  <c r="AC33" i="52" s="1"/>
  <c r="J32" i="65"/>
  <c r="N32" i="65" s="1"/>
  <c r="P32" i="65" s="1"/>
  <c r="I38" i="52"/>
  <c r="W9" i="65"/>
  <c r="X9" i="65" s="1"/>
  <c r="N51" i="65"/>
  <c r="P51" i="65" s="1"/>
  <c r="Z22" i="59"/>
  <c r="G25" i="57" s="1"/>
  <c r="I25" i="57" s="1"/>
  <c r="K25" i="57" s="1"/>
  <c r="Z21" i="59"/>
  <c r="G24" i="57" s="1"/>
  <c r="I24" i="57" s="1"/>
  <c r="K24" i="57" s="1"/>
  <c r="U19" i="58"/>
  <c r="Z19" i="58" s="1"/>
  <c r="G14" i="57"/>
  <c r="I14" i="57" s="1"/>
  <c r="K14" i="57" s="1"/>
  <c r="I37" i="57"/>
  <c r="K37" i="57" s="1"/>
  <c r="I38" i="57"/>
  <c r="K38" i="57" s="1"/>
  <c r="AC7" i="65"/>
  <c r="AD7" i="65" s="1"/>
  <c r="Z23" i="59"/>
  <c r="G26" i="57" s="1"/>
  <c r="I26" i="57" s="1"/>
  <c r="K26" i="57" s="1"/>
  <c r="U24" i="59"/>
  <c r="W21" i="65" l="1"/>
  <c r="X21" i="65" s="1"/>
  <c r="H52" i="85"/>
  <c r="C59" i="85"/>
  <c r="H59" i="85" s="1"/>
  <c r="H4" i="85"/>
  <c r="H47" i="85"/>
  <c r="H5" i="85" s="1"/>
  <c r="H53" i="85"/>
  <c r="H54" i="85" s="1"/>
  <c r="H6" i="85" s="1"/>
  <c r="C60" i="85"/>
  <c r="T20" i="63"/>
  <c r="G72" i="57" s="1"/>
  <c r="I72" i="57" s="1"/>
  <c r="K72" i="57" s="1"/>
  <c r="R21" i="63"/>
  <c r="T17" i="61"/>
  <c r="T20" i="61"/>
  <c r="T22" i="61"/>
  <c r="T21" i="61"/>
  <c r="T18" i="61"/>
  <c r="T19" i="61"/>
  <c r="S22" i="62"/>
  <c r="T21" i="62"/>
  <c r="T19" i="62"/>
  <c r="T22" i="62"/>
  <c r="T18" i="62"/>
  <c r="T20" i="62"/>
  <c r="T17" i="62"/>
  <c r="S22" i="61"/>
  <c r="U21" i="62"/>
  <c r="U19" i="62"/>
  <c r="U18" i="62"/>
  <c r="U22" i="62"/>
  <c r="U17" i="62"/>
  <c r="U20" i="62"/>
  <c r="U22" i="61"/>
  <c r="U17" i="61"/>
  <c r="U19" i="61"/>
  <c r="U18" i="61"/>
  <c r="U21" i="61"/>
  <c r="U20" i="61"/>
  <c r="Z25" i="60"/>
  <c r="G40" i="57" s="1"/>
  <c r="U26" i="60"/>
  <c r="H5" i="73"/>
  <c r="C66" i="73"/>
  <c r="H66" i="73" s="1"/>
  <c r="H67" i="73" s="1"/>
  <c r="H8" i="73" s="1"/>
  <c r="H60" i="73"/>
  <c r="H52" i="73"/>
  <c r="H54" i="73" s="1"/>
  <c r="H6" i="73" s="1"/>
  <c r="C59" i="73"/>
  <c r="H59" i="73" s="1"/>
  <c r="L38" i="52"/>
  <c r="N38" i="52" s="1"/>
  <c r="Z38" i="52"/>
  <c r="AC38" i="52" s="1"/>
  <c r="L39" i="52"/>
  <c r="N39" i="52" s="1"/>
  <c r="Z39" i="52"/>
  <c r="AC39" i="52" s="1"/>
  <c r="V31" i="65"/>
  <c r="I36" i="57"/>
  <c r="K36" i="57" s="1"/>
  <c r="Z24" i="59"/>
  <c r="G27" i="57" s="1"/>
  <c r="I27" i="57" s="1"/>
  <c r="K27" i="57" s="1"/>
  <c r="U25" i="59"/>
  <c r="G15" i="57"/>
  <c r="I15" i="57" s="1"/>
  <c r="K15" i="57" s="1"/>
  <c r="U20" i="58"/>
  <c r="Z20" i="58" s="1"/>
  <c r="I39" i="57"/>
  <c r="K39" i="57" s="1"/>
  <c r="H60" i="85" l="1"/>
  <c r="H61" i="85" s="1"/>
  <c r="H7" i="85" s="1"/>
  <c r="C66" i="85"/>
  <c r="H66" i="85" s="1"/>
  <c r="H67" i="85" s="1"/>
  <c r="H8" i="85" s="1"/>
  <c r="V18" i="61"/>
  <c r="G54" i="57" s="1"/>
  <c r="I54" i="57" s="1"/>
  <c r="K54" i="57" s="1"/>
  <c r="V19" i="61"/>
  <c r="G55" i="57" s="1"/>
  <c r="I55" i="57" s="1"/>
  <c r="K55" i="57" s="1"/>
  <c r="V21" i="62"/>
  <c r="G65" i="57" s="1"/>
  <c r="I65" i="57" s="1"/>
  <c r="K65" i="57" s="1"/>
  <c r="V19" i="62"/>
  <c r="G63" i="57" s="1"/>
  <c r="I63" i="57" s="1"/>
  <c r="K63" i="57" s="1"/>
  <c r="V22" i="61"/>
  <c r="G58" i="57" s="1"/>
  <c r="I58" i="57" s="1"/>
  <c r="K58" i="57" s="1"/>
  <c r="V21" i="61"/>
  <c r="G57" i="57" s="1"/>
  <c r="I57" i="57" s="1"/>
  <c r="K57" i="57" s="1"/>
  <c r="V17" i="61"/>
  <c r="G53" i="57" s="1"/>
  <c r="I53" i="57" s="1"/>
  <c r="K53" i="57" s="1"/>
  <c r="V22" i="62"/>
  <c r="G66" i="57" s="1"/>
  <c r="I66" i="57" s="1"/>
  <c r="K66" i="57" s="1"/>
  <c r="V17" i="62"/>
  <c r="G61" i="57" s="1"/>
  <c r="I61" i="57" s="1"/>
  <c r="K61" i="57" s="1"/>
  <c r="V20" i="61"/>
  <c r="G56" i="57" s="1"/>
  <c r="I56" i="57" s="1"/>
  <c r="K56" i="57" s="1"/>
  <c r="Z26" i="60"/>
  <c r="G41" i="57" s="1"/>
  <c r="I41" i="57" s="1"/>
  <c r="K41" i="57" s="1"/>
  <c r="U27" i="60"/>
  <c r="V20" i="62"/>
  <c r="G64" i="57" s="1"/>
  <c r="I64" i="57" s="1"/>
  <c r="K64" i="57" s="1"/>
  <c r="V18" i="62"/>
  <c r="G62" i="57" s="1"/>
  <c r="I62" i="57" s="1"/>
  <c r="K62" i="57" s="1"/>
  <c r="R22" i="63"/>
  <c r="T22" i="63" s="1"/>
  <c r="G74" i="57" s="1"/>
  <c r="I74" i="57" s="1"/>
  <c r="K74" i="57" s="1"/>
  <c r="T21" i="63"/>
  <c r="G73" i="57" s="1"/>
  <c r="I73" i="57" s="1"/>
  <c r="K73" i="57" s="1"/>
  <c r="H61" i="73"/>
  <c r="H7" i="73" s="1"/>
  <c r="H10" i="73" s="1"/>
  <c r="H12" i="73" s="1"/>
  <c r="Q9" i="64"/>
  <c r="V26" i="65"/>
  <c r="I69" i="57"/>
  <c r="K69" i="57" s="1"/>
  <c r="Z25" i="59"/>
  <c r="G28" i="57" s="1"/>
  <c r="I28" i="57" s="1"/>
  <c r="K28" i="57" s="1"/>
  <c r="U26" i="59"/>
  <c r="I40" i="57"/>
  <c r="K40" i="57" s="1"/>
  <c r="G16" i="57"/>
  <c r="I16" i="57" s="1"/>
  <c r="K16" i="57" s="1"/>
  <c r="U21" i="58"/>
  <c r="Z21" i="58" s="1"/>
  <c r="H10" i="85" l="1"/>
  <c r="H12" i="85" s="1"/>
  <c r="H16" i="85" s="1"/>
  <c r="H18" i="85" s="1"/>
  <c r="H71" i="73"/>
  <c r="H71" i="85"/>
  <c r="U28" i="60"/>
  <c r="Z27" i="60"/>
  <c r="G42" i="57" s="1"/>
  <c r="I42" i="57" s="1"/>
  <c r="K42" i="57" s="1"/>
  <c r="W26" i="65"/>
  <c r="X26" i="65" s="1"/>
  <c r="L54" i="65"/>
  <c r="N54" i="65" s="1"/>
  <c r="P54" i="65" s="1"/>
  <c r="H16" i="73"/>
  <c r="H14" i="73"/>
  <c r="Q17" i="64"/>
  <c r="R17" i="64" s="1"/>
  <c r="G78" i="57" s="1"/>
  <c r="I78" i="57" s="1"/>
  <c r="K78" i="57" s="1"/>
  <c r="Q18" i="64"/>
  <c r="R18" i="64" s="1"/>
  <c r="G79" i="57" s="1"/>
  <c r="I79" i="57" s="1"/>
  <c r="K79" i="57" s="1"/>
  <c r="Q16" i="64"/>
  <c r="R16" i="64" s="1"/>
  <c r="G77" i="57" s="1"/>
  <c r="I77" i="57" s="1"/>
  <c r="K77" i="57" s="1"/>
  <c r="Q19" i="64"/>
  <c r="R19" i="64" s="1"/>
  <c r="G80" i="57" s="1"/>
  <c r="I80" i="57" s="1"/>
  <c r="K80" i="57" s="1"/>
  <c r="Q20" i="64"/>
  <c r="R20" i="64" s="1"/>
  <c r="G81" i="57" s="1"/>
  <c r="I81" i="57" s="1"/>
  <c r="K81" i="57" s="1"/>
  <c r="N53" i="65"/>
  <c r="P53" i="65" s="1"/>
  <c r="Z26" i="59"/>
  <c r="G29" i="57" s="1"/>
  <c r="I29" i="57" s="1"/>
  <c r="K29" i="57" s="1"/>
  <c r="U27" i="59"/>
  <c r="U22" i="58"/>
  <c r="Z22" i="58" s="1"/>
  <c r="G17" i="57"/>
  <c r="I17" i="57" s="1"/>
  <c r="K17" i="57" s="1"/>
  <c r="H14" i="85" l="1"/>
  <c r="Z28" i="60"/>
  <c r="G43" i="57" s="1"/>
  <c r="I43" i="57" s="1"/>
  <c r="K43" i="57" s="1"/>
  <c r="U29" i="60"/>
  <c r="N55" i="65"/>
  <c r="P55" i="65" s="1"/>
  <c r="W33" i="65"/>
  <c r="X33" i="65" s="1"/>
  <c r="W32" i="65"/>
  <c r="H18" i="73"/>
  <c r="L57" i="65"/>
  <c r="N57" i="65" s="1"/>
  <c r="P57" i="65" s="1"/>
  <c r="W40" i="65"/>
  <c r="X40" i="65" s="1"/>
  <c r="U23" i="58"/>
  <c r="Z23" i="58" s="1"/>
  <c r="G18" i="57"/>
  <c r="I18" i="57" s="1"/>
  <c r="K18" i="57" s="1"/>
  <c r="U28" i="59"/>
  <c r="Z27" i="59"/>
  <c r="G30" i="57" s="1"/>
  <c r="I30" i="57" s="1"/>
  <c r="K30" i="57" s="1"/>
  <c r="Z29" i="60" l="1"/>
  <c r="G44" i="57" s="1"/>
  <c r="I44" i="57" s="1"/>
  <c r="K44" i="57" s="1"/>
  <c r="U30" i="60"/>
  <c r="Z30" i="60" s="1"/>
  <c r="G45" i="57" s="1"/>
  <c r="I45" i="57" s="1"/>
  <c r="K45" i="57" s="1"/>
  <c r="V38" i="65"/>
  <c r="K55" i="65"/>
  <c r="Z28" i="59"/>
  <c r="G31" i="57" s="1"/>
  <c r="I31" i="57" s="1"/>
  <c r="K31" i="57" s="1"/>
  <c r="U29" i="59"/>
  <c r="G19" i="57"/>
  <c r="I19" i="57" s="1"/>
  <c r="K19" i="57" s="1"/>
  <c r="U24" i="58"/>
  <c r="Z24" i="58" s="1"/>
  <c r="W38" i="65" l="1"/>
  <c r="X38" i="65" s="1"/>
  <c r="L56" i="65"/>
  <c r="N56" i="65" s="1"/>
  <c r="P56" i="65" s="1"/>
  <c r="U25" i="58"/>
  <c r="G20" i="57"/>
  <c r="I20" i="57" s="1"/>
  <c r="K20" i="57" s="1"/>
  <c r="Z29" i="59"/>
  <c r="G32" i="57" s="1"/>
  <c r="I32" i="57" s="1"/>
  <c r="K32" i="57" s="1"/>
  <c r="U30" i="59"/>
  <c r="Z30" i="59" s="1"/>
  <c r="G33" i="57" s="1"/>
  <c r="I33" i="57" s="1"/>
  <c r="K33" i="57" s="1"/>
  <c r="Z25" i="58" l="1"/>
  <c r="G21" i="57" s="1"/>
  <c r="I21" i="57" s="1"/>
  <c r="K21" i="57" s="1"/>
  <c r="S8" i="63" l="1"/>
  <c r="N8" i="63"/>
  <c r="S11" i="65"/>
  <c r="S14" i="65" s="1"/>
  <c r="S15" i="65" l="1"/>
  <c r="V14" i="65"/>
  <c r="V15" i="65" s="1"/>
  <c r="L52" i="65" s="1"/>
  <c r="U14" i="65"/>
  <c r="U15" i="65" s="1"/>
  <c r="J52" i="65" s="1"/>
  <c r="W15" i="65" l="1"/>
  <c r="X15" i="65" s="1"/>
  <c r="N52" i="65"/>
  <c r="P52" i="6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Andrew Parker</author>
  </authors>
  <commentList>
    <comment ref="H22" authorId="0" shapeId="0" xr:uid="{66B7A91D-BD10-4159-A6C1-4B5A50DBF25C}">
      <text>
        <r>
          <rPr>
            <b/>
            <sz val="9"/>
            <color indexed="81"/>
            <rFont val="Tahoma"/>
            <family val="2"/>
          </rPr>
          <t>Andrew Parker:</t>
        </r>
        <r>
          <rPr>
            <sz val="9"/>
            <color indexed="81"/>
            <rFont val="Tahoma"/>
            <family val="2"/>
          </rPr>
          <t xml:space="preserve">
See WP 425-A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Andrew Parker</author>
  </authors>
  <commentList>
    <comment ref="H22" authorId="0" shapeId="0" xr:uid="{27AAB307-131F-4722-8347-9F39B793E135}">
      <text>
        <r>
          <rPr>
            <b/>
            <sz val="9"/>
            <color indexed="81"/>
            <rFont val="Tahoma"/>
            <family val="2"/>
          </rPr>
          <t>Andrew Parker:</t>
        </r>
        <r>
          <rPr>
            <sz val="9"/>
            <color indexed="81"/>
            <rFont val="Tahoma"/>
            <family val="2"/>
          </rPr>
          <t xml:space="preserve">
See WP 425-A</t>
        </r>
      </text>
    </comment>
  </commentList>
</comments>
</file>

<file path=xl/sharedStrings.xml><?xml version="1.0" encoding="utf-8"?>
<sst xmlns="http://schemas.openxmlformats.org/spreadsheetml/2006/main" count="1498" uniqueCount="289">
  <si>
    <t>TOTALS</t>
  </si>
  <si>
    <t>Life</t>
  </si>
  <si>
    <t>Operating Revenues</t>
  </si>
  <si>
    <t>Total Operating Revenues</t>
  </si>
  <si>
    <t>Operating Expenses</t>
  </si>
  <si>
    <t>Total Operating Expenses</t>
  </si>
  <si>
    <t>Pro Forma Operating Expenses</t>
  </si>
  <si>
    <t>Operation and Maintenance</t>
  </si>
  <si>
    <t>Total Operation and Mnt. Expenses</t>
  </si>
  <si>
    <t>Depreciation Expense</t>
  </si>
  <si>
    <t>Taxes Other Than Income</t>
  </si>
  <si>
    <t>Salaries and Wages - Employees</t>
  </si>
  <si>
    <t>Purchased Water</t>
  </si>
  <si>
    <t>Purchased Power</t>
  </si>
  <si>
    <t>Miscellaneous Expenses</t>
  </si>
  <si>
    <t>Adjustments</t>
  </si>
  <si>
    <t>SCHEDULE OF ADJUSTED OPERATIONS</t>
  </si>
  <si>
    <t>Net Utility Operating Income</t>
  </si>
  <si>
    <t>Total Revenue Requirement</t>
  </si>
  <si>
    <t>Forfeited Discounts</t>
  </si>
  <si>
    <t>Misc. Service Revenues</t>
  </si>
  <si>
    <t>Other Water Revenues:</t>
  </si>
  <si>
    <t>DEBT SERVICE SCHDULE</t>
  </si>
  <si>
    <t>Principal</t>
  </si>
  <si>
    <t>Interest</t>
  </si>
  <si>
    <t>Totals</t>
  </si>
  <si>
    <t>REVENUE REQUIREMENTS</t>
  </si>
  <si>
    <t>Ref.</t>
  </si>
  <si>
    <t>Avg. Annual Principal and Interest Payments</t>
  </si>
  <si>
    <t>TOTAL</t>
  </si>
  <si>
    <t>Interest Income</t>
  </si>
  <si>
    <t>Materials and Supplies</t>
  </si>
  <si>
    <t>First</t>
  </si>
  <si>
    <t>Next</t>
  </si>
  <si>
    <t>CURRENT AND PROPOSED RATES</t>
  </si>
  <si>
    <t>Pro Forma</t>
  </si>
  <si>
    <t>Test Year</t>
  </si>
  <si>
    <t>C.Y.</t>
  </si>
  <si>
    <t>Total</t>
  </si>
  <si>
    <t xml:space="preserve">   Plus:</t>
  </si>
  <si>
    <t xml:space="preserve">   Less:</t>
  </si>
  <si>
    <t>Revenue Required From Water Sales</t>
  </si>
  <si>
    <t>Table C</t>
  </si>
  <si>
    <t>Other Water Revenues</t>
  </si>
  <si>
    <t>Over</t>
  </si>
  <si>
    <t>Pumping Equipment</t>
  </si>
  <si>
    <t>Monthly</t>
  </si>
  <si>
    <t>Table A</t>
  </si>
  <si>
    <t>NARUC</t>
  </si>
  <si>
    <t>Balance</t>
  </si>
  <si>
    <t>Supply Mains</t>
  </si>
  <si>
    <t>Hydrants</t>
  </si>
  <si>
    <t>5 Year Avg</t>
  </si>
  <si>
    <t>Annual</t>
  </si>
  <si>
    <t>Usage</t>
  </si>
  <si>
    <t>Bills</t>
  </si>
  <si>
    <t>Gallons</t>
  </si>
  <si>
    <t>Divide by:</t>
  </si>
  <si>
    <t>Operating Ratio</t>
  </si>
  <si>
    <t>Subtotal</t>
  </si>
  <si>
    <t>Add:  Average Annual Interest Expense</t>
  </si>
  <si>
    <t>Less:</t>
  </si>
  <si>
    <t>Revenue Required from Rates</t>
  </si>
  <si>
    <t>Normalized Revenues from Water Sales</t>
  </si>
  <si>
    <t>Percentage Increase</t>
  </si>
  <si>
    <t>Required Revenue Increase</t>
  </si>
  <si>
    <t>Average Debt Service</t>
  </si>
  <si>
    <t>Add:</t>
  </si>
  <si>
    <t>Non Cash Items:  Depreciation Exp.</t>
  </si>
  <si>
    <t>Working Capital</t>
  </si>
  <si>
    <t>Revenue Requirement Method:</t>
  </si>
  <si>
    <t>CY 2024 - 2028</t>
  </si>
  <si>
    <t>Insurance - Gen. Liability</t>
  </si>
  <si>
    <t>Existing</t>
  </si>
  <si>
    <t>Bill</t>
  </si>
  <si>
    <t>Proposed</t>
  </si>
  <si>
    <t>Change</t>
  </si>
  <si>
    <t>Percentage</t>
  </si>
  <si>
    <t>Table D</t>
  </si>
  <si>
    <t>Existing and Proposed Bills</t>
  </si>
  <si>
    <t>Current Monthly Rates</t>
  </si>
  <si>
    <t>Proposed Monthly Rates</t>
  </si>
  <si>
    <t>Differences</t>
  </si>
  <si>
    <t>Table B</t>
  </si>
  <si>
    <t>per Gallon</t>
  </si>
  <si>
    <t>Min. Bill</t>
  </si>
  <si>
    <t>Appendix A</t>
  </si>
  <si>
    <t>Contractual Services - Acct.</t>
  </si>
  <si>
    <t>Contractual Services - -Other</t>
  </si>
  <si>
    <t>Payment</t>
  </si>
  <si>
    <t>1-Inch Meter</t>
  </si>
  <si>
    <t>Wholesale</t>
  </si>
  <si>
    <t>CURRENT RATES</t>
  </si>
  <si>
    <t>Current Rate Schedule</t>
  </si>
  <si>
    <t>Proposed Rate Schedule</t>
  </si>
  <si>
    <t>Mid-Point</t>
  </si>
  <si>
    <t>Account</t>
  </si>
  <si>
    <t>Average Service</t>
  </si>
  <si>
    <t>Service</t>
  </si>
  <si>
    <t>Number</t>
  </si>
  <si>
    <t>Class of Plant</t>
  </si>
  <si>
    <t>Life Range</t>
  </si>
  <si>
    <t>Source of Supply &amp; Pumping Plant</t>
  </si>
  <si>
    <t>Structures and Improvements</t>
  </si>
  <si>
    <t>Collecting &amp; Impounding Res.</t>
  </si>
  <si>
    <t>Lake, River and Other Intakes</t>
  </si>
  <si>
    <t>Wells and Springs</t>
  </si>
  <si>
    <t>Galleries and Tunnels</t>
  </si>
  <si>
    <t>Other Source of Water Supply Plant</t>
  </si>
  <si>
    <t>Pumping Plant</t>
  </si>
  <si>
    <t>Other Pumping Plant</t>
  </si>
  <si>
    <t/>
  </si>
  <si>
    <t>Water Treatment Plant</t>
  </si>
  <si>
    <t>Water Treatment Equipment</t>
  </si>
  <si>
    <t>Transmission &amp; Dist. Plant</t>
  </si>
  <si>
    <t>Reservoirs &amp; Tanks</t>
  </si>
  <si>
    <t>Transmission &amp; Distribution Mains</t>
  </si>
  <si>
    <t>Fire Mains</t>
  </si>
  <si>
    <t>Services</t>
  </si>
  <si>
    <t>Meters</t>
  </si>
  <si>
    <t>Meter Installations</t>
  </si>
  <si>
    <t>General Plant</t>
  </si>
  <si>
    <t>Structures and Improvements-General</t>
  </si>
  <si>
    <t>Office Furniture &amp; Equipment</t>
  </si>
  <si>
    <t>Transportation Equipment</t>
  </si>
  <si>
    <t>Stores Equipment</t>
  </si>
  <si>
    <t>Tools, Shop and Garage Equip.</t>
  </si>
  <si>
    <t>Laboratory Equipment</t>
  </si>
  <si>
    <t>Power Equipment</t>
  </si>
  <si>
    <t>Communication Equipment</t>
  </si>
  <si>
    <t>Cost of Excess Water Loss</t>
  </si>
  <si>
    <t>WORKING CAPITLAL</t>
  </si>
  <si>
    <t>Existing Rates</t>
  </si>
  <si>
    <t>Proposed Rates</t>
  </si>
  <si>
    <t>$</t>
  </si>
  <si>
    <t>%</t>
  </si>
  <si>
    <t>5/8-Inch Meter</t>
  </si>
  <si>
    <t>Table D (Cont.)</t>
  </si>
  <si>
    <t>Dollar</t>
  </si>
  <si>
    <t>Current and Proposed Customer Bills</t>
  </si>
  <si>
    <t>Average</t>
  </si>
  <si>
    <t>Current</t>
  </si>
  <si>
    <t>Average Usage calculated on ExBA Tab</t>
  </si>
  <si>
    <t>Fee</t>
  </si>
  <si>
    <t>5-Year Avg</t>
  </si>
  <si>
    <t>Summary</t>
  </si>
  <si>
    <t>Debt Summary</t>
  </si>
  <si>
    <t>Individual Debt Amortization Schedules</t>
  </si>
  <si>
    <t>Outstanding</t>
  </si>
  <si>
    <t>Utility Name:</t>
  </si>
  <si>
    <t>5/8-Inch x 3/4-Inch Meter</t>
  </si>
  <si>
    <t>1 1/2-Inch Meter</t>
  </si>
  <si>
    <t>Billing Analysis</t>
  </si>
  <si>
    <t>Water Loss</t>
  </si>
  <si>
    <t>KIA Annual Interest Rate</t>
  </si>
  <si>
    <t>Loan Term</t>
  </si>
  <si>
    <t>Years</t>
  </si>
  <si>
    <t>Annual Debt Service - Calculated</t>
  </si>
  <si>
    <t>Annual Debt Service - KIA Commitment Letter</t>
  </si>
  <si>
    <t>KIA Fee</t>
  </si>
  <si>
    <t>Debt Service</t>
  </si>
  <si>
    <t>DSC - 0.2x</t>
  </si>
  <si>
    <t>Additional Working Capital - 0.2x DSC</t>
  </si>
  <si>
    <t>DSC</t>
  </si>
  <si>
    <t>Required Increase in Revenue With Required Adjustments</t>
  </si>
  <si>
    <t>G</t>
  </si>
  <si>
    <t>H</t>
  </si>
  <si>
    <t>Misclassified Forfieted Discounts and Revenue from NRC's</t>
  </si>
  <si>
    <t>Revenue from Metered Water Sales</t>
  </si>
  <si>
    <t>Existing and Proposed Rates</t>
  </si>
  <si>
    <t>5-Year Average Interest Expense</t>
  </si>
  <si>
    <t>Payments</t>
  </si>
  <si>
    <t>Salaries and Wages - Officers</t>
  </si>
  <si>
    <t>Contractual Services - Management</t>
  </si>
  <si>
    <t>Bad Debt</t>
  </si>
  <si>
    <t>Rental of Equipment</t>
  </si>
  <si>
    <t>Chemicals</t>
  </si>
  <si>
    <t>Original Loan Amount</t>
  </si>
  <si>
    <t>Less:  Loan Foregivness</t>
  </si>
  <si>
    <t>KIA Principal - Due</t>
  </si>
  <si>
    <t>Loan Payments</t>
  </si>
  <si>
    <t>Month</t>
  </si>
  <si>
    <t>KIA Loan B11-02</t>
  </si>
  <si>
    <t>KIA Loan B07-03</t>
  </si>
  <si>
    <t>KIA Loan B05-04</t>
  </si>
  <si>
    <t>Annual Report Page 52</t>
  </si>
  <si>
    <t>Purchases</t>
  </si>
  <si>
    <t>Sales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</si>
  <si>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</si>
  <si>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</si>
  <si>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</si>
  <si>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</si>
  <si>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</si>
  <si>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</si>
  <si>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</si>
  <si>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</si>
  <si>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</si>
  <si>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</si>
  <si>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</si>
  <si>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</si>
  <si>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Produced &amp; Purchased</t>
  </si>
  <si>
    <t>Sold</t>
  </si>
  <si>
    <t>Uses:</t>
  </si>
  <si>
    <t xml:space="preserve">  WTP</t>
  </si>
  <si>
    <t xml:space="preserve">  Flushing</t>
  </si>
  <si>
    <t xml:space="preserve">  Fire</t>
  </si>
  <si>
    <t xml:space="preserve">  Other:  Office, Shop, Sampling</t>
  </si>
  <si>
    <t>Tank Overflows</t>
  </si>
  <si>
    <t>Line Brks.</t>
  </si>
  <si>
    <t>Line Leaks</t>
  </si>
  <si>
    <t>Uother - Unknown</t>
  </si>
  <si>
    <t xml:space="preserve">  water loss percentage</t>
  </si>
  <si>
    <t>check</t>
  </si>
  <si>
    <t xml:space="preserve">  allowable in rates</t>
  </si>
  <si>
    <t xml:space="preserve">  adjustment excess water cost</t>
  </si>
  <si>
    <t>Purchased</t>
  </si>
  <si>
    <t>Water</t>
  </si>
  <si>
    <t>Power</t>
  </si>
  <si>
    <t>Costs Subject to Water Loss Adjustment</t>
  </si>
  <si>
    <t xml:space="preserve">  adjustment percentage</t>
  </si>
  <si>
    <t>Pumped</t>
  </si>
  <si>
    <t>Projected Purchased Water</t>
  </si>
  <si>
    <t>Less:  Reported Purchased Water</t>
  </si>
  <si>
    <t>Pro forma Adjustment</t>
  </si>
  <si>
    <t>Mayfield Rate Increase</t>
  </si>
  <si>
    <t>2-Inch Meter</t>
  </si>
  <si>
    <t>3-Inch Meter</t>
  </si>
  <si>
    <t>4-Inch Meter</t>
  </si>
  <si>
    <t>per Customer</t>
  </si>
  <si>
    <t>Water Loss Detection and Repair</t>
  </si>
  <si>
    <t>Surcharge</t>
  </si>
  <si>
    <t>Graves County Water District</t>
  </si>
  <si>
    <t>Total Purchased</t>
  </si>
  <si>
    <t>&amp; Pumped</t>
  </si>
  <si>
    <t>A</t>
  </si>
  <si>
    <t>B</t>
  </si>
  <si>
    <t>C</t>
  </si>
  <si>
    <t>D</t>
  </si>
  <si>
    <t>5/8 x 3/4-Inch Meter</t>
  </si>
  <si>
    <t>Billing Analysis Total</t>
  </si>
  <si>
    <t>Billing Adjustments</t>
  </si>
  <si>
    <t>Adjusted Billing Analysis Totals</t>
  </si>
  <si>
    <t>Adjustment</t>
  </si>
  <si>
    <t>Class/Meter Size</t>
  </si>
  <si>
    <t>Rate</t>
  </si>
  <si>
    <t>First 2000 Gallons</t>
  </si>
  <si>
    <t>Next 8000 Gallons</t>
  </si>
  <si>
    <t>Next 10000 Gallons</t>
  </si>
  <si>
    <t>Next 30000 Gallons</t>
  </si>
  <si>
    <t>Over 50000 Gallons</t>
  </si>
  <si>
    <t>First 5000 Gallons</t>
  </si>
  <si>
    <t>Next 5000 Gallons</t>
  </si>
  <si>
    <t>First 7500 Gallons</t>
  </si>
  <si>
    <t>Next 2500 Gallons</t>
  </si>
  <si>
    <t>First 20000 Gallons</t>
  </si>
  <si>
    <t>First 30000 Gallons</t>
  </si>
  <si>
    <t>Next 20000 Gallons</t>
  </si>
  <si>
    <t>First 50000 Gallons</t>
  </si>
  <si>
    <t>04 - Wholesale</t>
  </si>
  <si>
    <t>Revenus Water Sales - 2023 Annual Report</t>
  </si>
  <si>
    <t xml:space="preserve">Less: </t>
  </si>
  <si>
    <t>Classification Errors</t>
  </si>
  <si>
    <t>Water Loss Surcharge</t>
  </si>
  <si>
    <t>Old Hicory Debt Surcharge</t>
  </si>
  <si>
    <t>Other Water Revenues - Other</t>
  </si>
  <si>
    <t>Rents From Water Property</t>
  </si>
  <si>
    <t>Corrected Revenue from Water Sales</t>
  </si>
  <si>
    <t>Misclassified Water Loss Surcharge</t>
  </si>
  <si>
    <t>A.</t>
  </si>
  <si>
    <t>B.</t>
  </si>
  <si>
    <t>Misclassified Ols Hockory Debt Surcharge</t>
  </si>
  <si>
    <t>Wholesale Rate</t>
  </si>
  <si>
    <t>E</t>
  </si>
  <si>
    <t>F</t>
  </si>
  <si>
    <t>5-Year Average Debt Service Expense</t>
  </si>
  <si>
    <t>Required Debt Service Coverage</t>
  </si>
  <si>
    <t>Monthly Water Loss Surcharge</t>
  </si>
  <si>
    <t>Increase:  10 Percent 2025</t>
  </si>
  <si>
    <t>Increase in Monthly Customer Charge</t>
  </si>
  <si>
    <t>Multiplied by:  12 Months</t>
  </si>
  <si>
    <t>Annual Increase Customer Charge</t>
  </si>
  <si>
    <t>Increase in per Gallon Rate</t>
  </si>
  <si>
    <t>Pro Forma Adjustment</t>
  </si>
  <si>
    <t>I</t>
  </si>
  <si>
    <t>Increase in Contractual Agreement</t>
  </si>
  <si>
    <t>EXISTING AND PROPOSED RATES</t>
  </si>
  <si>
    <t>Excess Line Loss Cost</t>
  </si>
  <si>
    <t>Divide by:  No of Customer Bills</t>
  </si>
  <si>
    <t>5/8-Inch Meter - 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</si>
</sst>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0_);\(0\)"/>
    <numFmt numFmtId="168" formatCode="mm/dd/yy;@"/>
    <numFmt numFmtId="169" formatCode="_(&quot;$&quot;* #,##0.00000_);_(&quot;$&quot;* \(#,##0.00000\);_(&quot;$&quot;* &quot;-&quot;??_);_(@_)"/>
    <numFmt numFmtId="170" formatCode="_(&quot;$&quot;* #,##0.000000_);_(&quot;$&quot;* \(#,##0.000000\);_(&quot;$&quot;* &quot;-&quot;??_);_(@_)"/>
    <numFmt numFmtId="171" formatCode="0.00000"/>
    <numFmt numFmtId="172" formatCode="0.0"/>
    <numFmt numFmtId="173" formatCode="0.0_);\(0.0\)"/>
    <numFmt numFmtId="174" formatCode="#,##0.000000_);\(#,##0.000000\)"/>
    <numFmt numFmtId="175" formatCode="#,##0.00000_);\(#,##0.00000\)"/>
    <numFmt numFmtId="176" formatCode="0.000000"/>
    <numFmt numFmtId="177" formatCode="0.000%"/>
    <numFmt numFmtId="178" formatCode="0.000"/>
    <numFmt numFmtId="179" formatCode="0.0000"/>
  </numFmts>
  <fonts count="39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rgb="FFFF0000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  <font>
      <u val="singleAccounting"/>
      <sz val="12"/>
      <name val="Arial"/>
      <family val="2"/>
    </font>
    <font>
      <sz val="12"/>
      <color theme="3"/>
      <name val="Arial"/>
      <family val="2"/>
    </font>
    <font>
      <b/>
      <u val="singleAccounting"/>
      <sz val="12"/>
      <name val="Arial"/>
      <family val="2"/>
    </font>
    <font>
      <sz val="18"/>
      <name val="Arial"/>
      <family val="2"/>
    </font>
    <font>
      <u/>
      <sz val="18"/>
      <name val="Arial"/>
      <family val="2"/>
    </font>
    <font>
      <sz val="16"/>
      <name val="Calibri"/>
      <family val="2"/>
      <scheme val="minor"/>
    </font>
    <font>
      <b/>
      <sz val="18"/>
      <name val="Calibri"/>
      <family val="2"/>
      <scheme val="minor"/>
    </font>
    <font>
      <sz val="12"/>
      <name val="Courier"/>
    </font>
    <font>
      <u/>
      <sz val="12"/>
      <color rgb="FFFF0000"/>
      <name val="Arial"/>
      <family val="2"/>
    </font>
    <font>
      <b/>
      <sz val="18"/>
      <name val="Arial"/>
      <family val="2"/>
    </font>
    <font>
      <b/>
      <u/>
      <sz val="18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u val="singleAccounting"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/>
    <xf numFmtId="0" fontId="31" fillId="0" borderId="0"/>
    <xf numFmtId="0" fontId="18" fillId="0" borderId="0"/>
    <xf numFmtId="43" fontId="18" fillId="0" borderId="0" applyFont="0" applyFill="0" applyBorder="0" applyAlignment="0" applyProtection="0"/>
  </cellStyleXfs>
  <cellXfs count="360">
    <xf numFmtId="0" fontId="0" fillId="0" borderId="0" xfId="0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/>
    <xf numFmtId="0" fontId="5" fillId="0" borderId="2" xfId="0" applyFont="1" applyBorder="1"/>
    <xf numFmtId="0" fontId="5" fillId="0" borderId="3" xfId="0" applyFont="1" applyBorder="1"/>
    <xf numFmtId="0" fontId="5" fillId="0" borderId="7" xfId="0" applyFont="1" applyBorder="1"/>
    <xf numFmtId="0" fontId="9" fillId="0" borderId="0" xfId="0" applyFont="1"/>
    <xf numFmtId="3" fontId="6" fillId="0" borderId="6" xfId="0" applyNumberFormat="1" applyFont="1" applyBorder="1" applyAlignment="1">
      <alignment horizontal="center" vertical="center"/>
    </xf>
    <xf numFmtId="43" fontId="5" fillId="0" borderId="0" xfId="5" applyFont="1" applyAlignment="1"/>
    <xf numFmtId="165" fontId="5" fillId="0" borderId="0" xfId="5" applyNumberFormat="1" applyFont="1" applyAlignment="1"/>
    <xf numFmtId="0" fontId="0" fillId="0" borderId="2" xfId="0" applyBorder="1"/>
    <xf numFmtId="0" fontId="1" fillId="0" borderId="0" xfId="0" applyFont="1"/>
    <xf numFmtId="165" fontId="10" fillId="0" borderId="0" xfId="5" applyNumberFormat="1" applyFont="1"/>
    <xf numFmtId="165" fontId="10" fillId="0" borderId="4" xfId="5" applyNumberFormat="1" applyFont="1" applyBorder="1"/>
    <xf numFmtId="165" fontId="10" fillId="0" borderId="5" xfId="5" applyNumberFormat="1" applyFont="1" applyBorder="1"/>
    <xf numFmtId="165" fontId="10" fillId="0" borderId="6" xfId="5" applyNumberFormat="1" applyFont="1" applyBorder="1"/>
    <xf numFmtId="165" fontId="10" fillId="0" borderId="0" xfId="5" applyNumberFormat="1" applyFont="1" applyBorder="1"/>
    <xf numFmtId="165" fontId="10" fillId="0" borderId="0" xfId="5" applyNumberFormat="1" applyFont="1" applyBorder="1" applyAlignment="1">
      <alignment horizontal="left"/>
    </xf>
    <xf numFmtId="167" fontId="10" fillId="0" borderId="0" xfId="5" quotePrefix="1" applyNumberFormat="1" applyFont="1" applyBorder="1" applyAlignment="1">
      <alignment horizontal="center"/>
    </xf>
    <xf numFmtId="164" fontId="10" fillId="0" borderId="0" xfId="2" quotePrefix="1" applyNumberFormat="1" applyFont="1" applyBorder="1" applyAlignment="1">
      <alignment horizontal="center"/>
    </xf>
    <xf numFmtId="165" fontId="10" fillId="0" borderId="0" xfId="5" quotePrefix="1" applyNumberFormat="1" applyFont="1" applyBorder="1" applyAlignment="1">
      <alignment horizontal="center"/>
    </xf>
    <xf numFmtId="165" fontId="10" fillId="0" borderId="0" xfId="5" applyNumberFormat="1" applyFont="1" applyBorder="1" applyAlignment="1">
      <alignment horizontal="center"/>
    </xf>
    <xf numFmtId="165" fontId="10" fillId="0" borderId="1" xfId="5" applyNumberFormat="1" applyFont="1" applyBorder="1"/>
    <xf numFmtId="165" fontId="10" fillId="0" borderId="1" xfId="5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1" xfId="0" applyBorder="1"/>
    <xf numFmtId="39" fontId="0" fillId="0" borderId="0" xfId="0" applyNumberFormat="1"/>
    <xf numFmtId="169" fontId="0" fillId="0" borderId="0" xfId="2" applyNumberFormat="1" applyFont="1" applyBorder="1"/>
    <xf numFmtId="37" fontId="1" fillId="0" borderId="0" xfId="0" applyNumberFormat="1" applyFont="1"/>
    <xf numFmtId="37" fontId="1" fillId="0" borderId="1" xfId="0" applyNumberFormat="1" applyFont="1" applyBorder="1"/>
    <xf numFmtId="10" fontId="1" fillId="0" borderId="9" xfId="3" applyNumberFormat="1" applyFont="1" applyBorder="1"/>
    <xf numFmtId="0" fontId="1" fillId="0" borderId="3" xfId="0" applyFont="1" applyBorder="1"/>
    <xf numFmtId="0" fontId="1" fillId="0" borderId="2" xfId="0" applyFont="1" applyBorder="1"/>
    <xf numFmtId="0" fontId="1" fillId="0" borderId="7" xfId="0" applyFont="1" applyBorder="1"/>
    <xf numFmtId="165" fontId="10" fillId="0" borderId="8" xfId="5" applyNumberFormat="1" applyFont="1" applyBorder="1"/>
    <xf numFmtId="3" fontId="6" fillId="0" borderId="0" xfId="0" applyNumberFormat="1" applyFont="1" applyAlignment="1">
      <alignment horizontal="center" vertical="center"/>
    </xf>
    <xf numFmtId="165" fontId="1" fillId="0" borderId="0" xfId="5" applyNumberFormat="1" applyFont="1"/>
    <xf numFmtId="37" fontId="0" fillId="0" borderId="0" xfId="0" applyNumberFormat="1"/>
    <xf numFmtId="37" fontId="0" fillId="0" borderId="0" xfId="0" applyNumberFormat="1" applyAlignment="1">
      <alignment horizontal="center"/>
    </xf>
    <xf numFmtId="0" fontId="5" fillId="0" borderId="4" xfId="0" applyFont="1" applyBorder="1"/>
    <xf numFmtId="0" fontId="9" fillId="0" borderId="4" xfId="0" applyFont="1" applyBorder="1"/>
    <xf numFmtId="0" fontId="5" fillId="0" borderId="5" xfId="0" applyFont="1" applyBorder="1"/>
    <xf numFmtId="0" fontId="5" fillId="0" borderId="6" xfId="0" applyFont="1" applyBorder="1"/>
    <xf numFmtId="165" fontId="5" fillId="0" borderId="0" xfId="5" applyNumberFormat="1" applyFont="1" applyBorder="1" applyAlignment="1"/>
    <xf numFmtId="0" fontId="5" fillId="0" borderId="1" xfId="0" applyFont="1" applyBorder="1"/>
    <xf numFmtId="0" fontId="9" fillId="0" borderId="1" xfId="0" applyFont="1" applyBorder="1"/>
    <xf numFmtId="0" fontId="5" fillId="0" borderId="8" xfId="0" applyFont="1" applyBorder="1"/>
    <xf numFmtId="166" fontId="5" fillId="0" borderId="0" xfId="6" applyNumberFormat="1" applyFont="1" applyAlignment="1"/>
    <xf numFmtId="3" fontId="1" fillId="0" borderId="0" xfId="0" applyNumberFormat="1" applyFont="1" applyAlignment="1">
      <alignment horizontal="center"/>
    </xf>
    <xf numFmtId="3" fontId="1" fillId="0" borderId="4" xfId="0" applyNumberFormat="1" applyFont="1" applyBorder="1"/>
    <xf numFmtId="3" fontId="1" fillId="0" borderId="4" xfId="0" applyNumberFormat="1" applyFont="1" applyBorder="1" applyAlignment="1">
      <alignment horizontal="center"/>
    </xf>
    <xf numFmtId="3" fontId="1" fillId="0" borderId="5" xfId="0" applyNumberFormat="1" applyFont="1" applyBorder="1"/>
    <xf numFmtId="3" fontId="1" fillId="0" borderId="0" xfId="0" applyNumberFormat="1" applyFont="1"/>
    <xf numFmtId="165" fontId="1" fillId="0" borderId="0" xfId="1" applyNumberFormat="1" applyFont="1" applyAlignment="1"/>
    <xf numFmtId="3" fontId="15" fillId="0" borderId="0" xfId="0" applyNumberFormat="1" applyFont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vertical="center"/>
    </xf>
    <xf numFmtId="165" fontId="1" fillId="0" borderId="0" xfId="1" applyNumberFormat="1" applyFont="1" applyAlignment="1">
      <alignment vertical="center"/>
    </xf>
    <xf numFmtId="3" fontId="15" fillId="0" borderId="6" xfId="0" applyNumberFormat="1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3" fontId="15" fillId="0" borderId="8" xfId="0" applyNumberFormat="1" applyFont="1" applyBorder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3" fontId="16" fillId="0" borderId="6" xfId="0" applyNumberFormat="1" applyFont="1" applyBorder="1" applyAlignment="1">
      <alignment horizontal="center" vertical="center"/>
    </xf>
    <xf numFmtId="3" fontId="17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1" fillId="0" borderId="6" xfId="0" applyNumberFormat="1" applyFont="1" applyBorder="1" applyAlignment="1">
      <alignment vertical="center"/>
    </xf>
    <xf numFmtId="164" fontId="10" fillId="0" borderId="0" xfId="0" applyNumberFormat="1" applyFont="1" applyAlignment="1">
      <alignment vertical="center"/>
    </xf>
    <xf numFmtId="3" fontId="18" fillId="0" borderId="0" xfId="0" applyNumberFormat="1" applyFont="1" applyAlignment="1">
      <alignment horizontal="center" vertical="center"/>
    </xf>
    <xf numFmtId="164" fontId="1" fillId="0" borderId="6" xfId="0" applyNumberFormat="1" applyFont="1" applyBorder="1" applyAlignment="1">
      <alignment vertical="center"/>
    </xf>
    <xf numFmtId="165" fontId="19" fillId="0" borderId="0" xfId="1" applyNumberFormat="1" applyFont="1" applyAlignment="1">
      <alignment vertical="center"/>
    </xf>
    <xf numFmtId="37" fontId="10" fillId="0" borderId="0" xfId="1" applyNumberFormat="1" applyFont="1" applyBorder="1" applyAlignment="1">
      <alignment vertical="center"/>
    </xf>
    <xf numFmtId="165" fontId="1" fillId="0" borderId="6" xfId="1" applyNumberFormat="1" applyFont="1" applyBorder="1" applyAlignment="1">
      <alignment vertical="center"/>
    </xf>
    <xf numFmtId="37" fontId="10" fillId="0" borderId="0" xfId="0" applyNumberFormat="1" applyFont="1" applyAlignment="1">
      <alignment vertical="center"/>
    </xf>
    <xf numFmtId="37" fontId="18" fillId="0" borderId="0" xfId="0" applyNumberFormat="1" applyFont="1" applyAlignment="1">
      <alignment horizontal="center" vertical="center"/>
    </xf>
    <xf numFmtId="10" fontId="1" fillId="0" borderId="0" xfId="3" applyNumberFormat="1" applyFont="1" applyAlignment="1">
      <alignment vertical="center"/>
    </xf>
    <xf numFmtId="10" fontId="1" fillId="2" borderId="0" xfId="3" applyNumberFormat="1" applyFont="1" applyFill="1" applyAlignment="1">
      <alignment vertical="center"/>
    </xf>
    <xf numFmtId="164" fontId="1" fillId="2" borderId="0" xfId="2" applyNumberFormat="1" applyFont="1" applyFill="1" applyAlignment="1">
      <alignment vertical="center"/>
    </xf>
    <xf numFmtId="37" fontId="10" fillId="0" borderId="1" xfId="1" applyNumberFormat="1" applyFont="1" applyBorder="1" applyAlignment="1">
      <alignment vertical="center"/>
    </xf>
    <xf numFmtId="165" fontId="20" fillId="0" borderId="6" xfId="1" applyNumberFormat="1" applyFont="1" applyBorder="1" applyAlignment="1">
      <alignment vertical="center"/>
    </xf>
    <xf numFmtId="165" fontId="1" fillId="2" borderId="0" xfId="1" applyNumberFormat="1" applyFont="1" applyFill="1" applyAlignment="1">
      <alignment vertical="center"/>
    </xf>
    <xf numFmtId="3" fontId="15" fillId="0" borderId="0" xfId="0" applyNumberFormat="1" applyFont="1" applyAlignment="1">
      <alignment vertical="center"/>
    </xf>
    <xf numFmtId="37" fontId="1" fillId="0" borderId="6" xfId="0" applyNumberFormat="1" applyFont="1" applyBorder="1" applyAlignment="1">
      <alignment vertical="center"/>
    </xf>
    <xf numFmtId="165" fontId="20" fillId="2" borderId="0" xfId="1" applyNumberFormat="1" applyFont="1" applyFill="1" applyAlignment="1">
      <alignment vertical="center"/>
    </xf>
    <xf numFmtId="165" fontId="20" fillId="0" borderId="0" xfId="1" applyNumberFormat="1" applyFont="1" applyAlignment="1">
      <alignment vertical="center"/>
    </xf>
    <xf numFmtId="37" fontId="18" fillId="0" borderId="0" xfId="0" applyNumberFormat="1" applyFont="1" applyAlignment="1">
      <alignment horizontal="center"/>
    </xf>
    <xf numFmtId="165" fontId="21" fillId="0" borderId="0" xfId="1" applyNumberFormat="1" applyFont="1" applyAlignment="1">
      <alignment vertical="center"/>
    </xf>
    <xf numFmtId="165" fontId="1" fillId="0" borderId="0" xfId="1" applyNumberFormat="1" applyFont="1"/>
    <xf numFmtId="37" fontId="10" fillId="0" borderId="1" xfId="1" applyNumberFormat="1" applyFont="1" applyBorder="1" applyAlignment="1"/>
    <xf numFmtId="37" fontId="10" fillId="0" borderId="1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37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/>
    </xf>
    <xf numFmtId="165" fontId="1" fillId="0" borderId="6" xfId="1" applyNumberFormat="1" applyFont="1" applyBorder="1"/>
    <xf numFmtId="165" fontId="1" fillId="0" borderId="0" xfId="1" quotePrefix="1" applyNumberFormat="1" applyFont="1" applyAlignment="1">
      <alignment vertical="center"/>
    </xf>
    <xf numFmtId="165" fontId="1" fillId="0" borderId="6" xfId="1" quotePrefix="1" applyNumberFormat="1" applyFont="1" applyBorder="1" applyAlignment="1">
      <alignment vertical="center"/>
    </xf>
    <xf numFmtId="164" fontId="1" fillId="0" borderId="6" xfId="2" applyNumberFormat="1" applyFont="1" applyBorder="1" applyAlignment="1">
      <alignment vertical="center"/>
    </xf>
    <xf numFmtId="164" fontId="1" fillId="0" borderId="9" xfId="0" applyNumberFormat="1" applyFont="1" applyBorder="1" applyAlignment="1">
      <alignment vertical="center"/>
    </xf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center"/>
    </xf>
    <xf numFmtId="3" fontId="1" fillId="0" borderId="8" xfId="0" applyNumberFormat="1" applyFont="1" applyBorder="1"/>
    <xf numFmtId="42" fontId="1" fillId="0" borderId="0" xfId="0" applyNumberFormat="1" applyFont="1"/>
    <xf numFmtId="3" fontId="1" fillId="0" borderId="1" xfId="0" applyNumberFormat="1" applyFont="1" applyBorder="1" applyAlignment="1">
      <alignment vertical="center"/>
    </xf>
    <xf numFmtId="37" fontId="1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/>
    </xf>
    <xf numFmtId="37" fontId="1" fillId="0" borderId="8" xfId="0" applyNumberFormat="1" applyFont="1" applyBorder="1" applyAlignment="1">
      <alignment vertical="center"/>
    </xf>
    <xf numFmtId="0" fontId="1" fillId="0" borderId="6" xfId="0" applyFont="1" applyBorder="1"/>
    <xf numFmtId="0" fontId="0" fillId="0" borderId="6" xfId="0" applyBorder="1"/>
    <xf numFmtId="44" fontId="0" fillId="0" borderId="0" xfId="2" applyFont="1" applyBorder="1"/>
    <xf numFmtId="37" fontId="10" fillId="0" borderId="0" xfId="1" applyNumberFormat="1" applyFont="1" applyBorder="1" applyAlignment="1"/>
    <xf numFmtId="0" fontId="1" fillId="0" borderId="1" xfId="0" applyFont="1" applyBorder="1" applyAlignment="1">
      <alignment horizontal="center"/>
    </xf>
    <xf numFmtId="44" fontId="0" fillId="0" borderId="0" xfId="0" applyNumberFormat="1"/>
    <xf numFmtId="44" fontId="0" fillId="0" borderId="1" xfId="0" applyNumberFormat="1" applyBorder="1" applyAlignment="1">
      <alignment horizontal="center"/>
    </xf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42" fontId="10" fillId="0" borderId="0" xfId="5" applyNumberFormat="1" applyFont="1" applyBorder="1" applyAlignment="1">
      <alignment horizontal="center"/>
    </xf>
    <xf numFmtId="42" fontId="10" fillId="0" borderId="9" xfId="5" applyNumberFormat="1" applyFont="1" applyBorder="1" applyAlignment="1">
      <alignment horizontal="center"/>
    </xf>
    <xf numFmtId="42" fontId="10" fillId="0" borderId="9" xfId="5" applyNumberFormat="1" applyFont="1" applyBorder="1"/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/>
    </xf>
    <xf numFmtId="42" fontId="10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3" fontId="4" fillId="0" borderId="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37" fontId="23" fillId="0" borderId="0" xfId="0" applyNumberFormat="1" applyFont="1" applyAlignment="1">
      <alignment horizontal="center"/>
    </xf>
    <xf numFmtId="37" fontId="10" fillId="0" borderId="11" xfId="0" applyNumberFormat="1" applyFont="1" applyBorder="1" applyAlignment="1">
      <alignment vertical="center"/>
    </xf>
    <xf numFmtId="9" fontId="1" fillId="0" borderId="0" xfId="0" applyNumberFormat="1" applyFont="1"/>
    <xf numFmtId="0" fontId="3" fillId="0" borderId="8" xfId="0" applyFont="1" applyBorder="1" applyAlignment="1">
      <alignment horizontal="center"/>
    </xf>
    <xf numFmtId="37" fontId="0" fillId="0" borderId="4" xfId="0" applyNumberFormat="1" applyBorder="1"/>
    <xf numFmtId="170" fontId="0" fillId="0" borderId="0" xfId="2" applyNumberFormat="1" applyFont="1" applyBorder="1"/>
    <xf numFmtId="37" fontId="0" fillId="0" borderId="0" xfId="0" applyNumberFormat="1" applyAlignment="1">
      <alignment vertical="center"/>
    </xf>
    <xf numFmtId="165" fontId="5" fillId="0" borderId="6" xfId="5" applyNumberFormat="1" applyFont="1" applyBorder="1" applyAlignment="1"/>
    <xf numFmtId="44" fontId="0" fillId="0" borderId="0" xfId="4" applyFont="1" applyBorder="1"/>
    <xf numFmtId="169" fontId="0" fillId="0" borderId="0" xfId="4" applyNumberFormat="1" applyFont="1" applyBorder="1"/>
    <xf numFmtId="10" fontId="5" fillId="0" borderId="0" xfId="0" applyNumberFormat="1" applyFont="1"/>
    <xf numFmtId="0" fontId="23" fillId="0" borderId="4" xfId="0" applyFont="1" applyBorder="1"/>
    <xf numFmtId="37" fontId="0" fillId="0" borderId="1" xfId="0" applyNumberFormat="1" applyBorder="1"/>
    <xf numFmtId="172" fontId="15" fillId="0" borderId="0" xfId="0" applyNumberFormat="1" applyFont="1"/>
    <xf numFmtId="0" fontId="15" fillId="0" borderId="0" xfId="0" applyFont="1"/>
    <xf numFmtId="0" fontId="1" fillId="0" borderId="0" xfId="7" applyFont="1" applyAlignment="1">
      <alignment horizontal="left"/>
    </xf>
    <xf numFmtId="0" fontId="27" fillId="0" borderId="0" xfId="0" applyFont="1"/>
    <xf numFmtId="172" fontId="1" fillId="0" borderId="0" xfId="0" applyNumberFormat="1" applyFont="1"/>
    <xf numFmtId="172" fontId="1" fillId="0" borderId="0" xfId="7" applyNumberFormat="1" applyFont="1" applyAlignment="1">
      <alignment horizontal="center"/>
    </xf>
    <xf numFmtId="0" fontId="1" fillId="0" borderId="0" xfId="7" applyFont="1" applyAlignment="1">
      <alignment horizontal="center"/>
    </xf>
    <xf numFmtId="0" fontId="1" fillId="0" borderId="0" xfId="7" applyFont="1"/>
    <xf numFmtId="9" fontId="1" fillId="0" borderId="0" xfId="3" applyFont="1" applyAlignment="1">
      <alignment horizontal="center"/>
    </xf>
    <xf numFmtId="172" fontId="1" fillId="0" borderId="1" xfId="7" applyNumberFormat="1" applyFont="1" applyBorder="1" applyAlignment="1">
      <alignment horizontal="center"/>
    </xf>
    <xf numFmtId="0" fontId="1" fillId="0" borderId="1" xfId="7" applyFont="1" applyBorder="1" applyAlignment="1">
      <alignment horizontal="center"/>
    </xf>
    <xf numFmtId="172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7" fillId="0" borderId="0" xfId="0" applyFont="1" applyAlignment="1">
      <alignment horizontal="left" indent="2"/>
    </xf>
    <xf numFmtId="2" fontId="19" fillId="0" borderId="0" xfId="0" applyNumberFormat="1" applyFont="1" applyAlignment="1">
      <alignment horizontal="center"/>
    </xf>
    <xf numFmtId="9" fontId="19" fillId="0" borderId="0" xfId="3" applyFont="1" applyAlignment="1">
      <alignment horizontal="center"/>
    </xf>
    <xf numFmtId="9" fontId="1" fillId="0" borderId="0" xfId="3" applyFont="1" applyFill="1" applyAlignment="1">
      <alignment horizontal="center"/>
    </xf>
    <xf numFmtId="0" fontId="17" fillId="0" borderId="0" xfId="0" applyFont="1" applyAlignment="1">
      <alignment horizontal="center"/>
    </xf>
    <xf numFmtId="172" fontId="27" fillId="0" borderId="0" xfId="0" applyNumberFormat="1" applyFont="1"/>
    <xf numFmtId="3" fontId="1" fillId="0" borderId="6" xfId="0" applyNumberFormat="1" applyFont="1" applyBorder="1"/>
    <xf numFmtId="174" fontId="0" fillId="0" borderId="0" xfId="2" applyNumberFormat="1" applyFont="1" applyBorder="1"/>
    <xf numFmtId="10" fontId="0" fillId="0" borderId="0" xfId="6" applyNumberFormat="1" applyFont="1" applyBorder="1" applyAlignment="1">
      <alignment horizontal="center"/>
    </xf>
    <xf numFmtId="10" fontId="1" fillId="0" borderId="1" xfId="6" applyNumberFormat="1" applyFont="1" applyBorder="1" applyAlignment="1">
      <alignment horizontal="center"/>
    </xf>
    <xf numFmtId="37" fontId="17" fillId="0" borderId="0" xfId="0" applyNumberFormat="1" applyFont="1"/>
    <xf numFmtId="10" fontId="0" fillId="0" borderId="0" xfId="6" applyNumberFormat="1" applyFont="1" applyBorder="1"/>
    <xf numFmtId="10" fontId="0" fillId="0" borderId="0" xfId="0" applyNumberFormat="1"/>
    <xf numFmtId="9" fontId="0" fillId="0" borderId="0" xfId="0" applyNumberFormat="1"/>
    <xf numFmtId="43" fontId="0" fillId="0" borderId="0" xfId="5" applyFont="1"/>
    <xf numFmtId="0" fontId="16" fillId="0" borderId="0" xfId="0" applyFont="1"/>
    <xf numFmtId="0" fontId="19" fillId="0" borderId="0" xfId="0" applyFont="1"/>
    <xf numFmtId="0" fontId="28" fillId="0" borderId="0" xfId="0" applyFont="1" applyAlignment="1">
      <alignment horizontal="center"/>
    </xf>
    <xf numFmtId="44" fontId="1" fillId="0" borderId="0" xfId="4" applyFont="1" applyBorder="1" applyAlignment="1"/>
    <xf numFmtId="44" fontId="1" fillId="0" borderId="0" xfId="0" applyNumberFormat="1" applyFont="1"/>
    <xf numFmtId="175" fontId="0" fillId="0" borderId="0" xfId="0" applyNumberFormat="1"/>
    <xf numFmtId="171" fontId="1" fillId="0" borderId="0" xfId="0" applyNumberFormat="1" applyFont="1"/>
    <xf numFmtId="165" fontId="1" fillId="0" borderId="0" xfId="0" applyNumberFormat="1" applyFont="1" applyAlignment="1">
      <alignment horizontal="left" vertical="center"/>
    </xf>
    <xf numFmtId="0" fontId="1" fillId="0" borderId="4" xfId="0" applyFont="1" applyBorder="1"/>
    <xf numFmtId="0" fontId="1" fillId="0" borderId="5" xfId="0" applyFont="1" applyBorder="1"/>
    <xf numFmtId="166" fontId="1" fillId="0" borderId="6" xfId="6" applyNumberFormat="1" applyFont="1" applyBorder="1" applyAlignment="1"/>
    <xf numFmtId="44" fontId="1" fillId="0" borderId="0" xfId="4" applyFont="1" applyBorder="1"/>
    <xf numFmtId="10" fontId="1" fillId="0" borderId="0" xfId="6" applyNumberFormat="1" applyFont="1" applyBorder="1" applyAlignment="1">
      <alignment horizontal="center"/>
    </xf>
    <xf numFmtId="175" fontId="1" fillId="0" borderId="0" xfId="4" applyNumberFormat="1" applyFont="1" applyBorder="1"/>
    <xf numFmtId="169" fontId="1" fillId="0" borderId="0" xfId="4" applyNumberFormat="1" applyFont="1" applyBorder="1"/>
    <xf numFmtId="165" fontId="1" fillId="0" borderId="0" xfId="5" applyNumberFormat="1" applyFont="1" applyBorder="1" applyAlignment="1"/>
    <xf numFmtId="165" fontId="1" fillId="0" borderId="0" xfId="0" applyNumberFormat="1" applyFont="1"/>
    <xf numFmtId="166" fontId="1" fillId="0" borderId="0" xfId="6" applyNumberFormat="1" applyFont="1"/>
    <xf numFmtId="9" fontId="1" fillId="0" borderId="0" xfId="6" applyFont="1"/>
    <xf numFmtId="175" fontId="1" fillId="0" borderId="0" xfId="0" applyNumberFormat="1" applyFont="1"/>
    <xf numFmtId="0" fontId="1" fillId="0" borderId="1" xfId="0" applyFont="1" applyBorder="1"/>
    <xf numFmtId="44" fontId="1" fillId="0" borderId="1" xfId="0" applyNumberFormat="1" applyFont="1" applyBorder="1"/>
    <xf numFmtId="169" fontId="1" fillId="0" borderId="1" xfId="4" applyNumberFormat="1" applyFont="1" applyBorder="1"/>
    <xf numFmtId="44" fontId="1" fillId="0" borderId="1" xfId="4" applyFont="1" applyBorder="1"/>
    <xf numFmtId="0" fontId="1" fillId="0" borderId="8" xfId="0" applyFont="1" applyBorder="1"/>
    <xf numFmtId="165" fontId="1" fillId="0" borderId="1" xfId="1" applyNumberFormat="1" applyFont="1" applyBorder="1" applyAlignment="1">
      <alignment vertical="center"/>
    </xf>
    <xf numFmtId="37" fontId="0" fillId="0" borderId="1" xfId="0" applyNumberFormat="1" applyBorder="1" applyAlignment="1">
      <alignment horizontal="center"/>
    </xf>
    <xf numFmtId="165" fontId="10" fillId="0" borderId="12" xfId="5" applyNumberFormat="1" applyFont="1" applyBorder="1" applyAlignment="1">
      <alignment horizontal="center"/>
    </xf>
    <xf numFmtId="37" fontId="0" fillId="0" borderId="13" xfId="0" applyNumberFormat="1" applyBorder="1"/>
    <xf numFmtId="165" fontId="10" fillId="0" borderId="2" xfId="5" applyNumberFormat="1" applyFont="1" applyBorder="1"/>
    <xf numFmtId="168" fontId="1" fillId="0" borderId="0" xfId="0" applyNumberFormat="1" applyFont="1" applyAlignment="1">
      <alignment horizontal="left"/>
    </xf>
    <xf numFmtId="165" fontId="10" fillId="0" borderId="7" xfId="5" applyNumberFormat="1" applyFont="1" applyBorder="1"/>
    <xf numFmtId="10" fontId="1" fillId="0" borderId="0" xfId="3" applyNumberFormat="1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10" fontId="0" fillId="0" borderId="1" xfId="0" applyNumberFormat="1" applyBorder="1" applyAlignment="1">
      <alignment horizontal="center"/>
    </xf>
    <xf numFmtId="42" fontId="10" fillId="0" borderId="0" xfId="5" applyNumberFormat="1" applyFont="1" applyBorder="1"/>
    <xf numFmtId="168" fontId="1" fillId="0" borderId="1" xfId="0" applyNumberFormat="1" applyFont="1" applyBorder="1" applyAlignment="1">
      <alignment horizontal="center"/>
    </xf>
    <xf numFmtId="168" fontId="0" fillId="0" borderId="0" xfId="0" applyNumberFormat="1" applyAlignment="1">
      <alignment horizontal="center"/>
    </xf>
    <xf numFmtId="168" fontId="1" fillId="0" borderId="0" xfId="0" applyNumberFormat="1" applyFont="1" applyAlignment="1">
      <alignment horizontal="center"/>
    </xf>
    <xf numFmtId="42" fontId="10" fillId="0" borderId="14" xfId="5" applyNumberFormat="1" applyFont="1" applyBorder="1"/>
    <xf numFmtId="37" fontId="1" fillId="0" borderId="0" xfId="1" quotePrefix="1" applyNumberFormat="1" applyFont="1" applyBorder="1" applyAlignment="1">
      <alignment vertical="center"/>
    </xf>
    <xf numFmtId="37" fontId="1" fillId="0" borderId="1" xfId="1" applyNumberFormat="1" applyFont="1" applyBorder="1" applyAlignment="1">
      <alignment vertical="center"/>
    </xf>
    <xf numFmtId="37" fontId="1" fillId="0" borderId="0" xfId="2" applyNumberFormat="1" applyFont="1" applyBorder="1" applyAlignment="1">
      <alignment vertical="center"/>
    </xf>
    <xf numFmtId="10" fontId="1" fillId="0" borderId="0" xfId="6" applyNumberFormat="1" applyFont="1"/>
    <xf numFmtId="3" fontId="15" fillId="0" borderId="0" xfId="0" applyNumberFormat="1" applyFont="1"/>
    <xf numFmtId="165" fontId="1" fillId="0" borderId="0" xfId="1" applyNumberFormat="1" applyFont="1" applyFill="1" applyAlignment="1"/>
    <xf numFmtId="165" fontId="1" fillId="0" borderId="0" xfId="1" applyNumberFormat="1" applyFont="1" applyFill="1" applyAlignment="1">
      <alignment vertical="center"/>
    </xf>
    <xf numFmtId="37" fontId="10" fillId="0" borderId="0" xfId="1" applyNumberFormat="1" applyFont="1" applyFill="1" applyBorder="1" applyAlignment="1">
      <alignment vertical="center"/>
    </xf>
    <xf numFmtId="165" fontId="1" fillId="0" borderId="6" xfId="1" applyNumberFormat="1" applyFont="1" applyFill="1" applyBorder="1" applyAlignment="1">
      <alignment vertical="center"/>
    </xf>
    <xf numFmtId="10" fontId="1" fillId="0" borderId="0" xfId="3" applyNumberFormat="1" applyFont="1" applyFill="1" applyAlignment="1">
      <alignment vertical="center"/>
    </xf>
    <xf numFmtId="164" fontId="1" fillId="0" borderId="0" xfId="2" applyNumberFormat="1" applyFont="1" applyFill="1" applyAlignment="1">
      <alignment vertical="center"/>
    </xf>
    <xf numFmtId="37" fontId="10" fillId="0" borderId="1" xfId="1" applyNumberFormat="1" applyFont="1" applyFill="1" applyBorder="1" applyAlignment="1">
      <alignment vertical="center"/>
    </xf>
    <xf numFmtId="165" fontId="20" fillId="0" borderId="6" xfId="1" applyNumberFormat="1" applyFont="1" applyFill="1" applyBorder="1" applyAlignment="1">
      <alignment vertical="center"/>
    </xf>
    <xf numFmtId="165" fontId="20" fillId="0" borderId="0" xfId="1" applyNumberFormat="1" applyFont="1" applyFill="1" applyAlignment="1">
      <alignment vertical="center"/>
    </xf>
    <xf numFmtId="165" fontId="1" fillId="0" borderId="0" xfId="1" applyNumberFormat="1" applyFont="1" applyFill="1"/>
    <xf numFmtId="37" fontId="10" fillId="0" borderId="0" xfId="1" applyNumberFormat="1" applyFont="1" applyFill="1" applyBorder="1" applyAlignment="1"/>
    <xf numFmtId="3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3" fontId="5" fillId="0" borderId="0" xfId="0" applyNumberFormat="1" applyFont="1"/>
    <xf numFmtId="3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/>
    </xf>
    <xf numFmtId="9" fontId="1" fillId="0" borderId="1" xfId="0" applyNumberFormat="1" applyFont="1" applyBorder="1"/>
    <xf numFmtId="165" fontId="1" fillId="0" borderId="6" xfId="1" applyNumberFormat="1" applyFont="1" applyFill="1" applyBorder="1"/>
    <xf numFmtId="37" fontId="1" fillId="0" borderId="0" xfId="0" applyNumberFormat="1" applyFont="1" applyAlignment="1">
      <alignment horizontal="left"/>
    </xf>
    <xf numFmtId="165" fontId="1" fillId="0" borderId="6" xfId="1" quotePrefix="1" applyNumberFormat="1" applyFont="1" applyFill="1" applyBorder="1" applyAlignment="1">
      <alignment vertical="center"/>
    </xf>
    <xf numFmtId="165" fontId="5" fillId="0" borderId="0" xfId="1" applyNumberFormat="1" applyFont="1" applyFill="1" applyBorder="1" applyAlignment="1"/>
    <xf numFmtId="165" fontId="5" fillId="0" borderId="0" xfId="1" applyNumberFormat="1" applyFont="1" applyFill="1" applyBorder="1" applyAlignment="1">
      <alignment vertical="center"/>
    </xf>
    <xf numFmtId="165" fontId="1" fillId="0" borderId="0" xfId="1" applyNumberFormat="1" applyFont="1" applyFill="1" applyAlignment="1">
      <alignment horizontal="right" vertical="center"/>
    </xf>
    <xf numFmtId="42" fontId="1" fillId="0" borderId="9" xfId="0" applyNumberFormat="1" applyFont="1" applyBorder="1"/>
    <xf numFmtId="164" fontId="1" fillId="0" borderId="6" xfId="2" applyNumberFormat="1" applyFont="1" applyFill="1" applyBorder="1" applyAlignment="1">
      <alignment vertical="center"/>
    </xf>
    <xf numFmtId="10" fontId="1" fillId="0" borderId="0" xfId="3" applyNumberFormat="1" applyFont="1" applyFill="1" applyBorder="1"/>
    <xf numFmtId="10" fontId="1" fillId="0" borderId="9" xfId="3" applyNumberFormat="1" applyFont="1" applyFill="1" applyBorder="1"/>
    <xf numFmtId="37" fontId="0" fillId="0" borderId="10" xfId="0" applyNumberFormat="1" applyBorder="1"/>
    <xf numFmtId="0" fontId="25" fillId="0" borderId="1" xfId="0" applyFont="1" applyBorder="1" applyAlignment="1">
      <alignment horizontal="center"/>
    </xf>
    <xf numFmtId="168" fontId="0" fillId="0" borderId="0" xfId="0" applyNumberFormat="1"/>
    <xf numFmtId="168" fontId="0" fillId="0" borderId="0" xfId="0" applyNumberFormat="1" applyAlignment="1">
      <alignment horizontal="left"/>
    </xf>
    <xf numFmtId="165" fontId="3" fillId="0" borderId="0" xfId="5" applyNumberFormat="1" applyFont="1" applyAlignment="1">
      <alignment horizontal="center"/>
    </xf>
    <xf numFmtId="165" fontId="3" fillId="0" borderId="1" xfId="5" applyNumberFormat="1" applyFont="1" applyBorder="1" applyAlignment="1">
      <alignment horizontal="center"/>
    </xf>
    <xf numFmtId="165" fontId="3" fillId="0" borderId="0" xfId="5" applyNumberFormat="1" applyFont="1"/>
    <xf numFmtId="165" fontId="33" fillId="0" borderId="0" xfId="5" applyNumberFormat="1" applyFont="1"/>
    <xf numFmtId="3" fontId="3" fillId="0" borderId="0" xfId="0" applyNumberFormat="1" applyFont="1"/>
    <xf numFmtId="0" fontId="3" fillId="0" borderId="0" xfId="0" applyFont="1"/>
    <xf numFmtId="165" fontId="3" fillId="0" borderId="0" xfId="0" applyNumberFormat="1" applyFont="1"/>
    <xf numFmtId="165" fontId="33" fillId="0" borderId="0" xfId="5" applyNumberFormat="1" applyFont="1" applyBorder="1"/>
    <xf numFmtId="165" fontId="3" fillId="0" borderId="0" xfId="5" applyNumberFormat="1" applyFont="1" applyBorder="1"/>
    <xf numFmtId="177" fontId="3" fillId="0" borderId="0" xfId="6" applyNumberFormat="1" applyFont="1"/>
    <xf numFmtId="3" fontId="3" fillId="0" borderId="0" xfId="0" applyNumberFormat="1" applyFont="1" applyAlignment="1">
      <alignment horizontal="right"/>
    </xf>
    <xf numFmtId="177" fontId="34" fillId="0" borderId="0" xfId="6" applyNumberFormat="1" applyFont="1"/>
    <xf numFmtId="165" fontId="3" fillId="0" borderId="0" xfId="5" applyNumberFormat="1" applyFont="1" applyAlignment="1">
      <alignment vertical="center"/>
    </xf>
    <xf numFmtId="177" fontId="35" fillId="0" borderId="0" xfId="6" applyNumberFormat="1" applyFont="1"/>
    <xf numFmtId="3" fontId="35" fillId="0" borderId="0" xfId="0" applyNumberFormat="1" applyFont="1"/>
    <xf numFmtId="37" fontId="3" fillId="0" borderId="0" xfId="0" applyNumberFormat="1" applyFont="1"/>
    <xf numFmtId="177" fontId="3" fillId="0" borderId="1" xfId="0" applyNumberFormat="1" applyFont="1" applyBorder="1"/>
    <xf numFmtId="37" fontId="3" fillId="0" borderId="9" xfId="0" applyNumberFormat="1" applyFont="1" applyBorder="1"/>
    <xf numFmtId="42" fontId="0" fillId="0" borderId="0" xfId="0" applyNumberFormat="1"/>
    <xf numFmtId="42" fontId="0" fillId="0" borderId="10" xfId="0" applyNumberFormat="1" applyBorder="1"/>
    <xf numFmtId="37" fontId="10" fillId="0" borderId="0" xfId="5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165" fontId="3" fillId="0" borderId="0" xfId="5" applyNumberFormat="1" applyFont="1" applyBorder="1" applyAlignment="1">
      <alignment horizontal="center"/>
    </xf>
    <xf numFmtId="165" fontId="3" fillId="0" borderId="4" xfId="5" applyNumberFormat="1" applyFont="1" applyBorder="1" applyAlignment="1">
      <alignment horizontal="center"/>
    </xf>
    <xf numFmtId="39" fontId="1" fillId="0" borderId="0" xfId="0" applyNumberFormat="1" applyFont="1" applyAlignment="1">
      <alignment horizontal="center"/>
    </xf>
    <xf numFmtId="39" fontId="1" fillId="0" borderId="0" xfId="0" applyNumberFormat="1" applyFont="1"/>
    <xf numFmtId="0" fontId="25" fillId="0" borderId="0" xfId="0" applyFont="1"/>
    <xf numFmtId="0" fontId="25" fillId="0" borderId="0" xfId="0" applyFont="1" applyAlignment="1">
      <alignment horizontal="center"/>
    </xf>
    <xf numFmtId="10" fontId="0" fillId="0" borderId="0" xfId="3" applyNumberFormat="1" applyFont="1" applyBorder="1"/>
    <xf numFmtId="3" fontId="0" fillId="0" borderId="0" xfId="0" applyNumberFormat="1" applyAlignment="1">
      <alignment horizontal="center"/>
    </xf>
    <xf numFmtId="44" fontId="5" fillId="0" borderId="0" xfId="0" applyNumberFormat="1" applyFont="1"/>
    <xf numFmtId="171" fontId="5" fillId="0" borderId="0" xfId="0" applyNumberFormat="1" applyFont="1"/>
    <xf numFmtId="171" fontId="0" fillId="0" borderId="0" xfId="0" applyNumberFormat="1"/>
    <xf numFmtId="176" fontId="5" fillId="0" borderId="0" xfId="0" applyNumberFormat="1" applyFont="1"/>
    <xf numFmtId="167" fontId="1" fillId="0" borderId="0" xfId="0" applyNumberFormat="1" applyFont="1" applyAlignment="1">
      <alignment horizontal="center"/>
    </xf>
    <xf numFmtId="168" fontId="17" fillId="0" borderId="0" xfId="0" applyNumberFormat="1" applyFont="1" applyAlignment="1">
      <alignment horizontal="left"/>
    </xf>
    <xf numFmtId="39" fontId="1" fillId="0" borderId="0" xfId="0" applyNumberFormat="1" applyFont="1" applyAlignment="1">
      <alignment horizontal="right"/>
    </xf>
    <xf numFmtId="39" fontId="15" fillId="0" borderId="0" xfId="0" applyNumberFormat="1" applyFont="1"/>
    <xf numFmtId="1" fontId="11" fillId="0" borderId="0" xfId="0" applyNumberFormat="1" applyFont="1" applyAlignment="1">
      <alignment horizontal="center"/>
    </xf>
    <xf numFmtId="0" fontId="11" fillId="0" borderId="0" xfId="0" applyFont="1"/>
    <xf numFmtId="39" fontId="11" fillId="0" borderId="0" xfId="0" applyNumberFormat="1" applyFont="1"/>
    <xf numFmtId="173" fontId="11" fillId="0" borderId="0" xfId="0" applyNumberFormat="1" applyFont="1" applyAlignment="1">
      <alignment horizontal="center"/>
    </xf>
    <xf numFmtId="1" fontId="11" fillId="0" borderId="0" xfId="0" applyNumberFormat="1" applyFont="1"/>
    <xf numFmtId="39" fontId="11" fillId="0" borderId="0" xfId="0" applyNumberFormat="1" applyFont="1" applyAlignment="1">
      <alignment horizontal="center"/>
    </xf>
    <xf numFmtId="167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11" fillId="0" borderId="0" xfId="0" applyNumberFormat="1" applyFont="1" applyAlignment="1">
      <alignment horizontal="center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 indent="2"/>
    </xf>
    <xf numFmtId="168" fontId="1" fillId="0" borderId="0" xfId="0" applyNumberFormat="1" applyFont="1" applyAlignment="1">
      <alignment horizontal="left" indent="2"/>
    </xf>
    <xf numFmtId="9" fontId="1" fillId="0" borderId="0" xfId="6" applyFont="1" applyBorder="1" applyAlignment="1">
      <alignment horizontal="center"/>
    </xf>
    <xf numFmtId="0" fontId="26" fillId="0" borderId="0" xfId="0" applyFont="1" applyAlignment="1">
      <alignment horizontal="center"/>
    </xf>
    <xf numFmtId="37" fontId="1" fillId="0" borderId="10" xfId="0" applyNumberFormat="1" applyFont="1" applyBorder="1"/>
    <xf numFmtId="0" fontId="36" fillId="0" borderId="0" xfId="0" applyFont="1"/>
    <xf numFmtId="171" fontId="36" fillId="0" borderId="0" xfId="0" applyNumberFormat="1" applyFont="1" applyAlignment="1">
      <alignment horizontal="right" indent="1"/>
    </xf>
    <xf numFmtId="0" fontId="36" fillId="0" borderId="1" xfId="0" applyFont="1" applyBorder="1"/>
    <xf numFmtId="2" fontId="36" fillId="0" borderId="0" xfId="0" applyNumberFormat="1" applyFont="1"/>
    <xf numFmtId="171" fontId="36" fillId="0" borderId="0" xfId="0" applyNumberFormat="1" applyFont="1"/>
    <xf numFmtId="178" fontId="36" fillId="0" borderId="0" xfId="0" applyNumberFormat="1" applyFont="1"/>
    <xf numFmtId="0" fontId="37" fillId="0" borderId="0" xfId="0" applyFont="1"/>
    <xf numFmtId="179" fontId="36" fillId="0" borderId="0" xfId="0" applyNumberFormat="1" applyFont="1"/>
    <xf numFmtId="10" fontId="1" fillId="0" borderId="0" xfId="0" applyNumberFormat="1" applyFont="1"/>
    <xf numFmtId="3" fontId="19" fillId="0" borderId="0" xfId="0" applyNumberFormat="1" applyFont="1" applyAlignment="1">
      <alignment horizontal="center" vertical="center"/>
    </xf>
    <xf numFmtId="3" fontId="38" fillId="0" borderId="0" xfId="0" applyNumberFormat="1" applyFont="1" applyAlignment="1">
      <alignment horizontal="center" vertical="center"/>
    </xf>
    <xf numFmtId="37" fontId="17" fillId="0" borderId="4" xfId="0" applyNumberFormat="1" applyFont="1" applyBorder="1"/>
    <xf numFmtId="9" fontId="0" fillId="0" borderId="0" xfId="3" applyFont="1"/>
    <xf numFmtId="164" fontId="19" fillId="0" borderId="0" xfId="0" applyNumberFormat="1" applyFont="1" applyAlignment="1">
      <alignment horizontal="center" vertical="center"/>
    </xf>
    <xf numFmtId="3" fontId="19" fillId="0" borderId="0" xfId="0" applyNumberFormat="1" applyFont="1" applyAlignment="1">
      <alignment horizontal="center"/>
    </xf>
    <xf numFmtId="165" fontId="19" fillId="0" borderId="0" xfId="1" applyNumberFormat="1" applyFont="1" applyFill="1" applyAlignment="1">
      <alignment horizontal="center" vertical="center"/>
    </xf>
    <xf numFmtId="165" fontId="19" fillId="0" borderId="0" xfId="1" applyNumberFormat="1" applyFont="1" applyBorder="1" applyAlignment="1">
      <alignment horizontal="center" vertical="center"/>
    </xf>
    <xf numFmtId="0" fontId="25" fillId="0" borderId="11" xfId="0" applyFont="1" applyBorder="1" applyAlignment="1">
      <alignment horizontal="center"/>
    </xf>
    <xf numFmtId="0" fontId="26" fillId="0" borderId="0" xfId="0" applyFont="1"/>
    <xf numFmtId="44" fontId="3" fillId="0" borderId="10" xfId="5" applyNumberFormat="1" applyFont="1" applyBorder="1"/>
    <xf numFmtId="165" fontId="3" fillId="0" borderId="0" xfId="5" applyNumberFormat="1" applyFont="1" applyAlignment="1">
      <alignment horizontal="left"/>
    </xf>
    <xf numFmtId="44" fontId="1" fillId="0" borderId="0" xfId="2" applyFont="1"/>
    <xf numFmtId="3" fontId="15" fillId="0" borderId="0" xfId="0" applyNumberFormat="1" applyFont="1" applyAlignment="1">
      <alignment horizontal="center" vertical="center"/>
    </xf>
    <xf numFmtId="43" fontId="15" fillId="0" borderId="11" xfId="1" applyFont="1" applyBorder="1" applyAlignment="1">
      <alignment horizontal="center" vertical="center"/>
    </xf>
    <xf numFmtId="3" fontId="15" fillId="0" borderId="11" xfId="0" applyNumberFormat="1" applyFont="1" applyBorder="1" applyAlignment="1">
      <alignment horizontal="center"/>
    </xf>
    <xf numFmtId="43" fontId="22" fillId="0" borderId="0" xfId="1" applyFont="1" applyFill="1" applyBorder="1" applyAlignment="1">
      <alignment horizontal="center" vertical="center"/>
    </xf>
    <xf numFmtId="165" fontId="3" fillId="0" borderId="1" xfId="5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9" fontId="1" fillId="0" borderId="0" xfId="3" applyFont="1" applyAlignment="1">
      <alignment horizontal="center"/>
    </xf>
    <xf numFmtId="0" fontId="1" fillId="0" borderId="0" xfId="7" applyFont="1" applyAlignment="1">
      <alignment horizontal="center"/>
    </xf>
    <xf numFmtId="0" fontId="1" fillId="0" borderId="1" xfId="7" applyFont="1" applyBorder="1" applyAlignment="1">
      <alignment horizontal="center"/>
    </xf>
    <xf numFmtId="165" fontId="10" fillId="0" borderId="1" xfId="5" applyNumberFormat="1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5" fontId="12" fillId="0" borderId="0" xfId="5" applyNumberFormat="1" applyFont="1" applyBorder="1" applyAlignment="1">
      <alignment horizontal="center"/>
    </xf>
    <xf numFmtId="165" fontId="13" fillId="0" borderId="0" xfId="5" applyNumberFormat="1" applyFont="1" applyBorder="1" applyAlignment="1">
      <alignment horizontal="center"/>
    </xf>
    <xf numFmtId="3" fontId="12" fillId="0" borderId="0" xfId="0" applyNumberFormat="1" applyFont="1" applyAlignment="1">
      <alignment horizontal="center" vertical="center"/>
    </xf>
    <xf numFmtId="165" fontId="1" fillId="0" borderId="0" xfId="5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/>
    </xf>
    <xf numFmtId="3" fontId="26" fillId="0" borderId="0" xfId="0" applyNumberFormat="1" applyFont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39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9" fillId="0" borderId="6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6" xfId="0" applyFont="1" applyBorder="1" applyAlignment="1">
      <alignment horizontal="center"/>
    </xf>
    <xf numFmtId="3" fontId="29" fillId="0" borderId="0" xfId="0" applyNumberFormat="1" applyFont="1" applyAlignment="1">
      <alignment horizontal="center"/>
    </xf>
    <xf numFmtId="3" fontId="29" fillId="0" borderId="6" xfId="0" applyNumberFormat="1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37" fontId="24" fillId="0" borderId="0" xfId="0" applyNumberFormat="1" applyFont="1" applyAlignment="1">
      <alignment horizontal="center"/>
    </xf>
    <xf numFmtId="37" fontId="23" fillId="0" borderId="0" xfId="0" applyNumberFormat="1" applyFont="1" applyAlignment="1">
      <alignment horizontal="center"/>
    </xf>
    <xf numFmtId="37" fontId="23" fillId="0" borderId="4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37" fontId="1" fillId="0" borderId="1" xfId="0" applyNumberFormat="1" applyFont="1" applyBorder="1" applyAlignment="1">
      <alignment horizontal="center"/>
    </xf>
  </cellXfs>
  <cellStyles count="11">
    <cellStyle name="Comma" xfId="1" builtinId="3"/>
    <cellStyle name="Comma 2" xfId="5" xr:uid="{00000000-0005-0000-0000-000001000000}"/>
    <cellStyle name="Comma 3" xfId="10" xr:uid="{964B100D-E3A9-47CF-9DB1-E172C317B171}"/>
    <cellStyle name="Currency" xfId="2" builtinId="4"/>
    <cellStyle name="Currency 2" xfId="4" xr:uid="{00000000-0005-0000-0000-000003000000}"/>
    <cellStyle name="Normal" xfId="0" builtinId="0"/>
    <cellStyle name="Normal 2" xfId="8" xr:uid="{A46DA939-B585-4075-9743-D3ACB57696D9}"/>
    <cellStyle name="Normal 3 2" xfId="9" xr:uid="{9BBE9FE1-A229-4488-A95F-3BA4B361CA53}"/>
    <cellStyle name="Normal_Dep-Analysis-03" xfId="7" xr:uid="{0D3280E2-549C-4B4F-9C99-95B528EDF025}"/>
    <cellStyle name="Percent" xfId="3" builtinId="5"/>
    <cellStyle name="Percent 2" xfId="6" xr:uid="{00000000-0005-0000-0000-000006000000}"/>
  </cellStyles>
  <dxfs count="0"/>
  <tableStyles count="0" defaultTableStyle="TableStyleMedium9" defaultPivotStyle="PivotStyleLight16"/>
  <colors>
    <mruColors>
      <color rgb="FFFFFFCC"/>
      <color rgb="FF59B589"/>
      <color rgb="FFFFFF99"/>
      <color rgb="FFCCFFCC"/>
      <color rgb="FFFFCC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A68"/>
  <sheetViews>
    <sheetView showGridLines="0" tabSelected="1" topLeftCell="F1" zoomScaleNormal="100" workbookViewId="0">
      <selection activeCell="S11" sqref="S11:S12"/>
    </sheetView>
  </sheetViews>
  <sheetFormatPr defaultColWidth="8.88671875" defaultRowHeight="15" x14ac:dyDescent="0.2"/>
  <cols>
    <col min="1" max="1" width="3.6640625" style="12" customWidth="1"/>
    <col min="2" max="2" width="1.77734375" style="12" customWidth="1"/>
    <col min="3" max="4" width="3.6640625" style="54" customWidth="1"/>
    <col min="5" max="5" width="2.6640625" style="54" customWidth="1"/>
    <col min="6" max="6" width="31.77734375" style="54" customWidth="1"/>
    <col min="7" max="7" width="12.77734375" style="54" customWidth="1"/>
    <col min="8" max="8" width="1.77734375" style="54" customWidth="1"/>
    <col min="9" max="9" width="12.77734375" style="54" customWidth="1"/>
    <col min="10" max="10" width="1.77734375" style="54" customWidth="1"/>
    <col min="11" max="11" width="4.88671875" style="50" customWidth="1"/>
    <col min="12" max="12" width="1.77734375" style="50" customWidth="1"/>
    <col min="13" max="13" width="12.77734375" style="54" customWidth="1"/>
    <col min="14" max="14" width="1.5546875" style="54" customWidth="1"/>
    <col min="15" max="15" width="5" style="314" customWidth="1"/>
    <col min="16" max="16" width="9.6640625" style="71" customWidth="1"/>
    <col min="17" max="17" width="11.33203125" style="54" customWidth="1"/>
    <col min="18" max="18" width="9.6640625" style="55" customWidth="1"/>
    <col min="19" max="19" width="18" style="54" customWidth="1"/>
    <col min="20" max="20" width="8.21875" style="54" customWidth="1"/>
    <col min="21" max="261" width="9.6640625" style="54" customWidth="1"/>
    <col min="262" max="263" width="9.6640625" style="12" customWidth="1"/>
    <col min="264" max="16384" width="8.88671875" style="12"/>
  </cols>
  <sheetData>
    <row r="1" spans="2:25" x14ac:dyDescent="0.2">
      <c r="B1" s="12" t="s">
        <v>149</v>
      </c>
      <c r="F1" s="54" t="s">
        <v>231</v>
      </c>
    </row>
    <row r="5" spans="2:25" ht="6.95" customHeight="1" x14ac:dyDescent="0.2">
      <c r="B5" s="33"/>
      <c r="C5" s="51"/>
      <c r="D5" s="51"/>
      <c r="E5" s="51"/>
      <c r="F5" s="51"/>
      <c r="G5" s="51"/>
      <c r="H5" s="51"/>
      <c r="I5" s="51"/>
      <c r="J5" s="51"/>
      <c r="K5" s="52"/>
      <c r="L5" s="52"/>
      <c r="M5" s="51"/>
      <c r="N5" s="53"/>
    </row>
    <row r="6" spans="2:25" ht="15.75" x14ac:dyDescent="0.2">
      <c r="B6" s="34"/>
      <c r="C6" s="323" t="s">
        <v>16</v>
      </c>
      <c r="D6" s="323"/>
      <c r="E6" s="323"/>
      <c r="F6" s="323"/>
      <c r="G6" s="323"/>
      <c r="H6" s="323"/>
      <c r="I6" s="323"/>
      <c r="J6" s="323"/>
      <c r="K6" s="323"/>
      <c r="L6" s="323"/>
      <c r="M6" s="323"/>
      <c r="N6" s="57"/>
      <c r="Q6" s="58"/>
      <c r="R6" s="59"/>
      <c r="S6" s="58"/>
      <c r="T6" s="58"/>
      <c r="U6" s="58"/>
      <c r="V6" s="58"/>
    </row>
    <row r="7" spans="2:25" ht="18.75" customHeight="1" x14ac:dyDescent="0.2">
      <c r="B7" s="34"/>
      <c r="C7" s="323" t="str">
        <f>F1</f>
        <v>Graves County Water District</v>
      </c>
      <c r="D7" s="323"/>
      <c r="E7" s="323"/>
      <c r="F7" s="323"/>
      <c r="G7" s="323"/>
      <c r="H7" s="323"/>
      <c r="I7" s="323"/>
      <c r="J7" s="323"/>
      <c r="K7" s="323"/>
      <c r="L7" s="323"/>
      <c r="M7" s="323"/>
      <c r="N7" s="60"/>
      <c r="Q7" s="12"/>
      <c r="R7" s="59"/>
      <c r="S7" s="56"/>
      <c r="T7" s="56"/>
      <c r="U7" s="56"/>
      <c r="V7" s="56"/>
      <c r="W7" s="56"/>
      <c r="X7" s="56"/>
      <c r="Y7" s="56"/>
    </row>
    <row r="8" spans="2:25" ht="6.95" customHeight="1" x14ac:dyDescent="0.2">
      <c r="B8" s="35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2"/>
      <c r="Q8" s="12"/>
      <c r="R8" s="59"/>
      <c r="S8" s="56"/>
      <c r="T8" s="56"/>
      <c r="U8" s="56"/>
      <c r="V8" s="56"/>
      <c r="W8" s="56"/>
      <c r="X8" s="56"/>
      <c r="Y8" s="56"/>
    </row>
    <row r="9" spans="2:25" ht="6.95" customHeight="1" x14ac:dyDescent="0.2">
      <c r="B9" s="34"/>
      <c r="C9" s="58"/>
      <c r="D9" s="58"/>
      <c r="E9" s="58"/>
      <c r="F9" s="58"/>
      <c r="G9" s="63"/>
      <c r="H9" s="63"/>
      <c r="I9" s="63"/>
      <c r="J9" s="63"/>
      <c r="K9" s="63"/>
      <c r="L9" s="63"/>
      <c r="M9" s="63"/>
      <c r="N9" s="64"/>
      <c r="Q9" s="58"/>
      <c r="R9" s="59"/>
      <c r="S9" s="58"/>
      <c r="T9" s="58"/>
      <c r="U9" s="58"/>
      <c r="V9" s="58"/>
    </row>
    <row r="10" spans="2:25" ht="15.75" x14ac:dyDescent="0.2">
      <c r="B10" s="34"/>
      <c r="C10" s="58"/>
      <c r="D10" s="58"/>
      <c r="E10" s="58"/>
      <c r="F10" s="58"/>
      <c r="G10" s="61" t="s">
        <v>36</v>
      </c>
      <c r="H10" s="63"/>
      <c r="I10" s="61" t="s">
        <v>15</v>
      </c>
      <c r="J10" s="63"/>
      <c r="K10" s="61" t="s">
        <v>27</v>
      </c>
      <c r="L10" s="63"/>
      <c r="M10" s="61" t="s">
        <v>35</v>
      </c>
      <c r="N10" s="64"/>
      <c r="Q10" s="59"/>
      <c r="R10" s="59"/>
      <c r="S10" s="59"/>
      <c r="T10" s="58"/>
      <c r="U10" s="58"/>
      <c r="V10" s="58"/>
    </row>
    <row r="11" spans="2:25" x14ac:dyDescent="0.2">
      <c r="B11" s="34"/>
      <c r="C11" s="65" t="s">
        <v>2</v>
      </c>
      <c r="D11" s="65"/>
      <c r="E11" s="58"/>
      <c r="F11" s="58"/>
      <c r="G11" s="58"/>
      <c r="H11" s="58"/>
      <c r="I11" s="58"/>
      <c r="J11" s="58"/>
      <c r="K11" s="66"/>
      <c r="L11" s="66"/>
      <c r="M11" s="58"/>
      <c r="N11" s="67"/>
      <c r="Q11" s="59"/>
      <c r="R11" s="59"/>
      <c r="S11" s="59"/>
      <c r="T11" s="58"/>
      <c r="U11" s="58"/>
      <c r="V11" s="58"/>
    </row>
    <row r="12" spans="2:25" x14ac:dyDescent="0.2">
      <c r="B12" s="34"/>
      <c r="C12" s="58"/>
      <c r="D12" s="58" t="s">
        <v>168</v>
      </c>
      <c r="E12" s="58"/>
      <c r="G12" s="125">
        <v>2171725</v>
      </c>
      <c r="H12" s="68"/>
      <c r="I12" s="125">
        <f>ExBA!H18</f>
        <v>-284700</v>
      </c>
      <c r="J12" s="68"/>
      <c r="K12" s="69" t="s">
        <v>234</v>
      </c>
      <c r="L12" s="69"/>
      <c r="M12" s="12"/>
      <c r="N12" s="70"/>
      <c r="O12" s="314" t="s">
        <v>268</v>
      </c>
      <c r="P12" s="173" t="s">
        <v>267</v>
      </c>
      <c r="Q12" s="59"/>
      <c r="R12" s="59"/>
      <c r="S12" s="59"/>
      <c r="T12" s="58"/>
      <c r="U12" s="58"/>
      <c r="V12" s="58"/>
    </row>
    <row r="13" spans="2:25" x14ac:dyDescent="0.2">
      <c r="B13" s="34"/>
      <c r="C13" s="58"/>
      <c r="D13" s="58"/>
      <c r="E13" s="58"/>
      <c r="G13" s="125"/>
      <c r="H13" s="68"/>
      <c r="I13" s="74">
        <f>ExBA!H19</f>
        <v>-7225</v>
      </c>
      <c r="J13" s="68"/>
      <c r="K13" s="69" t="s">
        <v>235</v>
      </c>
      <c r="L13" s="69"/>
      <c r="M13" s="12"/>
      <c r="N13" s="70"/>
      <c r="O13" s="314" t="s">
        <v>269</v>
      </c>
      <c r="P13" s="71" t="s">
        <v>270</v>
      </c>
      <c r="Q13" s="59"/>
      <c r="R13" s="59"/>
      <c r="S13" s="59"/>
      <c r="T13" s="58"/>
      <c r="U13" s="58"/>
      <c r="V13" s="58"/>
    </row>
    <row r="14" spans="2:25" x14ac:dyDescent="0.2">
      <c r="B14" s="34"/>
      <c r="C14" s="58"/>
      <c r="D14" s="58"/>
      <c r="E14" s="58"/>
      <c r="G14" s="125"/>
      <c r="H14" s="68"/>
      <c r="I14" s="30">
        <f>SUM(ExBA!H20:H22)</f>
        <v>-2729</v>
      </c>
      <c r="J14" s="68"/>
      <c r="K14" s="69" t="s">
        <v>236</v>
      </c>
      <c r="L14" s="69"/>
      <c r="M14" s="12"/>
      <c r="N14" s="70"/>
      <c r="O14" s="314" t="s">
        <v>236</v>
      </c>
      <c r="P14" s="71" t="s">
        <v>167</v>
      </c>
      <c r="Q14" s="59"/>
      <c r="R14" s="59"/>
      <c r="S14" s="59"/>
      <c r="T14" s="58"/>
      <c r="U14" s="58"/>
      <c r="V14" s="58"/>
    </row>
    <row r="15" spans="2:25" x14ac:dyDescent="0.2">
      <c r="B15" s="34"/>
      <c r="C15" s="58"/>
      <c r="D15" s="58"/>
      <c r="E15" s="58"/>
      <c r="G15" s="74"/>
      <c r="H15" s="68"/>
      <c r="I15" s="74">
        <f>ExBA!H14</f>
        <v>-98.325799999758601</v>
      </c>
      <c r="J15" s="68"/>
      <c r="K15" s="69" t="s">
        <v>237</v>
      </c>
      <c r="L15" s="69"/>
      <c r="M15" s="125">
        <f>SUM(G12,I12,I13,I14,I15)</f>
        <v>1876972.6742000002</v>
      </c>
      <c r="N15" s="70"/>
      <c r="O15" s="314" t="s">
        <v>237</v>
      </c>
      <c r="P15" s="71" t="s">
        <v>152</v>
      </c>
      <c r="Q15" s="59"/>
      <c r="R15" s="59"/>
      <c r="S15" s="59"/>
      <c r="T15" s="58"/>
      <c r="U15" s="58"/>
      <c r="V15" s="58"/>
    </row>
    <row r="16" spans="2:25" x14ac:dyDescent="0.2">
      <c r="B16" s="34"/>
      <c r="C16" s="58"/>
      <c r="D16" s="58" t="s">
        <v>21</v>
      </c>
      <c r="E16" s="58"/>
      <c r="G16" s="268"/>
      <c r="H16" s="74"/>
      <c r="I16" s="74"/>
      <c r="J16" s="72"/>
      <c r="K16" s="75"/>
      <c r="L16" s="75"/>
      <c r="M16" s="74"/>
      <c r="N16" s="70"/>
      <c r="Q16" s="59"/>
      <c r="R16" s="59"/>
      <c r="S16" s="59"/>
      <c r="T16" s="58"/>
      <c r="U16" s="58"/>
      <c r="V16" s="58"/>
    </row>
    <row r="17" spans="2:22" x14ac:dyDescent="0.2">
      <c r="B17" s="34"/>
      <c r="C17" s="58"/>
      <c r="D17" s="58"/>
      <c r="E17" s="58" t="s">
        <v>19</v>
      </c>
      <c r="G17" s="268"/>
      <c r="H17" s="72"/>
      <c r="I17" s="268">
        <f>-ExBA!$H21</f>
        <v>622</v>
      </c>
      <c r="J17" s="72"/>
      <c r="K17" s="75" t="s">
        <v>236</v>
      </c>
      <c r="L17" s="75"/>
      <c r="M17" s="72">
        <f>G17+I17</f>
        <v>622</v>
      </c>
      <c r="N17" s="73"/>
      <c r="O17" s="314" t="s">
        <v>236</v>
      </c>
      <c r="P17" s="71" t="s">
        <v>167</v>
      </c>
      <c r="Q17" s="59"/>
      <c r="R17" s="59"/>
      <c r="S17" s="76"/>
      <c r="T17" s="58"/>
      <c r="U17" s="58"/>
      <c r="V17" s="58"/>
    </row>
    <row r="18" spans="2:22" x14ac:dyDescent="0.2">
      <c r="B18" s="34"/>
      <c r="C18" s="58"/>
      <c r="D18" s="58"/>
      <c r="E18" s="58" t="s">
        <v>20</v>
      </c>
      <c r="G18" s="268">
        <v>104961</v>
      </c>
      <c r="H18" s="72"/>
      <c r="I18" s="268"/>
      <c r="J18" s="72"/>
      <c r="K18" s="75"/>
      <c r="L18" s="75"/>
      <c r="M18" s="72">
        <f t="shared" ref="M18:M19" si="0">G18+I18</f>
        <v>104961</v>
      </c>
      <c r="N18" s="73"/>
      <c r="Q18" s="59"/>
      <c r="S18" s="77"/>
      <c r="T18" s="78"/>
      <c r="U18" s="58"/>
      <c r="V18" s="58"/>
    </row>
    <row r="19" spans="2:22" x14ac:dyDescent="0.2">
      <c r="B19" s="34"/>
      <c r="C19" s="58"/>
      <c r="D19" s="58"/>
      <c r="E19" s="12" t="s">
        <v>265</v>
      </c>
      <c r="G19" s="268"/>
      <c r="H19" s="72"/>
      <c r="I19" s="268">
        <f>-ExBA!$H22</f>
        <v>1400</v>
      </c>
      <c r="J19" s="72"/>
      <c r="K19" s="75" t="s">
        <v>236</v>
      </c>
      <c r="L19" s="75"/>
      <c r="M19" s="72">
        <f t="shared" si="0"/>
        <v>1400</v>
      </c>
      <c r="N19" s="73"/>
      <c r="O19" s="314" t="s">
        <v>236</v>
      </c>
      <c r="P19" s="71" t="s">
        <v>167</v>
      </c>
      <c r="Q19" s="59"/>
      <c r="S19" s="77"/>
      <c r="T19" s="78"/>
      <c r="U19" s="58"/>
      <c r="V19" s="58"/>
    </row>
    <row r="20" spans="2:22" ht="17.25" x14ac:dyDescent="0.2">
      <c r="B20" s="34"/>
      <c r="C20" s="58"/>
      <c r="D20" s="58"/>
      <c r="E20" s="12" t="s">
        <v>43</v>
      </c>
      <c r="G20" s="79"/>
      <c r="H20" s="72"/>
      <c r="I20" s="79">
        <f>-ExBA!$H20</f>
        <v>707</v>
      </c>
      <c r="J20" s="72"/>
      <c r="K20" s="75" t="s">
        <v>236</v>
      </c>
      <c r="L20" s="75"/>
      <c r="M20" s="79">
        <f>G20+I20</f>
        <v>707</v>
      </c>
      <c r="N20" s="80"/>
      <c r="O20" s="314" t="s">
        <v>236</v>
      </c>
      <c r="P20" s="71" t="s">
        <v>167</v>
      </c>
      <c r="Q20" s="59"/>
      <c r="S20" s="77"/>
      <c r="T20" s="81"/>
      <c r="U20" s="58"/>
      <c r="V20" s="58"/>
    </row>
    <row r="21" spans="2:22" ht="15.75" x14ac:dyDescent="0.2">
      <c r="B21" s="34"/>
      <c r="D21" s="82"/>
      <c r="E21" s="58"/>
      <c r="F21" s="82" t="s">
        <v>3</v>
      </c>
      <c r="G21" s="132">
        <f>SUM(G12:G20)</f>
        <v>2276686</v>
      </c>
      <c r="H21" s="74"/>
      <c r="I21" s="132">
        <f>SUM(I12:I20)</f>
        <v>-292023.32579999976</v>
      </c>
      <c r="J21" s="74"/>
      <c r="K21" s="75"/>
      <c r="L21" s="75"/>
      <c r="M21" s="132">
        <f>SUM(M15:M20)</f>
        <v>1984662.6742000002</v>
      </c>
      <c r="N21" s="70"/>
      <c r="Q21" s="59"/>
      <c r="S21" s="77"/>
      <c r="T21" s="81"/>
      <c r="U21" s="58"/>
      <c r="V21" s="58"/>
    </row>
    <row r="22" spans="2:22" x14ac:dyDescent="0.2">
      <c r="B22" s="34"/>
      <c r="C22" s="58"/>
      <c r="D22" s="58"/>
      <c r="E22" s="58"/>
      <c r="F22" s="58"/>
      <c r="G22" s="74"/>
      <c r="H22" s="74"/>
      <c r="I22" s="72"/>
      <c r="J22" s="72"/>
      <c r="K22" s="75"/>
      <c r="L22" s="75"/>
      <c r="M22" s="74"/>
      <c r="N22" s="83"/>
      <c r="Q22" s="59"/>
      <c r="S22" s="77"/>
      <c r="T22" s="81"/>
      <c r="U22" s="58"/>
      <c r="V22" s="58"/>
    </row>
    <row r="23" spans="2:22" ht="17.25" x14ac:dyDescent="0.2">
      <c r="B23" s="34"/>
      <c r="C23" s="65" t="s">
        <v>4</v>
      </c>
      <c r="D23" s="65"/>
      <c r="E23" s="58"/>
      <c r="F23" s="58"/>
      <c r="G23" s="74"/>
      <c r="H23" s="74"/>
      <c r="I23" s="72"/>
      <c r="J23" s="72"/>
      <c r="K23" s="75"/>
      <c r="L23" s="75"/>
      <c r="M23" s="74"/>
      <c r="N23" s="83"/>
      <c r="Q23" s="59"/>
      <c r="S23" s="77"/>
      <c r="T23" s="84"/>
      <c r="U23" s="58"/>
      <c r="V23" s="58"/>
    </row>
    <row r="24" spans="2:22" ht="17.25" x14ac:dyDescent="0.2">
      <c r="B24" s="34"/>
      <c r="C24" s="58"/>
      <c r="D24" s="58" t="s">
        <v>7</v>
      </c>
      <c r="E24" s="58"/>
      <c r="G24" s="72"/>
      <c r="H24" s="72"/>
      <c r="I24" s="72"/>
      <c r="J24" s="72"/>
      <c r="K24" s="75"/>
      <c r="L24" s="75"/>
      <c r="M24" s="74"/>
      <c r="N24" s="83"/>
      <c r="Q24" s="85"/>
      <c r="S24" s="77"/>
      <c r="T24" s="78"/>
      <c r="U24" s="58"/>
      <c r="V24" s="58"/>
    </row>
    <row r="25" spans="2:22" x14ac:dyDescent="0.2">
      <c r="B25" s="34"/>
      <c r="C25" s="58"/>
      <c r="D25" s="58"/>
      <c r="E25" s="58" t="s">
        <v>11</v>
      </c>
      <c r="G25" s="72">
        <v>0</v>
      </c>
      <c r="H25" s="72"/>
      <c r="I25" s="72"/>
      <c r="J25" s="72"/>
      <c r="K25" s="75"/>
      <c r="L25" s="75"/>
      <c r="M25" s="74">
        <f>SUM(G25,I25)</f>
        <v>0</v>
      </c>
      <c r="N25" s="83"/>
      <c r="Q25" s="59"/>
      <c r="S25" s="76"/>
      <c r="T25" s="58"/>
      <c r="U25" s="58"/>
      <c r="V25" s="58"/>
    </row>
    <row r="26" spans="2:22" x14ac:dyDescent="0.2">
      <c r="B26" s="34"/>
      <c r="C26" s="58"/>
      <c r="D26" s="58"/>
      <c r="E26" s="58" t="s">
        <v>172</v>
      </c>
      <c r="G26" s="72">
        <v>22225</v>
      </c>
      <c r="H26" s="72"/>
      <c r="I26" s="72"/>
      <c r="J26" s="72"/>
      <c r="K26" s="75"/>
      <c r="L26" s="75"/>
      <c r="M26" s="74">
        <f>SUM(G26,I26)</f>
        <v>22225</v>
      </c>
      <c r="N26" s="83"/>
      <c r="Q26" s="59"/>
      <c r="S26" s="76"/>
      <c r="T26" s="58"/>
      <c r="U26" s="58"/>
      <c r="V26" s="58"/>
    </row>
    <row r="27" spans="2:22" x14ac:dyDescent="0.2">
      <c r="B27" s="34"/>
      <c r="C27" s="58"/>
      <c r="D27" s="58"/>
      <c r="E27" s="58" t="s">
        <v>12</v>
      </c>
      <c r="G27" s="72">
        <v>312335</v>
      </c>
      <c r="H27" s="72"/>
      <c r="I27" s="72">
        <f>'Water Rate Inc'!F18</f>
        <v>12505</v>
      </c>
      <c r="J27" s="72"/>
      <c r="K27" s="75" t="s">
        <v>272</v>
      </c>
      <c r="L27" s="75"/>
      <c r="M27" s="74"/>
      <c r="N27" s="83"/>
      <c r="O27" s="314" t="s">
        <v>272</v>
      </c>
      <c r="P27" s="71" t="s">
        <v>224</v>
      </c>
      <c r="Q27" s="55"/>
      <c r="R27" s="59"/>
      <c r="U27" s="58"/>
      <c r="V27" s="58"/>
    </row>
    <row r="28" spans="2:22" x14ac:dyDescent="0.2">
      <c r="B28" s="34"/>
      <c r="C28" s="58"/>
      <c r="D28" s="58"/>
      <c r="E28" s="58"/>
      <c r="G28" s="72"/>
      <c r="H28" s="72"/>
      <c r="I28" s="72">
        <f>'Cost Excess Water Loss'!C42</f>
        <v>-55036</v>
      </c>
      <c r="J28" s="72"/>
      <c r="K28" s="75" t="s">
        <v>273</v>
      </c>
      <c r="L28" s="75"/>
      <c r="M28" s="74">
        <f>SUM(G27,I27,I28)</f>
        <v>269804</v>
      </c>
      <c r="N28" s="83"/>
      <c r="O28" s="314" t="s">
        <v>273</v>
      </c>
      <c r="P28" s="71" t="s">
        <v>153</v>
      </c>
      <c r="Q28" s="55"/>
      <c r="R28" s="59"/>
      <c r="U28" s="58"/>
      <c r="V28" s="58"/>
    </row>
    <row r="29" spans="2:22" x14ac:dyDescent="0.2">
      <c r="B29" s="34"/>
      <c r="C29" s="58"/>
      <c r="D29" s="58"/>
      <c r="E29" s="58" t="s">
        <v>13</v>
      </c>
      <c r="G29" s="72">
        <v>103380</v>
      </c>
      <c r="H29" s="72"/>
      <c r="I29" s="72">
        <f>'Cost Excess Water Loss'!E42</f>
        <v>-17516</v>
      </c>
      <c r="J29" s="72"/>
      <c r="K29" s="75" t="s">
        <v>273</v>
      </c>
      <c r="L29" s="75"/>
      <c r="M29" s="74">
        <f t="shared" ref="M29:M38" si="1">SUM(G29,I29)</f>
        <v>85864</v>
      </c>
      <c r="N29" s="83"/>
      <c r="O29" s="314" t="s">
        <v>273</v>
      </c>
      <c r="P29" s="71" t="s">
        <v>153</v>
      </c>
      <c r="Q29" s="55"/>
      <c r="R29" s="59"/>
      <c r="U29" s="58"/>
      <c r="V29" s="58"/>
    </row>
    <row r="30" spans="2:22" x14ac:dyDescent="0.2">
      <c r="B30" s="34"/>
      <c r="C30" s="58"/>
      <c r="D30" s="58"/>
      <c r="E30" s="58" t="s">
        <v>176</v>
      </c>
      <c r="G30" s="72">
        <v>145723</v>
      </c>
      <c r="H30" s="72"/>
      <c r="I30" s="72">
        <f>'Cost Excess Water Loss'!D42</f>
        <v>-24690</v>
      </c>
      <c r="J30" s="72"/>
      <c r="K30" s="75" t="s">
        <v>273</v>
      </c>
      <c r="L30" s="86"/>
      <c r="M30" s="74">
        <f t="shared" si="1"/>
        <v>121033</v>
      </c>
      <c r="N30" s="83"/>
      <c r="O30" s="314" t="s">
        <v>273</v>
      </c>
      <c r="P30" s="71" t="s">
        <v>153</v>
      </c>
      <c r="Q30" s="55"/>
      <c r="R30" s="59"/>
      <c r="U30" s="58"/>
      <c r="V30" s="58"/>
    </row>
    <row r="31" spans="2:22" x14ac:dyDescent="0.2">
      <c r="B31" s="34"/>
      <c r="C31" s="58"/>
      <c r="D31" s="58"/>
      <c r="E31" s="58" t="s">
        <v>31</v>
      </c>
      <c r="G31" s="72">
        <v>198131</v>
      </c>
      <c r="H31" s="72"/>
      <c r="I31" s="72"/>
      <c r="J31" s="72"/>
      <c r="K31" s="86"/>
      <c r="L31" s="86"/>
      <c r="M31" s="74">
        <f t="shared" si="1"/>
        <v>198131</v>
      </c>
      <c r="N31" s="83"/>
      <c r="Q31" s="59"/>
      <c r="R31" s="87"/>
      <c r="S31" s="59"/>
      <c r="T31" s="58"/>
      <c r="U31" s="58"/>
      <c r="V31" s="58"/>
    </row>
    <row r="32" spans="2:22" x14ac:dyDescent="0.2">
      <c r="B32" s="34"/>
      <c r="C32" s="58"/>
      <c r="D32" s="58"/>
      <c r="E32" s="58" t="s">
        <v>87</v>
      </c>
      <c r="G32" s="72"/>
      <c r="H32" s="72"/>
      <c r="I32" s="72"/>
      <c r="J32" s="72"/>
      <c r="K32" s="75"/>
      <c r="L32" s="75"/>
      <c r="M32" s="74">
        <f t="shared" si="1"/>
        <v>0</v>
      </c>
      <c r="N32" s="83"/>
      <c r="Q32" s="59"/>
      <c r="R32" s="59"/>
      <c r="S32" s="59"/>
      <c r="T32" s="58"/>
      <c r="U32" s="58"/>
      <c r="V32" s="58"/>
    </row>
    <row r="33" spans="2:22" x14ac:dyDescent="0.2">
      <c r="B33" s="34"/>
      <c r="C33" s="58"/>
      <c r="D33" s="58"/>
      <c r="E33" s="58" t="s">
        <v>88</v>
      </c>
      <c r="G33" s="72"/>
      <c r="H33" s="72"/>
      <c r="I33" s="72"/>
      <c r="J33" s="72"/>
      <c r="K33" s="75"/>
      <c r="L33" s="75"/>
      <c r="M33" s="74">
        <f t="shared" si="1"/>
        <v>0</v>
      </c>
      <c r="N33" s="83"/>
      <c r="Q33" s="59"/>
      <c r="R33" s="59"/>
      <c r="S33" s="59"/>
      <c r="T33" s="58"/>
      <c r="U33" s="58"/>
      <c r="V33" s="58"/>
    </row>
    <row r="34" spans="2:22" x14ac:dyDescent="0.2">
      <c r="B34" s="34"/>
      <c r="C34" s="58"/>
      <c r="D34" s="58"/>
      <c r="E34" s="58" t="s">
        <v>173</v>
      </c>
      <c r="G34" s="72">
        <v>1112225</v>
      </c>
      <c r="H34" s="72"/>
      <c r="I34" s="72">
        <f>'Contractual Services'!F9</f>
        <v>111223</v>
      </c>
      <c r="J34" s="72"/>
      <c r="K34" s="75" t="s">
        <v>165</v>
      </c>
      <c r="L34" s="75"/>
      <c r="M34" s="74">
        <f t="shared" si="1"/>
        <v>1223448</v>
      </c>
      <c r="N34" s="83"/>
      <c r="O34" s="314" t="s">
        <v>165</v>
      </c>
      <c r="P34" s="71" t="s">
        <v>284</v>
      </c>
      <c r="Q34" s="59"/>
      <c r="R34" s="59"/>
      <c r="S34" s="59"/>
      <c r="T34" s="58"/>
      <c r="U34" s="58"/>
      <c r="V34" s="58"/>
    </row>
    <row r="35" spans="2:22" x14ac:dyDescent="0.2">
      <c r="B35" s="34"/>
      <c r="C35" s="58"/>
      <c r="D35" s="58"/>
      <c r="E35" s="58" t="s">
        <v>175</v>
      </c>
      <c r="G35" s="72">
        <v>127750</v>
      </c>
      <c r="H35" s="72"/>
      <c r="I35" s="72"/>
      <c r="J35" s="72"/>
      <c r="K35" s="75"/>
      <c r="L35" s="75"/>
      <c r="M35" s="74">
        <f t="shared" si="1"/>
        <v>127750</v>
      </c>
      <c r="N35" s="83"/>
      <c r="Q35" s="59"/>
      <c r="R35" s="59"/>
      <c r="S35" s="59"/>
      <c r="T35" s="58"/>
      <c r="U35" s="58"/>
      <c r="V35" s="58"/>
    </row>
    <row r="36" spans="2:22" x14ac:dyDescent="0.2">
      <c r="B36" s="34"/>
      <c r="C36" s="58"/>
      <c r="D36" s="58"/>
      <c r="E36" s="58" t="s">
        <v>72</v>
      </c>
      <c r="G36" s="72">
        <v>25440</v>
      </c>
      <c r="H36" s="72"/>
      <c r="I36" s="72"/>
      <c r="J36" s="72"/>
      <c r="K36" s="75"/>
      <c r="L36" s="75"/>
      <c r="M36" s="74">
        <f t="shared" si="1"/>
        <v>25440</v>
      </c>
      <c r="N36" s="83"/>
      <c r="Q36" s="59"/>
      <c r="R36" s="88"/>
      <c r="S36" s="59"/>
      <c r="T36" s="58"/>
      <c r="U36" s="58"/>
      <c r="V36" s="58"/>
    </row>
    <row r="37" spans="2:22" x14ac:dyDescent="0.2">
      <c r="B37" s="34"/>
      <c r="C37" s="58"/>
      <c r="D37" s="58"/>
      <c r="E37" s="58" t="s">
        <v>174</v>
      </c>
      <c r="G37" s="72">
        <v>23233</v>
      </c>
      <c r="H37" s="72"/>
      <c r="I37" s="72"/>
      <c r="J37" s="72"/>
      <c r="K37" s="75"/>
      <c r="L37" s="75"/>
      <c r="M37" s="74">
        <f t="shared" si="1"/>
        <v>23233</v>
      </c>
      <c r="N37" s="83"/>
      <c r="Q37" s="59"/>
      <c r="R37" s="88"/>
      <c r="S37" s="59"/>
      <c r="T37" s="58"/>
      <c r="U37" s="58"/>
      <c r="V37" s="58"/>
    </row>
    <row r="38" spans="2:22" ht="17.25" x14ac:dyDescent="0.2">
      <c r="B38" s="34"/>
      <c r="C38" s="58"/>
      <c r="E38" s="58" t="s">
        <v>14</v>
      </c>
      <c r="G38" s="79">
        <v>39189</v>
      </c>
      <c r="H38" s="72"/>
      <c r="I38" s="89"/>
      <c r="J38" s="111"/>
      <c r="K38" s="86"/>
      <c r="L38" s="86"/>
      <c r="M38" s="90">
        <f t="shared" si="1"/>
        <v>39189</v>
      </c>
      <c r="N38" s="80"/>
      <c r="Q38" s="59"/>
      <c r="R38" s="88"/>
      <c r="S38" s="59"/>
      <c r="T38" s="58"/>
      <c r="U38" s="58"/>
      <c r="V38" s="58"/>
    </row>
    <row r="39" spans="2:22" ht="15.75" x14ac:dyDescent="0.2">
      <c r="B39" s="34"/>
      <c r="C39" s="58"/>
      <c r="E39" s="58"/>
      <c r="F39" s="82" t="s">
        <v>8</v>
      </c>
      <c r="G39" s="72">
        <f>SUM(G25:G38)</f>
        <v>2109631</v>
      </c>
      <c r="H39" s="72"/>
      <c r="I39" s="72">
        <f>SUM(I25:I38)</f>
        <v>26486</v>
      </c>
      <c r="J39" s="72"/>
      <c r="K39" s="75"/>
      <c r="L39" s="75"/>
      <c r="M39" s="72">
        <f>SUM(M25:M38)</f>
        <v>2136117</v>
      </c>
      <c r="N39" s="83"/>
      <c r="Q39" s="59"/>
      <c r="R39" s="88"/>
      <c r="S39" s="59"/>
      <c r="T39" s="58"/>
      <c r="U39" s="58"/>
      <c r="V39" s="58"/>
    </row>
    <row r="40" spans="2:22" x14ac:dyDescent="0.2">
      <c r="B40" s="34"/>
      <c r="C40" s="58"/>
      <c r="D40" s="58" t="s">
        <v>9</v>
      </c>
      <c r="G40" s="72">
        <v>341954</v>
      </c>
      <c r="H40" s="72"/>
      <c r="I40" s="72"/>
      <c r="J40" s="72"/>
      <c r="K40" s="86"/>
      <c r="L40" s="86"/>
      <c r="M40" s="74">
        <f t="shared" ref="M40:M41" si="2">G40+I40</f>
        <v>341954</v>
      </c>
      <c r="N40" s="83"/>
      <c r="Q40" s="59"/>
      <c r="R40" s="88"/>
      <c r="S40" s="59"/>
      <c r="T40" s="58"/>
      <c r="U40" s="58"/>
      <c r="V40" s="58"/>
    </row>
    <row r="41" spans="2:22" ht="17.25" x14ac:dyDescent="0.2">
      <c r="B41" s="34"/>
      <c r="C41" s="58"/>
      <c r="D41" s="58" t="s">
        <v>10</v>
      </c>
      <c r="E41" s="58"/>
      <c r="G41" s="90">
        <v>5249</v>
      </c>
      <c r="H41" s="74"/>
      <c r="I41" s="90"/>
      <c r="J41" s="74"/>
      <c r="K41" s="75"/>
      <c r="L41" s="75"/>
      <c r="M41" s="90">
        <f t="shared" si="2"/>
        <v>5249</v>
      </c>
      <c r="N41" s="80"/>
      <c r="Q41" s="59"/>
      <c r="R41" s="88"/>
      <c r="S41" s="59"/>
      <c r="T41" s="58"/>
      <c r="U41" s="58"/>
      <c r="V41" s="58"/>
    </row>
    <row r="42" spans="2:22" ht="15.75" x14ac:dyDescent="0.2">
      <c r="B42" s="34"/>
      <c r="D42" s="82"/>
      <c r="E42" s="82" t="s">
        <v>5</v>
      </c>
      <c r="F42" s="58"/>
      <c r="G42" s="79">
        <f>SUM(G39:G41)</f>
        <v>2456834</v>
      </c>
      <c r="H42" s="72"/>
      <c r="I42" s="89">
        <f>SUM(I39:I41)</f>
        <v>26486</v>
      </c>
      <c r="J42" s="111"/>
      <c r="K42" s="86"/>
      <c r="L42" s="86"/>
      <c r="M42" s="79">
        <f>SUM(M39:M41)</f>
        <v>2483320</v>
      </c>
      <c r="N42" s="70"/>
      <c r="Q42" s="59"/>
      <c r="R42" s="88"/>
      <c r="S42" s="59"/>
      <c r="T42" s="58"/>
      <c r="U42" s="58"/>
      <c r="V42" s="58"/>
    </row>
    <row r="43" spans="2:22" ht="16.5" thickBot="1" x14ac:dyDescent="0.25">
      <c r="B43" s="34"/>
      <c r="C43" s="82" t="s">
        <v>17</v>
      </c>
      <c r="D43" s="82"/>
      <c r="E43" s="58"/>
      <c r="F43" s="58"/>
      <c r="G43" s="91">
        <f>G21-G42</f>
        <v>-180148</v>
      </c>
      <c r="H43" s="92"/>
      <c r="I43" s="91">
        <f>I21-I42</f>
        <v>-318509.32579999976</v>
      </c>
      <c r="J43" s="92"/>
      <c r="K43" s="66"/>
      <c r="L43" s="66"/>
      <c r="M43" s="91">
        <f>M21-M42</f>
        <v>-498657.32579999976</v>
      </c>
      <c r="N43" s="70"/>
      <c r="Q43" s="59"/>
      <c r="R43" s="88"/>
      <c r="S43" s="59"/>
      <c r="T43" s="58"/>
      <c r="U43" s="58"/>
      <c r="V43" s="58"/>
    </row>
    <row r="44" spans="2:22" ht="15.75" thickTop="1" x14ac:dyDescent="0.2">
      <c r="B44" s="35"/>
      <c r="C44" s="104"/>
      <c r="D44" s="104"/>
      <c r="E44" s="104"/>
      <c r="F44" s="104"/>
      <c r="G44" s="105"/>
      <c r="H44" s="105"/>
      <c r="I44" s="104"/>
      <c r="J44" s="104"/>
      <c r="K44" s="106"/>
      <c r="L44" s="106"/>
      <c r="M44" s="105"/>
      <c r="N44" s="107"/>
      <c r="Q44" s="59"/>
      <c r="R44" s="88"/>
      <c r="S44" s="59"/>
      <c r="T44" s="58"/>
      <c r="U44" s="58"/>
      <c r="V44" s="58"/>
    </row>
    <row r="45" spans="2:22" ht="15.75" x14ac:dyDescent="0.2">
      <c r="B45" s="34"/>
      <c r="C45" s="324" t="s">
        <v>26</v>
      </c>
      <c r="D45" s="324"/>
      <c r="E45" s="324"/>
      <c r="F45" s="324"/>
      <c r="G45" s="324"/>
      <c r="H45" s="324"/>
      <c r="I45" s="324"/>
      <c r="J45" s="324"/>
      <c r="K45" s="324"/>
      <c r="L45" s="324"/>
      <c r="M45" s="324"/>
      <c r="N45" s="60"/>
      <c r="Q45" s="59"/>
      <c r="R45" s="88"/>
      <c r="S45" s="59"/>
      <c r="T45" s="58"/>
      <c r="U45" s="58"/>
      <c r="V45" s="58"/>
    </row>
    <row r="46" spans="2:22" ht="15.75" x14ac:dyDescent="0.2">
      <c r="B46" s="34"/>
      <c r="C46" s="82" t="s">
        <v>6</v>
      </c>
      <c r="D46" s="82"/>
      <c r="E46" s="58"/>
      <c r="F46" s="58"/>
      <c r="I46" s="58"/>
      <c r="J46" s="58"/>
      <c r="K46" s="66"/>
      <c r="L46" s="66"/>
      <c r="M46" s="92">
        <f>M42</f>
        <v>2483320</v>
      </c>
      <c r="N46" s="70"/>
      <c r="Q46" s="59"/>
      <c r="R46" s="88"/>
      <c r="S46" s="59"/>
      <c r="T46" s="58"/>
      <c r="U46" s="58"/>
      <c r="V46" s="58"/>
    </row>
    <row r="47" spans="2:22" x14ac:dyDescent="0.2">
      <c r="B47" s="34"/>
      <c r="C47" s="58" t="s">
        <v>39</v>
      </c>
      <c r="D47" s="58"/>
      <c r="E47" s="58"/>
      <c r="F47" s="58" t="s">
        <v>28</v>
      </c>
      <c r="I47" s="58"/>
      <c r="J47" s="58"/>
      <c r="K47" s="94" t="s">
        <v>166</v>
      </c>
      <c r="L47" s="94"/>
      <c r="M47" s="38">
        <f>'Debt Sch'!K17</f>
        <v>106956</v>
      </c>
      <c r="N47" s="95"/>
      <c r="O47" s="314" t="s">
        <v>166</v>
      </c>
      <c r="P47" s="71" t="s">
        <v>274</v>
      </c>
      <c r="Q47" s="59"/>
      <c r="R47" s="88"/>
      <c r="S47" s="59"/>
      <c r="T47" s="58"/>
      <c r="U47" s="58"/>
      <c r="V47" s="58"/>
    </row>
    <row r="48" spans="2:22" ht="17.25" x14ac:dyDescent="0.2">
      <c r="B48" s="34"/>
      <c r="C48" s="58"/>
      <c r="D48" s="58"/>
      <c r="E48" s="58"/>
      <c r="F48" s="58" t="s">
        <v>162</v>
      </c>
      <c r="I48" s="58"/>
      <c r="J48" s="58"/>
      <c r="K48" s="94" t="s">
        <v>283</v>
      </c>
      <c r="L48" s="94"/>
      <c r="M48" s="197">
        <f>'Debt Sch'!K18</f>
        <v>21391</v>
      </c>
      <c r="N48" s="80"/>
      <c r="O48" s="314" t="s">
        <v>283</v>
      </c>
      <c r="P48" s="71" t="s">
        <v>275</v>
      </c>
      <c r="Q48" s="59"/>
      <c r="R48" s="88"/>
      <c r="S48" s="59"/>
      <c r="T48" s="58"/>
      <c r="U48" s="58"/>
      <c r="V48" s="58"/>
    </row>
    <row r="49" spans="2:22" ht="15.75" x14ac:dyDescent="0.2">
      <c r="B49" s="34"/>
      <c r="C49" s="82" t="s">
        <v>18</v>
      </c>
      <c r="D49" s="82"/>
      <c r="E49" s="58"/>
      <c r="F49" s="58"/>
      <c r="I49" s="58"/>
      <c r="J49" s="58"/>
      <c r="K49" s="66"/>
      <c r="L49" s="66"/>
      <c r="M49" s="93">
        <f>SUM(M46:M48)</f>
        <v>2611667</v>
      </c>
      <c r="N49" s="70"/>
      <c r="Q49" s="96"/>
      <c r="R49" s="59"/>
      <c r="S49" s="59"/>
      <c r="T49" s="58"/>
      <c r="U49" s="58"/>
      <c r="V49" s="58"/>
    </row>
    <row r="50" spans="2:22" x14ac:dyDescent="0.2">
      <c r="B50" s="34"/>
      <c r="C50" s="58" t="s">
        <v>40</v>
      </c>
      <c r="D50" s="58"/>
      <c r="E50" s="58"/>
      <c r="F50" s="58" t="s">
        <v>19</v>
      </c>
      <c r="I50" s="58"/>
      <c r="J50" s="58"/>
      <c r="K50" s="66"/>
      <c r="L50" s="66"/>
      <c r="M50" s="212">
        <f>-M17</f>
        <v>-622</v>
      </c>
      <c r="N50" s="97"/>
      <c r="P50" s="12"/>
      <c r="Q50" s="96"/>
      <c r="R50" s="59"/>
      <c r="S50" s="59"/>
      <c r="T50" s="58"/>
      <c r="U50" s="58"/>
      <c r="V50" s="58"/>
    </row>
    <row r="51" spans="2:22" x14ac:dyDescent="0.2">
      <c r="B51" s="34"/>
      <c r="C51" s="58"/>
      <c r="D51" s="58"/>
      <c r="E51" s="58"/>
      <c r="F51" s="58" t="s">
        <v>20</v>
      </c>
      <c r="I51" s="58"/>
      <c r="J51" s="58"/>
      <c r="K51" s="66"/>
      <c r="L51" s="66"/>
      <c r="M51" s="212">
        <f t="shared" ref="M51:M53" si="3">-M18</f>
        <v>-104961</v>
      </c>
      <c r="N51" s="97"/>
      <c r="P51" s="12"/>
      <c r="Q51" s="96"/>
      <c r="R51" s="59"/>
      <c r="S51" s="59"/>
      <c r="T51" s="58"/>
      <c r="U51" s="58"/>
      <c r="V51" s="58"/>
    </row>
    <row r="52" spans="2:22" x14ac:dyDescent="0.2">
      <c r="B52" s="34"/>
      <c r="C52" s="58"/>
      <c r="D52" s="58"/>
      <c r="E52" s="58"/>
      <c r="F52" s="12" t="s">
        <v>265</v>
      </c>
      <c r="I52" s="58"/>
      <c r="J52" s="58"/>
      <c r="K52" s="66"/>
      <c r="L52" s="66"/>
      <c r="M52" s="212">
        <f t="shared" si="3"/>
        <v>-1400</v>
      </c>
      <c r="N52" s="97"/>
      <c r="P52" s="12"/>
      <c r="Q52" s="96"/>
      <c r="R52" s="59"/>
      <c r="S52" s="59"/>
      <c r="T52" s="58"/>
      <c r="U52" s="58"/>
      <c r="V52" s="58"/>
    </row>
    <row r="53" spans="2:22" x14ac:dyDescent="0.2">
      <c r="B53" s="34"/>
      <c r="C53" s="58"/>
      <c r="D53" s="58"/>
      <c r="E53" s="58"/>
      <c r="F53" s="12" t="s">
        <v>43</v>
      </c>
      <c r="I53" s="58"/>
      <c r="J53" s="58"/>
      <c r="K53" s="66"/>
      <c r="L53" s="66"/>
      <c r="M53" s="212">
        <f t="shared" si="3"/>
        <v>-707</v>
      </c>
      <c r="N53" s="97"/>
      <c r="P53" s="12"/>
      <c r="Q53" s="96"/>
      <c r="R53" s="59"/>
      <c r="S53" s="59"/>
      <c r="T53" s="58"/>
      <c r="U53" s="58"/>
      <c r="V53" s="58"/>
    </row>
    <row r="54" spans="2:22" x14ac:dyDescent="0.2">
      <c r="B54" s="34"/>
      <c r="C54" s="58"/>
      <c r="D54" s="58"/>
      <c r="E54" s="58"/>
      <c r="F54" s="58" t="s">
        <v>30</v>
      </c>
      <c r="I54" s="58"/>
      <c r="J54" s="58"/>
      <c r="K54" s="66"/>
      <c r="L54" s="66"/>
      <c r="M54" s="223">
        <v>-15172</v>
      </c>
      <c r="N54" s="97"/>
      <c r="P54" s="12"/>
      <c r="Q54" s="12"/>
      <c r="R54" s="59"/>
      <c r="S54" s="59"/>
      <c r="T54" s="59"/>
      <c r="U54" s="58"/>
      <c r="V54" s="58"/>
    </row>
    <row r="55" spans="2:22" ht="15.75" x14ac:dyDescent="0.2">
      <c r="B55" s="34"/>
      <c r="C55" s="82" t="s">
        <v>41</v>
      </c>
      <c r="D55" s="82"/>
      <c r="E55" s="58"/>
      <c r="F55" s="58"/>
      <c r="I55" s="58"/>
      <c r="J55" s="58"/>
      <c r="K55" s="66"/>
      <c r="L55" s="66"/>
      <c r="M55" s="214">
        <f>SUM(M49:M54)</f>
        <v>2488805</v>
      </c>
      <c r="N55" s="98"/>
      <c r="P55" s="12"/>
      <c r="Q55" s="93"/>
      <c r="R55" s="59"/>
      <c r="S55" s="92"/>
      <c r="T55" s="58"/>
      <c r="U55" s="58"/>
      <c r="V55" s="58"/>
    </row>
    <row r="56" spans="2:22" ht="17.25" x14ac:dyDescent="0.2">
      <c r="B56" s="34"/>
      <c r="C56" s="58" t="s">
        <v>40</v>
      </c>
      <c r="D56" s="58"/>
      <c r="E56" s="58"/>
      <c r="F56" s="58" t="s">
        <v>168</v>
      </c>
      <c r="I56" s="58"/>
      <c r="J56" s="58"/>
      <c r="K56" s="66"/>
      <c r="L56" s="66"/>
      <c r="M56" s="213">
        <f>-M15</f>
        <v>-1876972.6742000002</v>
      </c>
      <c r="N56" s="80"/>
      <c r="P56" s="12"/>
      <c r="R56" s="59"/>
      <c r="S56" s="59"/>
      <c r="T56" s="58"/>
      <c r="U56" s="58"/>
      <c r="V56" s="58"/>
    </row>
    <row r="57" spans="2:22" ht="16.5" thickBot="1" x14ac:dyDescent="0.25">
      <c r="B57" s="34"/>
      <c r="C57" s="82" t="s">
        <v>164</v>
      </c>
      <c r="D57" s="82"/>
      <c r="E57" s="58"/>
      <c r="F57" s="58"/>
      <c r="I57" s="58"/>
      <c r="J57" s="58"/>
      <c r="K57" s="66"/>
      <c r="L57" s="66"/>
      <c r="M57" s="99">
        <f>SUM(M55:M56)</f>
        <v>611832.32579999976</v>
      </c>
      <c r="N57" s="70"/>
      <c r="Q57" s="12"/>
      <c r="R57" s="59"/>
      <c r="S57" s="59"/>
      <c r="U57" s="58"/>
      <c r="V57" s="58"/>
    </row>
    <row r="58" spans="2:22" ht="15" customHeight="1" thickTop="1" thickBot="1" x14ac:dyDescent="0.3">
      <c r="B58" s="34"/>
      <c r="C58" s="216" t="s">
        <v>64</v>
      </c>
      <c r="M58" s="32">
        <f>ROUND(M57/(-M56),4)</f>
        <v>0.32600000000000001</v>
      </c>
      <c r="N58" s="108"/>
      <c r="R58" s="54"/>
      <c r="V58" s="50"/>
    </row>
    <row r="59" spans="2:22" ht="15.75" thickTop="1" x14ac:dyDescent="0.2">
      <c r="B59" s="35"/>
      <c r="C59" s="100"/>
      <c r="D59" s="100"/>
      <c r="E59" s="100"/>
      <c r="F59" s="100"/>
      <c r="G59" s="100"/>
      <c r="H59" s="100"/>
      <c r="I59" s="100"/>
      <c r="J59" s="100"/>
      <c r="K59" s="101"/>
      <c r="L59" s="101"/>
      <c r="M59" s="100"/>
      <c r="N59" s="102"/>
    </row>
    <row r="60" spans="2:22" ht="15.75" x14ac:dyDescent="0.25">
      <c r="B60" s="33"/>
      <c r="C60" s="325" t="s">
        <v>69</v>
      </c>
      <c r="D60" s="325"/>
      <c r="E60" s="325"/>
      <c r="F60" s="325"/>
      <c r="G60" s="325"/>
      <c r="H60" s="325"/>
      <c r="I60" s="325"/>
      <c r="J60" s="325"/>
      <c r="K60" s="325"/>
      <c r="L60" s="325"/>
      <c r="M60" s="325"/>
      <c r="N60" s="53"/>
    </row>
    <row r="61" spans="2:22" x14ac:dyDescent="0.2">
      <c r="B61" s="34"/>
      <c r="C61" s="58" t="s">
        <v>18</v>
      </c>
      <c r="D61" s="58"/>
      <c r="M61" s="103">
        <f>M49</f>
        <v>2611667</v>
      </c>
      <c r="N61" s="163"/>
    </row>
    <row r="62" spans="2:22" x14ac:dyDescent="0.2">
      <c r="B62" s="34"/>
      <c r="C62" s="54" t="s">
        <v>61</v>
      </c>
      <c r="F62" s="54" t="s">
        <v>6</v>
      </c>
      <c r="M62" s="30">
        <f>-M46</f>
        <v>-2483320</v>
      </c>
      <c r="N62" s="163"/>
    </row>
    <row r="63" spans="2:22" x14ac:dyDescent="0.2">
      <c r="B63" s="34"/>
      <c r="F63" s="54" t="s">
        <v>130</v>
      </c>
      <c r="M63" s="30">
        <f>+I28+I29+I30</f>
        <v>-97242</v>
      </c>
      <c r="N63" s="163"/>
    </row>
    <row r="64" spans="2:22" x14ac:dyDescent="0.2">
      <c r="B64" s="34"/>
      <c r="F64" s="54" t="s">
        <v>66</v>
      </c>
      <c r="M64" s="31">
        <f>-M47</f>
        <v>-106956</v>
      </c>
      <c r="N64" s="163"/>
    </row>
    <row r="65" spans="2:14" x14ac:dyDescent="0.2">
      <c r="B65" s="34"/>
      <c r="C65" s="54" t="s">
        <v>59</v>
      </c>
      <c r="M65" s="30">
        <f>SUM(M61:M64)</f>
        <v>-75851</v>
      </c>
      <c r="N65" s="163"/>
    </row>
    <row r="66" spans="2:14" x14ac:dyDescent="0.2">
      <c r="B66" s="34"/>
      <c r="C66" s="54" t="s">
        <v>67</v>
      </c>
      <c r="F66" s="54" t="s">
        <v>68</v>
      </c>
      <c r="M66" s="31">
        <f>M40</f>
        <v>341954</v>
      </c>
      <c r="N66" s="163"/>
    </row>
    <row r="67" spans="2:14" ht="15.75" thickBot="1" x14ac:dyDescent="0.25">
      <c r="B67" s="34"/>
      <c r="C67" s="54" t="s">
        <v>69</v>
      </c>
      <c r="M67" s="99">
        <f>SUM(M65:M66)</f>
        <v>266103</v>
      </c>
      <c r="N67" s="163"/>
    </row>
    <row r="68" spans="2:14" ht="15.75" thickTop="1" x14ac:dyDescent="0.2">
      <c r="B68" s="35"/>
      <c r="C68" s="100"/>
      <c r="D68" s="100"/>
      <c r="E68" s="100"/>
      <c r="F68" s="100"/>
      <c r="G68" s="100"/>
      <c r="H68" s="100"/>
      <c r="I68" s="100"/>
      <c r="J68" s="100"/>
      <c r="K68" s="101"/>
      <c r="L68" s="101"/>
      <c r="M68" s="100"/>
      <c r="N68" s="102"/>
    </row>
  </sheetData>
  <mergeCells count="4">
    <mergeCell ref="C7:M7"/>
    <mergeCell ref="C45:M45"/>
    <mergeCell ref="C6:M6"/>
    <mergeCell ref="C60:M60"/>
  </mergeCells>
  <printOptions horizontalCentered="1"/>
  <pageMargins left="1.1000000000000001" right="1" top="0.6" bottom="0.5" header="0" footer="0"/>
  <pageSetup scale="7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M56"/>
  <sheetViews>
    <sheetView showGridLines="0" topLeftCell="A28" workbookViewId="0">
      <selection activeCell="Q10" sqref="Q10"/>
    </sheetView>
  </sheetViews>
  <sheetFormatPr defaultColWidth="8.88671875" defaultRowHeight="14.25" x14ac:dyDescent="0.2"/>
  <cols>
    <col min="1" max="1" width="8.88671875" style="13"/>
    <col min="2" max="2" width="1.6640625" style="13" customWidth="1"/>
    <col min="3" max="3" width="14.77734375" style="13" customWidth="1"/>
    <col min="4" max="4" width="1.77734375" style="13" customWidth="1"/>
    <col min="5" max="5" width="14.77734375" style="13" customWidth="1"/>
    <col min="6" max="6" width="1.77734375" style="13" customWidth="1"/>
    <col min="7" max="7" width="14.77734375" style="13" customWidth="1"/>
    <col min="8" max="8" width="1.77734375" style="13" customWidth="1"/>
    <col min="9" max="9" width="14.77734375" style="13" customWidth="1"/>
    <col min="10" max="10" width="1.77734375" style="13" customWidth="1"/>
    <col min="11" max="11" width="14.77734375" style="13" customWidth="1"/>
    <col min="12" max="12" width="1.77734375" style="13" customWidth="1"/>
    <col min="13" max="13" width="1.5546875" style="13" customWidth="1"/>
    <col min="14" max="16384" width="8.88671875" style="13"/>
  </cols>
  <sheetData>
    <row r="1" spans="2:13" ht="15" x14ac:dyDescent="0.2">
      <c r="B1" s="12"/>
    </row>
    <row r="2" spans="2:13" ht="15" x14ac:dyDescent="0.2">
      <c r="B2" s="33"/>
      <c r="C2" s="14"/>
      <c r="D2" s="14"/>
      <c r="E2" s="14"/>
      <c r="F2" s="14"/>
      <c r="G2" s="14"/>
      <c r="H2" s="14"/>
      <c r="I2" s="14"/>
      <c r="J2" s="14"/>
      <c r="K2" s="14"/>
      <c r="L2" s="14"/>
      <c r="M2" s="15"/>
    </row>
    <row r="3" spans="2:13" ht="18" x14ac:dyDescent="0.25">
      <c r="B3" s="34"/>
      <c r="C3" s="334" t="s">
        <v>47</v>
      </c>
      <c r="D3" s="334"/>
      <c r="E3" s="334"/>
      <c r="F3" s="334"/>
      <c r="G3" s="334"/>
      <c r="H3" s="334"/>
      <c r="I3" s="334"/>
      <c r="J3" s="334"/>
      <c r="K3" s="334"/>
      <c r="L3" s="17"/>
      <c r="M3" s="16"/>
    </row>
    <row r="4" spans="2:13" ht="18" x14ac:dyDescent="0.25">
      <c r="B4" s="34"/>
      <c r="C4" s="335" t="s">
        <v>22</v>
      </c>
      <c r="D4" s="335"/>
      <c r="E4" s="335"/>
      <c r="F4" s="335"/>
      <c r="G4" s="335"/>
      <c r="H4" s="335"/>
      <c r="I4" s="335"/>
      <c r="J4" s="335"/>
      <c r="K4" s="335"/>
      <c r="L4" s="17"/>
      <c r="M4" s="16"/>
    </row>
    <row r="5" spans="2:13" ht="18" x14ac:dyDescent="0.2">
      <c r="B5" s="34"/>
      <c r="C5" s="336" t="str">
        <f>'SAO - DSC'!F1</f>
        <v>Graves County Water District</v>
      </c>
      <c r="D5" s="336"/>
      <c r="E5" s="336"/>
      <c r="F5" s="336"/>
      <c r="G5" s="336"/>
      <c r="H5" s="336"/>
      <c r="I5" s="336"/>
      <c r="J5" s="336"/>
      <c r="K5" s="336"/>
      <c r="L5" s="17"/>
      <c r="M5" s="16"/>
    </row>
    <row r="6" spans="2:13" ht="15" x14ac:dyDescent="0.2">
      <c r="B6" s="34"/>
      <c r="C6" s="337" t="s">
        <v>71</v>
      </c>
      <c r="D6" s="337"/>
      <c r="E6" s="337"/>
      <c r="F6" s="337"/>
      <c r="G6" s="337"/>
      <c r="H6" s="337"/>
      <c r="I6" s="337"/>
      <c r="J6" s="337"/>
      <c r="K6" s="337"/>
      <c r="L6" s="17"/>
      <c r="M6" s="16"/>
    </row>
    <row r="7" spans="2:13" ht="15" x14ac:dyDescent="0.2">
      <c r="B7" s="34"/>
      <c r="C7" s="18"/>
      <c r="D7" s="18"/>
      <c r="E7" s="18"/>
      <c r="F7" s="18"/>
      <c r="G7" s="18"/>
      <c r="H7" s="18"/>
      <c r="I7" s="17"/>
      <c r="J7" s="17"/>
      <c r="K7" s="17"/>
      <c r="L7" s="17"/>
      <c r="M7" s="16"/>
    </row>
    <row r="8" spans="2:13" ht="15" x14ac:dyDescent="0.2">
      <c r="B8" s="34"/>
      <c r="C8" s="333" t="s">
        <v>146</v>
      </c>
      <c r="D8" s="333"/>
      <c r="E8" s="333"/>
      <c r="F8" s="333"/>
      <c r="G8" s="333"/>
      <c r="H8" s="333"/>
      <c r="I8" s="333"/>
      <c r="J8" s="333"/>
      <c r="K8" s="333"/>
      <c r="L8" s="39"/>
      <c r="M8" s="16"/>
    </row>
    <row r="9" spans="2:13" ht="15" x14ac:dyDescent="0.2">
      <c r="B9" s="201"/>
      <c r="C9" s="17"/>
      <c r="D9" s="17"/>
      <c r="E9" s="40"/>
      <c r="F9" s="22"/>
      <c r="G9" s="40"/>
      <c r="H9" s="22"/>
      <c r="I9" s="40" t="s">
        <v>98</v>
      </c>
      <c r="J9"/>
      <c r="K9" s="40" t="s">
        <v>53</v>
      </c>
      <c r="L9" s="17"/>
      <c r="M9" s="16"/>
    </row>
    <row r="10" spans="2:13" ht="15" x14ac:dyDescent="0.2">
      <c r="B10" s="201"/>
      <c r="C10" s="24" t="s">
        <v>37</v>
      </c>
      <c r="D10" s="17"/>
      <c r="E10" s="198" t="s">
        <v>23</v>
      </c>
      <c r="F10" s="22"/>
      <c r="G10" s="198" t="s">
        <v>24</v>
      </c>
      <c r="H10" s="22"/>
      <c r="I10" s="198" t="s">
        <v>143</v>
      </c>
      <c r="J10"/>
      <c r="K10" s="198" t="s">
        <v>89</v>
      </c>
      <c r="L10" s="17"/>
      <c r="M10" s="16"/>
    </row>
    <row r="11" spans="2:13" x14ac:dyDescent="0.2">
      <c r="B11" s="201"/>
      <c r="C11" s="19">
        <v>2025</v>
      </c>
      <c r="D11" s="17"/>
      <c r="E11" s="20">
        <f>SUM(E24,E36,E48)</f>
        <v>111247</v>
      </c>
      <c r="F11" s="17"/>
      <c r="G11" s="20">
        <f>SUM(G24,G36,G48)</f>
        <v>8857</v>
      </c>
      <c r="H11" s="17"/>
      <c r="I11" s="20">
        <f>SUM(I24,I36,I48)</f>
        <v>1307</v>
      </c>
      <c r="J11" s="17"/>
      <c r="K11" s="20">
        <f>SUM(E11,G11,I11)</f>
        <v>121411</v>
      </c>
      <c r="L11" s="17"/>
      <c r="M11" s="16"/>
    </row>
    <row r="12" spans="2:13" ht="15" x14ac:dyDescent="0.2">
      <c r="B12" s="201"/>
      <c r="C12" s="19">
        <v>2026</v>
      </c>
      <c r="D12" s="17"/>
      <c r="E12" s="17">
        <f t="shared" ref="E12:G15" si="0">SUM(E25,E37,E49)</f>
        <v>261092.87</v>
      </c>
      <c r="F12" s="17"/>
      <c r="G12" s="17">
        <f t="shared" si="0"/>
        <v>7309</v>
      </c>
      <c r="H12" s="21"/>
      <c r="I12" s="17">
        <f t="shared" ref="I12" si="1">SUM(I25,I37,I49)</f>
        <v>900</v>
      </c>
      <c r="J12"/>
      <c r="K12" s="17">
        <f t="shared" ref="K12:K15" si="2">SUM(E12,G12,I12)</f>
        <v>269301.87</v>
      </c>
      <c r="L12" s="17"/>
      <c r="M12" s="16"/>
    </row>
    <row r="13" spans="2:13" ht="15" x14ac:dyDescent="0.2">
      <c r="B13" s="201"/>
      <c r="C13" s="19">
        <v>2027</v>
      </c>
      <c r="D13" s="17"/>
      <c r="E13" s="17">
        <f t="shared" si="0"/>
        <v>41539</v>
      </c>
      <c r="F13" s="17"/>
      <c r="G13" s="17">
        <f t="shared" si="0"/>
        <v>5971</v>
      </c>
      <c r="H13" s="21"/>
      <c r="I13" s="17">
        <f t="shared" ref="I13" si="3">SUM(I26,I38,I50)</f>
        <v>597</v>
      </c>
      <c r="J13"/>
      <c r="K13" s="17">
        <f t="shared" si="2"/>
        <v>48107</v>
      </c>
      <c r="L13" s="17"/>
      <c r="M13" s="16"/>
    </row>
    <row r="14" spans="2:13" ht="15" x14ac:dyDescent="0.2">
      <c r="B14" s="201"/>
      <c r="C14" s="19">
        <v>2028</v>
      </c>
      <c r="D14" s="19"/>
      <c r="E14" s="17">
        <f t="shared" si="0"/>
        <v>42373</v>
      </c>
      <c r="F14" s="17"/>
      <c r="G14" s="17">
        <f t="shared" si="0"/>
        <v>5137</v>
      </c>
      <c r="H14" s="21"/>
      <c r="I14" s="17">
        <f t="shared" ref="I14" si="4">SUM(I27,I39,I51)</f>
        <v>513</v>
      </c>
      <c r="J14"/>
      <c r="K14" s="17">
        <f t="shared" si="2"/>
        <v>48023</v>
      </c>
      <c r="L14" s="17"/>
      <c r="M14" s="16"/>
    </row>
    <row r="15" spans="2:13" ht="15" x14ac:dyDescent="0.2">
      <c r="B15" s="201"/>
      <c r="C15" s="19">
        <v>2029</v>
      </c>
      <c r="D15" s="19"/>
      <c r="E15" s="23">
        <f t="shared" si="0"/>
        <v>43225</v>
      </c>
      <c r="F15" s="17"/>
      <c r="G15" s="23">
        <f t="shared" si="0"/>
        <v>4285</v>
      </c>
      <c r="H15" s="21"/>
      <c r="I15" s="23">
        <f t="shared" ref="I15" si="5">SUM(I28,I40,I52)</f>
        <v>428</v>
      </c>
      <c r="J15"/>
      <c r="K15" s="23">
        <f t="shared" si="2"/>
        <v>47938</v>
      </c>
      <c r="L15" s="17"/>
      <c r="M15" s="16"/>
    </row>
    <row r="16" spans="2:13" ht="15" thickBot="1" x14ac:dyDescent="0.25">
      <c r="B16" s="201"/>
      <c r="C16" s="18" t="s">
        <v>0</v>
      </c>
      <c r="D16" s="18"/>
      <c r="E16" s="121">
        <f>SUM(E11:E15)</f>
        <v>499476.87</v>
      </c>
      <c r="F16" s="17"/>
      <c r="G16" s="121">
        <f>SUM(G11:G15)</f>
        <v>31559</v>
      </c>
      <c r="H16" s="17"/>
      <c r="I16" s="121">
        <f>SUM(I11:I15)</f>
        <v>3745</v>
      </c>
      <c r="J16" s="17"/>
      <c r="K16" s="121">
        <f>SUM(K11:K15)</f>
        <v>534780.87</v>
      </c>
      <c r="L16" s="17"/>
      <c r="M16" s="16"/>
    </row>
    <row r="17" spans="2:13" ht="15.75" thickTop="1" thickBot="1" x14ac:dyDescent="0.25">
      <c r="B17" s="201"/>
      <c r="C17" s="18" t="s">
        <v>52</v>
      </c>
      <c r="D17" s="18"/>
      <c r="E17" s="122">
        <f>ROUND(AVERAGE(E11:E15),0)</f>
        <v>99895</v>
      </c>
      <c r="F17" s="17"/>
      <c r="G17" s="122">
        <f>ROUND(AVERAGE(G11:G15),0)</f>
        <v>6312</v>
      </c>
      <c r="H17" s="17"/>
      <c r="I17" s="122">
        <f>ROUND(AVERAGE(I11:I15),0)</f>
        <v>749</v>
      </c>
      <c r="J17" s="17"/>
      <c r="K17" s="122">
        <f>ROUND(AVERAGE(K11:K15),0)</f>
        <v>106956</v>
      </c>
      <c r="L17" s="17"/>
      <c r="M17" s="16"/>
    </row>
    <row r="18" spans="2:13" ht="15.75" thickTop="1" thickBot="1" x14ac:dyDescent="0.25">
      <c r="B18" s="201"/>
      <c r="C18" s="18" t="s">
        <v>161</v>
      </c>
      <c r="D18" s="18"/>
      <c r="E18" s="207"/>
      <c r="F18" s="17"/>
      <c r="G18" s="207"/>
      <c r="H18" s="17"/>
      <c r="I18" s="207"/>
      <c r="J18" s="17"/>
      <c r="K18" s="122">
        <f>ROUND(K17*0.2,0)</f>
        <v>21391</v>
      </c>
      <c r="L18" s="17"/>
      <c r="M18" s="16"/>
    </row>
    <row r="19" spans="2:13" ht="15" thickTop="1" x14ac:dyDescent="0.2">
      <c r="B19" s="201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6"/>
    </row>
    <row r="20" spans="2:13" ht="15" x14ac:dyDescent="0.2">
      <c r="B20" s="201"/>
      <c r="C20" s="333" t="s">
        <v>147</v>
      </c>
      <c r="D20" s="333"/>
      <c r="E20" s="333"/>
      <c r="F20" s="333"/>
      <c r="G20" s="333"/>
      <c r="H20" s="333"/>
      <c r="I20" s="333"/>
      <c r="J20" s="333"/>
      <c r="K20" s="333"/>
      <c r="L20" s="17"/>
      <c r="M20" s="16"/>
    </row>
    <row r="21" spans="2:13" x14ac:dyDescent="0.2">
      <c r="B21" s="201"/>
      <c r="C21" s="332" t="s">
        <v>182</v>
      </c>
      <c r="D21" s="332"/>
      <c r="E21" s="332"/>
      <c r="F21" s="332"/>
      <c r="G21" s="332"/>
      <c r="H21" s="332"/>
      <c r="I21" s="332"/>
      <c r="J21" s="332"/>
      <c r="K21" s="332"/>
      <c r="L21" s="17"/>
      <c r="M21" s="16"/>
    </row>
    <row r="22" spans="2:13" ht="15" x14ac:dyDescent="0.2">
      <c r="B22" s="201"/>
      <c r="C22" s="17"/>
      <c r="D22" s="17"/>
      <c r="E22" s="40"/>
      <c r="F22" s="22"/>
      <c r="G22" s="40"/>
      <c r="H22" s="22"/>
      <c r="I22" s="40" t="s">
        <v>98</v>
      </c>
      <c r="J22"/>
      <c r="K22" s="40" t="s">
        <v>53</v>
      </c>
      <c r="L22" s="17"/>
      <c r="M22" s="16"/>
    </row>
    <row r="23" spans="2:13" ht="15" x14ac:dyDescent="0.2">
      <c r="B23" s="201"/>
      <c r="C23" s="24" t="s">
        <v>37</v>
      </c>
      <c r="D23" s="17"/>
      <c r="E23" s="198" t="s">
        <v>23</v>
      </c>
      <c r="F23" s="22"/>
      <c r="G23" s="198" t="s">
        <v>24</v>
      </c>
      <c r="H23" s="22"/>
      <c r="I23" s="198" t="s">
        <v>143</v>
      </c>
      <c r="J23"/>
      <c r="K23" s="198" t="s">
        <v>89</v>
      </c>
      <c r="L23" s="17"/>
      <c r="M23" s="16"/>
    </row>
    <row r="24" spans="2:13" ht="15" x14ac:dyDescent="0.2">
      <c r="B24" s="201"/>
      <c r="C24" s="19">
        <v>2025</v>
      </c>
      <c r="D24" s="17"/>
      <c r="E24" s="20">
        <f>'KIA Loan B11-02'!O15</f>
        <v>39917</v>
      </c>
      <c r="F24" s="22">
        <f>SUM(K24,'KIA Loan B11-02'!K46)</f>
        <v>230048.63</v>
      </c>
      <c r="G24" s="20">
        <f>'KIA Loan B11-02'!Q15</f>
        <v>7593</v>
      </c>
      <c r="H24" s="22"/>
      <c r="I24" s="20">
        <f>'KIA Loan B11-02'!S15</f>
        <v>760</v>
      </c>
      <c r="J24"/>
      <c r="K24" s="20">
        <f>SUM(E24,G24,I24)</f>
        <v>48270</v>
      </c>
      <c r="L24" s="17"/>
      <c r="M24" s="16"/>
    </row>
    <row r="25" spans="2:13" ht="15" x14ac:dyDescent="0.2">
      <c r="B25" s="201"/>
      <c r="C25" s="19">
        <v>2026</v>
      </c>
      <c r="D25" s="17"/>
      <c r="E25" s="17">
        <f>'KIA Loan B11-02'!O16</f>
        <v>40720</v>
      </c>
      <c r="F25" s="17">
        <f>SUM(K25,'KIA Loan B11-02'!K47)</f>
        <v>208030.63</v>
      </c>
      <c r="G25" s="17">
        <f>'KIA Loan B11-02'!Q16</f>
        <v>6790</v>
      </c>
      <c r="H25" s="21"/>
      <c r="I25" s="17">
        <f>'KIA Loan B11-02'!S16</f>
        <v>679</v>
      </c>
      <c r="J25"/>
      <c r="K25" s="17">
        <f>SUM(E25,G25,I25)</f>
        <v>48189</v>
      </c>
      <c r="L25" s="17"/>
      <c r="M25" s="16"/>
    </row>
    <row r="26" spans="2:13" ht="15" x14ac:dyDescent="0.2">
      <c r="B26" s="201"/>
      <c r="C26" s="19">
        <v>2027</v>
      </c>
      <c r="D26" s="17"/>
      <c r="E26" s="17">
        <f>'KIA Loan B11-02'!O17</f>
        <v>41539</v>
      </c>
      <c r="F26" s="17">
        <f>SUM(K26,'KIA Loan B11-02'!K48)</f>
        <v>185791.63</v>
      </c>
      <c r="G26" s="17">
        <f>'KIA Loan B11-02'!Q17</f>
        <v>5971</v>
      </c>
      <c r="H26" s="21"/>
      <c r="I26" s="17">
        <f>'KIA Loan B11-02'!S17</f>
        <v>597</v>
      </c>
      <c r="J26"/>
      <c r="K26" s="17">
        <f>SUM(E26,G26,I26)</f>
        <v>48107</v>
      </c>
      <c r="L26" s="17"/>
      <c r="M26" s="16"/>
    </row>
    <row r="27" spans="2:13" ht="15" x14ac:dyDescent="0.2">
      <c r="B27" s="201"/>
      <c r="C27" s="19">
        <v>2028</v>
      </c>
      <c r="D27" s="19"/>
      <c r="E27" s="17">
        <f>'KIA Loan B11-02'!O18</f>
        <v>42373</v>
      </c>
      <c r="F27" s="17">
        <f>SUM(K27,'KIA Loan B11-02'!K49)</f>
        <v>163329.63</v>
      </c>
      <c r="G27" s="17">
        <f>'KIA Loan B11-02'!Q18</f>
        <v>5137</v>
      </c>
      <c r="H27" s="21"/>
      <c r="I27" s="17">
        <f>'KIA Loan B11-02'!S18</f>
        <v>513</v>
      </c>
      <c r="J27"/>
      <c r="K27" s="17">
        <f>SUM(E27,G27,I27)</f>
        <v>48023</v>
      </c>
      <c r="L27" s="17"/>
      <c r="M27" s="16"/>
    </row>
    <row r="28" spans="2:13" ht="15" x14ac:dyDescent="0.2">
      <c r="B28" s="201"/>
      <c r="C28" s="19">
        <v>2029</v>
      </c>
      <c r="D28" s="19"/>
      <c r="E28" s="17">
        <f>'KIA Loan B11-02'!O19</f>
        <v>43225</v>
      </c>
      <c r="F28" s="17">
        <f>SUM(K28,'KIA Loan B11-02'!K50)</f>
        <v>140642.63</v>
      </c>
      <c r="G28" s="17">
        <f>'KIA Loan B11-02'!Q19</f>
        <v>4285</v>
      </c>
      <c r="H28" s="21"/>
      <c r="I28" s="17">
        <f>'KIA Loan B11-02'!S19</f>
        <v>428</v>
      </c>
      <c r="J28"/>
      <c r="K28" s="17">
        <f>SUM(E28,G28,I28)</f>
        <v>47938</v>
      </c>
      <c r="L28" s="17"/>
      <c r="M28" s="16"/>
    </row>
    <row r="29" spans="2:13" ht="15.75" thickBot="1" x14ac:dyDescent="0.25">
      <c r="B29" s="201"/>
      <c r="C29" s="18" t="s">
        <v>0</v>
      </c>
      <c r="D29" s="18"/>
      <c r="E29" s="199">
        <f t="shared" ref="E29:I29" si="6">SUM(E24:E28)</f>
        <v>207774</v>
      </c>
      <c r="F29" s="120">
        <f t="shared" si="6"/>
        <v>927843.15</v>
      </c>
      <c r="G29" s="199">
        <f>SUM(G24:G28)</f>
        <v>29776</v>
      </c>
      <c r="H29" s="120"/>
      <c r="I29" s="199">
        <f t="shared" si="6"/>
        <v>2977</v>
      </c>
      <c r="J29"/>
      <c r="K29" s="199">
        <f>SUM(K24:K28)</f>
        <v>240527</v>
      </c>
      <c r="L29" s="17"/>
      <c r="M29" s="16"/>
    </row>
    <row r="30" spans="2:13" ht="15.75" thickBot="1" x14ac:dyDescent="0.25">
      <c r="B30" s="201"/>
      <c r="C30" s="202" t="s">
        <v>144</v>
      </c>
      <c r="D30" s="202"/>
      <c r="E30" s="200">
        <f>ROUND(AVERAGE(E24:E28),0)</f>
        <v>41555</v>
      </c>
      <c r="F30"/>
      <c r="G30" s="200">
        <f>ROUND(AVERAGE(G24:G28),0)</f>
        <v>5955</v>
      </c>
      <c r="H30"/>
      <c r="I30" s="200">
        <f>ROUND(AVERAGE(I24:I28),0)</f>
        <v>595</v>
      </c>
      <c r="J30"/>
      <c r="K30" s="200">
        <f>ROUND(AVERAGE(K24:K28),0)</f>
        <v>48105</v>
      </c>
      <c r="L30" s="17"/>
      <c r="M30" s="16"/>
    </row>
    <row r="31" spans="2:13" ht="15.75" thickTop="1" thickBot="1" x14ac:dyDescent="0.25">
      <c r="B31" s="201"/>
      <c r="C31" s="18" t="s">
        <v>161</v>
      </c>
      <c r="D31" s="18"/>
      <c r="E31" s="207"/>
      <c r="F31" s="17"/>
      <c r="G31" s="207"/>
      <c r="H31" s="17"/>
      <c r="I31" s="207"/>
      <c r="J31" s="17"/>
      <c r="K31" s="211">
        <f>ROUND(K30*0.2,0)</f>
        <v>9621</v>
      </c>
      <c r="L31" s="17"/>
      <c r="M31" s="16"/>
    </row>
    <row r="32" spans="2:13" ht="15" thickTop="1" x14ac:dyDescent="0.2">
      <c r="B32" s="201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6"/>
    </row>
    <row r="33" spans="2:13" x14ac:dyDescent="0.2">
      <c r="B33" s="201"/>
      <c r="C33" s="332" t="s">
        <v>183</v>
      </c>
      <c r="D33" s="332"/>
      <c r="E33" s="332"/>
      <c r="F33" s="332"/>
      <c r="G33" s="332"/>
      <c r="H33" s="332"/>
      <c r="I33" s="332"/>
      <c r="J33" s="332"/>
      <c r="K33" s="332"/>
      <c r="L33" s="17"/>
      <c r="M33" s="16"/>
    </row>
    <row r="34" spans="2:13" ht="15" x14ac:dyDescent="0.2">
      <c r="B34" s="201"/>
      <c r="C34" s="17"/>
      <c r="D34" s="17"/>
      <c r="E34" s="40"/>
      <c r="F34" s="22"/>
      <c r="G34" s="40"/>
      <c r="H34" s="22"/>
      <c r="I34" s="40" t="s">
        <v>98</v>
      </c>
      <c r="J34"/>
      <c r="K34" s="40" t="s">
        <v>53</v>
      </c>
      <c r="L34" s="17"/>
      <c r="M34" s="16"/>
    </row>
    <row r="35" spans="2:13" ht="15" x14ac:dyDescent="0.2">
      <c r="B35" s="201"/>
      <c r="C35" s="24" t="s">
        <v>37</v>
      </c>
      <c r="D35" s="17"/>
      <c r="E35" s="198" t="s">
        <v>23</v>
      </c>
      <c r="F35" s="22"/>
      <c r="G35" s="198" t="s">
        <v>24</v>
      </c>
      <c r="H35" s="22"/>
      <c r="I35" s="198" t="s">
        <v>143</v>
      </c>
      <c r="J35"/>
      <c r="K35" s="198" t="s">
        <v>89</v>
      </c>
      <c r="L35" s="17"/>
      <c r="M35" s="16"/>
    </row>
    <row r="36" spans="2:13" ht="15" x14ac:dyDescent="0.2">
      <c r="B36" s="201"/>
      <c r="C36" s="19">
        <v>2025</v>
      </c>
      <c r="D36" s="17"/>
      <c r="E36" s="20">
        <f>'KIA Loan B07-03'!O15</f>
        <v>51458</v>
      </c>
      <c r="F36" s="22"/>
      <c r="G36" s="20">
        <f>'KIA Loan B07-03'!Q15</f>
        <v>258</v>
      </c>
      <c r="H36" s="22"/>
      <c r="I36" s="20">
        <f>'KIA Loan B07-03'!S15</f>
        <v>129</v>
      </c>
      <c r="J36"/>
      <c r="K36" s="39">
        <f>SUM(E36,G36,I36)</f>
        <v>51845</v>
      </c>
      <c r="L36" s="17"/>
      <c r="M36" s="16"/>
    </row>
    <row r="37" spans="2:13" ht="15" x14ac:dyDescent="0.2">
      <c r="B37" s="201"/>
      <c r="C37" s="19">
        <v>2026</v>
      </c>
      <c r="D37" s="17"/>
      <c r="E37" s="17">
        <f>'KIA Loan B07-03'!O16</f>
        <v>25837</v>
      </c>
      <c r="F37" s="22"/>
      <c r="G37" s="17">
        <f>'KIA Loan B07-03'!Q16</f>
        <v>52</v>
      </c>
      <c r="H37" s="22"/>
      <c r="I37" s="17">
        <f>'KIA Loan B07-03'!S16</f>
        <v>26</v>
      </c>
      <c r="J37"/>
      <c r="K37" s="39">
        <f>SUM(E37,G37,I37)</f>
        <v>25915</v>
      </c>
      <c r="L37" s="17"/>
      <c r="M37" s="16"/>
    </row>
    <row r="38" spans="2:13" ht="15" x14ac:dyDescent="0.2">
      <c r="B38" s="201"/>
      <c r="C38" s="19">
        <v>2027</v>
      </c>
      <c r="D38" s="17"/>
      <c r="E38" s="17">
        <f>'KIA Loan B07-03'!O17</f>
        <v>0</v>
      </c>
      <c r="F38" s="22"/>
      <c r="G38" s="17">
        <f>'KIA Loan B07-03'!Q17</f>
        <v>0</v>
      </c>
      <c r="H38" s="22"/>
      <c r="I38" s="17">
        <f>'KIA Loan B07-03'!S17</f>
        <v>0</v>
      </c>
      <c r="J38"/>
      <c r="K38" s="39">
        <f>SUM(E38,G38,I38)</f>
        <v>0</v>
      </c>
      <c r="L38" s="17"/>
      <c r="M38" s="16"/>
    </row>
    <row r="39" spans="2:13" ht="15" x14ac:dyDescent="0.2">
      <c r="B39" s="201"/>
      <c r="C39" s="19">
        <v>2028</v>
      </c>
      <c r="D39" s="17"/>
      <c r="E39" s="17">
        <f>'KIA Loan B07-03'!O18</f>
        <v>0</v>
      </c>
      <c r="F39" s="22"/>
      <c r="G39" s="17">
        <f>'KIA Loan B07-03'!Q18</f>
        <v>0</v>
      </c>
      <c r="H39" s="22"/>
      <c r="I39" s="17">
        <f>'KIA Loan B07-03'!S18</f>
        <v>0</v>
      </c>
      <c r="J39"/>
      <c r="K39" s="39">
        <f>SUM(E39,G39,I39)</f>
        <v>0</v>
      </c>
      <c r="L39" s="17"/>
      <c r="M39" s="16"/>
    </row>
    <row r="40" spans="2:13" ht="15" x14ac:dyDescent="0.2">
      <c r="B40" s="201"/>
      <c r="C40" s="19">
        <v>2029</v>
      </c>
      <c r="D40" s="19"/>
      <c r="E40" s="23">
        <f>'KIA Loan B07-03'!O19</f>
        <v>0</v>
      </c>
      <c r="F40" s="22"/>
      <c r="G40" s="23">
        <f>'KIA Loan B07-03'!Q19</f>
        <v>0</v>
      </c>
      <c r="H40" s="22"/>
      <c r="I40" s="23">
        <f>'KIA Loan B07-03'!S19</f>
        <v>0</v>
      </c>
      <c r="J40"/>
      <c r="K40" s="143">
        <f>SUM(E40,G40,I40)</f>
        <v>0</v>
      </c>
      <c r="L40" s="17"/>
      <c r="M40" s="16"/>
    </row>
    <row r="41" spans="2:13" ht="15.75" thickBot="1" x14ac:dyDescent="0.25">
      <c r="B41" s="201"/>
      <c r="C41" s="18" t="s">
        <v>0</v>
      </c>
      <c r="D41" s="18"/>
      <c r="E41" s="199">
        <f t="shared" ref="E41:I41" si="7">SUM(E36:E40)</f>
        <v>77295</v>
      </c>
      <c r="F41" s="22"/>
      <c r="G41" s="199">
        <f t="shared" si="7"/>
        <v>310</v>
      </c>
      <c r="H41" s="120">
        <f t="shared" si="7"/>
        <v>0</v>
      </c>
      <c r="I41" s="199">
        <f t="shared" si="7"/>
        <v>155</v>
      </c>
      <c r="J41"/>
      <c r="K41" s="199">
        <f>SUM(K36:K40)</f>
        <v>77760</v>
      </c>
      <c r="L41" s="17"/>
      <c r="M41" s="16"/>
    </row>
    <row r="42" spans="2:13" ht="15.75" thickBot="1" x14ac:dyDescent="0.25">
      <c r="B42" s="201"/>
      <c r="C42" s="202" t="s">
        <v>144</v>
      </c>
      <c r="D42" s="202"/>
      <c r="E42" s="200">
        <f>ROUND(AVERAGE(E36:E40),0)</f>
        <v>15459</v>
      </c>
      <c r="F42" s="22"/>
      <c r="G42" s="200">
        <f>ROUND(AVERAGE(G36:G40),0)</f>
        <v>62</v>
      </c>
      <c r="H42"/>
      <c r="I42" s="200">
        <f>ROUND(AVERAGE(I36:I40),0)</f>
        <v>31</v>
      </c>
      <c r="J42"/>
      <c r="K42" s="200">
        <f>ROUND(AVERAGE(K36:K40),0)</f>
        <v>15552</v>
      </c>
      <c r="L42" s="17"/>
      <c r="M42" s="16"/>
    </row>
    <row r="43" spans="2:13" ht="15.75" thickTop="1" thickBot="1" x14ac:dyDescent="0.25">
      <c r="B43" s="201"/>
      <c r="C43" s="18" t="s">
        <v>161</v>
      </c>
      <c r="D43" s="18"/>
      <c r="E43" s="207"/>
      <c r="F43" s="17"/>
      <c r="G43" s="207"/>
      <c r="H43" s="17"/>
      <c r="I43" s="207"/>
      <c r="J43" s="17"/>
      <c r="K43" s="211">
        <f>ROUND(K42*0.2,0)</f>
        <v>3110</v>
      </c>
      <c r="L43" s="17"/>
      <c r="M43" s="16"/>
    </row>
    <row r="44" spans="2:13" ht="15" thickTop="1" x14ac:dyDescent="0.2">
      <c r="B44" s="201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6"/>
    </row>
    <row r="45" spans="2:13" x14ac:dyDescent="0.2">
      <c r="B45" s="201"/>
      <c r="C45" s="332" t="s">
        <v>184</v>
      </c>
      <c r="D45" s="332"/>
      <c r="E45" s="332"/>
      <c r="F45" s="332"/>
      <c r="G45" s="332"/>
      <c r="H45" s="332"/>
      <c r="I45" s="332"/>
      <c r="J45" s="332"/>
      <c r="K45" s="332"/>
      <c r="L45" s="17"/>
      <c r="M45" s="16"/>
    </row>
    <row r="46" spans="2:13" ht="15" x14ac:dyDescent="0.2">
      <c r="B46" s="201"/>
      <c r="C46" s="17"/>
      <c r="D46" s="17"/>
      <c r="E46" s="40"/>
      <c r="F46" s="22"/>
      <c r="G46" s="40"/>
      <c r="H46" s="22"/>
      <c r="I46" s="40" t="s">
        <v>98</v>
      </c>
      <c r="J46"/>
      <c r="K46" s="40" t="s">
        <v>53</v>
      </c>
      <c r="L46" s="17"/>
      <c r="M46" s="16"/>
    </row>
    <row r="47" spans="2:13" ht="15" x14ac:dyDescent="0.2">
      <c r="B47" s="201"/>
      <c r="C47" s="24" t="s">
        <v>37</v>
      </c>
      <c r="D47" s="17"/>
      <c r="E47" s="198" t="s">
        <v>23</v>
      </c>
      <c r="F47" s="22"/>
      <c r="G47" s="198" t="s">
        <v>24</v>
      </c>
      <c r="H47" s="22"/>
      <c r="I47" s="198" t="s">
        <v>143</v>
      </c>
      <c r="J47"/>
      <c r="K47" s="198" t="s">
        <v>89</v>
      </c>
      <c r="L47" s="17"/>
      <c r="M47" s="16"/>
    </row>
    <row r="48" spans="2:13" ht="15" x14ac:dyDescent="0.2">
      <c r="B48" s="201"/>
      <c r="C48" s="19">
        <v>2024</v>
      </c>
      <c r="D48" s="17"/>
      <c r="E48" s="20">
        <f>'KIA Loan B05-04'!O15</f>
        <v>19872</v>
      </c>
      <c r="F48" s="22"/>
      <c r="G48" s="20">
        <f>'KIA Loan B05-04'!Q15</f>
        <v>1006</v>
      </c>
      <c r="H48" s="22"/>
      <c r="I48" s="20">
        <f>'KIA Loan B05-04'!S15</f>
        <v>418</v>
      </c>
      <c r="J48"/>
      <c r="K48" s="39">
        <f>SUM(E48,G48,I48)</f>
        <v>21296</v>
      </c>
      <c r="L48" s="17"/>
      <c r="M48" s="16"/>
    </row>
    <row r="49" spans="2:13" ht="15" x14ac:dyDescent="0.2">
      <c r="B49" s="201"/>
      <c r="C49" s="19">
        <v>2025</v>
      </c>
      <c r="D49" s="17"/>
      <c r="E49" s="17">
        <f>'KIA Loan B05-04'!O16</f>
        <v>194535.87</v>
      </c>
      <c r="F49" s="22"/>
      <c r="G49" s="17">
        <f>'KIA Loan B05-04'!Q16</f>
        <v>467</v>
      </c>
      <c r="H49" s="22"/>
      <c r="I49" s="17">
        <f>'KIA Loan B05-04'!S16</f>
        <v>195</v>
      </c>
      <c r="J49"/>
      <c r="K49" s="39">
        <f>SUM(E49,G49,I49)</f>
        <v>195197.87</v>
      </c>
      <c r="L49" s="17"/>
      <c r="M49" s="16"/>
    </row>
    <row r="50" spans="2:13" ht="15" x14ac:dyDescent="0.2">
      <c r="B50" s="201"/>
      <c r="C50" s="19">
        <v>2026</v>
      </c>
      <c r="D50" s="19"/>
      <c r="E50" s="17">
        <f>'KIA Loan B05-04'!O17</f>
        <v>0</v>
      </c>
      <c r="F50" s="22"/>
      <c r="G50" s="17">
        <f>'KIA Loan B05-04'!Q17</f>
        <v>0</v>
      </c>
      <c r="H50" s="22"/>
      <c r="I50" s="17">
        <f>'KIA Loan B05-04'!S17</f>
        <v>0</v>
      </c>
      <c r="J50"/>
      <c r="K50" s="39">
        <f>SUM(E50,G50,I50)</f>
        <v>0</v>
      </c>
      <c r="L50" s="17"/>
      <c r="M50" s="16"/>
    </row>
    <row r="51" spans="2:13" ht="15" x14ac:dyDescent="0.2">
      <c r="B51" s="201"/>
      <c r="C51" s="19">
        <v>2027</v>
      </c>
      <c r="D51" s="19"/>
      <c r="E51" s="17">
        <f>'KIA Loan B05-04'!O18</f>
        <v>0</v>
      </c>
      <c r="F51" s="22"/>
      <c r="G51" s="17">
        <f>'KIA Loan B05-04'!Q18</f>
        <v>0</v>
      </c>
      <c r="H51" s="22"/>
      <c r="I51" s="17">
        <f>'KIA Loan B05-04'!S18</f>
        <v>0</v>
      </c>
      <c r="J51"/>
      <c r="K51" s="39">
        <f>SUM(E51,G51,I51)</f>
        <v>0</v>
      </c>
      <c r="L51" s="17"/>
      <c r="M51" s="16"/>
    </row>
    <row r="52" spans="2:13" ht="15" x14ac:dyDescent="0.2">
      <c r="B52" s="201"/>
      <c r="C52" s="19">
        <v>2028</v>
      </c>
      <c r="D52" s="19"/>
      <c r="E52" s="17">
        <f>'KIA Loan B05-04'!O19</f>
        <v>0</v>
      </c>
      <c r="F52" s="22"/>
      <c r="G52" s="17">
        <f>'KIA Loan B05-04'!Q19</f>
        <v>0</v>
      </c>
      <c r="H52" s="22"/>
      <c r="I52" s="17">
        <f>'KIA Loan B05-04'!S19</f>
        <v>0</v>
      </c>
      <c r="J52"/>
      <c r="K52" s="143">
        <f>SUM(E52,G52,I52)</f>
        <v>0</v>
      </c>
      <c r="L52" s="17"/>
      <c r="M52" s="16"/>
    </row>
    <row r="53" spans="2:13" ht="15.75" thickBot="1" x14ac:dyDescent="0.25">
      <c r="B53" s="201"/>
      <c r="C53" s="18" t="s">
        <v>0</v>
      </c>
      <c r="D53" s="18"/>
      <c r="E53" s="199">
        <f t="shared" ref="E53" si="8">SUM(E48:E52)</f>
        <v>214407.87</v>
      </c>
      <c r="F53" s="22"/>
      <c r="G53" s="199">
        <f t="shared" ref="G53:I53" si="9">SUM(G48:G52)</f>
        <v>1473</v>
      </c>
      <c r="H53" s="120"/>
      <c r="I53" s="199">
        <f t="shared" si="9"/>
        <v>613</v>
      </c>
      <c r="J53"/>
      <c r="K53" s="199">
        <f>SUM(K48:K52)</f>
        <v>216493.87</v>
      </c>
      <c r="L53" s="17"/>
      <c r="M53" s="16"/>
    </row>
    <row r="54" spans="2:13" ht="15.75" thickBot="1" x14ac:dyDescent="0.25">
      <c r="B54" s="201"/>
      <c r="C54" s="202" t="s">
        <v>144</v>
      </c>
      <c r="D54" s="202"/>
      <c r="E54" s="200">
        <f>ROUND(AVERAGE(E48:E52),0)</f>
        <v>42882</v>
      </c>
      <c r="F54" s="22"/>
      <c r="G54" s="200">
        <f>ROUND(AVERAGE(G48:G52),0)</f>
        <v>295</v>
      </c>
      <c r="H54"/>
      <c r="I54" s="200">
        <f>ROUND(AVERAGE(I48:I52),0)</f>
        <v>123</v>
      </c>
      <c r="J54"/>
      <c r="K54" s="200">
        <f>ROUND(AVERAGE(K48:K52),0)</f>
        <v>43299</v>
      </c>
      <c r="L54" s="17"/>
      <c r="M54" s="16"/>
    </row>
    <row r="55" spans="2:13" ht="15.75" thickTop="1" thickBot="1" x14ac:dyDescent="0.25">
      <c r="B55" s="201"/>
      <c r="C55" s="18" t="s">
        <v>161</v>
      </c>
      <c r="D55" s="18"/>
      <c r="E55" s="207"/>
      <c r="F55" s="17"/>
      <c r="G55" s="207"/>
      <c r="H55" s="17"/>
      <c r="I55" s="207"/>
      <c r="J55" s="17"/>
      <c r="K55" s="211">
        <f>ROUND(K54*0.2,0)</f>
        <v>8660</v>
      </c>
      <c r="L55" s="17"/>
      <c r="M55" s="16"/>
    </row>
    <row r="56" spans="2:13" ht="15" thickTop="1" x14ac:dyDescent="0.2">
      <c r="B56" s="20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36"/>
    </row>
  </sheetData>
  <mergeCells count="9">
    <mergeCell ref="C45:K45"/>
    <mergeCell ref="C21:K21"/>
    <mergeCell ref="C33:K33"/>
    <mergeCell ref="C8:K8"/>
    <mergeCell ref="C3:K3"/>
    <mergeCell ref="C4:K4"/>
    <mergeCell ref="C5:K5"/>
    <mergeCell ref="C6:K6"/>
    <mergeCell ref="C20:K20"/>
  </mergeCells>
  <phoneticPr fontId="32" type="noConversion"/>
  <printOptions horizontalCentered="1"/>
  <pageMargins left="0.6" right="0.5" top="1.5" bottom="0.75" header="0.3" footer="0.3"/>
  <pageSetup scale="9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010E1-47BB-45D4-B6DA-D78F37910A5D}">
  <dimension ref="A1:U56"/>
  <sheetViews>
    <sheetView showGridLines="0" topLeftCell="A17" workbookViewId="0">
      <selection activeCell="L14" sqref="L1:U1048576"/>
    </sheetView>
  </sheetViews>
  <sheetFormatPr defaultColWidth="11.44140625" defaultRowHeight="15" x14ac:dyDescent="0.2"/>
  <cols>
    <col min="1" max="1" width="12.77734375" style="209" customWidth="1"/>
    <col min="2" max="2" width="1.33203125" customWidth="1"/>
    <col min="3" max="3" width="11.44140625" style="246"/>
    <col min="4" max="4" width="1.33203125" customWidth="1"/>
    <col min="6" max="6" width="1.33203125" customWidth="1"/>
    <col min="8" max="8" width="1.33203125" customWidth="1"/>
    <col min="10" max="10" width="1.33203125" customWidth="1"/>
    <col min="11" max="11" width="11.44140625" style="39"/>
    <col min="12" max="12" width="1.33203125" style="39" customWidth="1"/>
    <col min="14" max="14" width="1.77734375" customWidth="1"/>
    <col min="16" max="16" width="1.77734375" customWidth="1"/>
    <col min="18" max="18" width="1.77734375" customWidth="1"/>
    <col min="20" max="20" width="1.77734375" customWidth="1"/>
  </cols>
  <sheetData>
    <row r="1" spans="1:21" x14ac:dyDescent="0.2">
      <c r="A1" s="202" t="s">
        <v>177</v>
      </c>
      <c r="I1" s="39">
        <v>1000000</v>
      </c>
      <c r="J1" s="39"/>
      <c r="K1"/>
    </row>
    <row r="2" spans="1:21" x14ac:dyDescent="0.2">
      <c r="A2" s="202" t="s">
        <v>178</v>
      </c>
      <c r="I2" s="39">
        <v>-220000</v>
      </c>
      <c r="J2" s="39"/>
      <c r="K2"/>
    </row>
    <row r="3" spans="1:21" x14ac:dyDescent="0.2">
      <c r="A3" s="202" t="s">
        <v>179</v>
      </c>
      <c r="I3" s="39">
        <f>SUM(I1:I2)</f>
        <v>780000</v>
      </c>
      <c r="J3" s="39"/>
      <c r="K3"/>
    </row>
    <row r="4" spans="1:21" x14ac:dyDescent="0.2">
      <c r="A4" s="247" t="s">
        <v>154</v>
      </c>
      <c r="I4" s="169">
        <v>0.02</v>
      </c>
      <c r="J4" s="169"/>
      <c r="K4"/>
    </row>
    <row r="5" spans="1:21" x14ac:dyDescent="0.2">
      <c r="I5" s="169">
        <f>ROUND(I4/2,4)</f>
        <v>0.01</v>
      </c>
      <c r="J5" s="169"/>
      <c r="K5"/>
    </row>
    <row r="6" spans="1:21" x14ac:dyDescent="0.2">
      <c r="A6" s="247" t="s">
        <v>155</v>
      </c>
      <c r="I6" s="39">
        <v>20</v>
      </c>
      <c r="J6" s="39"/>
      <c r="K6" t="s">
        <v>156</v>
      </c>
    </row>
    <row r="7" spans="1:21" x14ac:dyDescent="0.2">
      <c r="A7" s="210" t="s">
        <v>180</v>
      </c>
      <c r="I7" s="39">
        <f>I6*2</f>
        <v>40</v>
      </c>
      <c r="J7" s="39"/>
      <c r="K7" s="12" t="s">
        <v>171</v>
      </c>
    </row>
    <row r="8" spans="1:21" x14ac:dyDescent="0.2">
      <c r="I8" s="39"/>
      <c r="J8" s="39"/>
      <c r="K8"/>
    </row>
    <row r="9" spans="1:21" x14ac:dyDescent="0.2">
      <c r="A9" s="247" t="s">
        <v>157</v>
      </c>
      <c r="I9" s="39">
        <f>-PMT(I5,I7,I3)</f>
        <v>23755.366422353774</v>
      </c>
      <c r="J9" s="39"/>
      <c r="K9"/>
    </row>
    <row r="10" spans="1:21" x14ac:dyDescent="0.2">
      <c r="A10" s="247" t="s">
        <v>158</v>
      </c>
    </row>
    <row r="12" spans="1:21" x14ac:dyDescent="0.2">
      <c r="A12" s="210" t="s">
        <v>89</v>
      </c>
      <c r="B12" s="123"/>
      <c r="C12" s="123"/>
      <c r="D12" s="123"/>
      <c r="E12" s="123"/>
      <c r="F12" s="123"/>
      <c r="G12" s="123" t="s">
        <v>159</v>
      </c>
      <c r="H12" s="123"/>
      <c r="I12" s="123"/>
      <c r="J12" s="40"/>
      <c r="K12" s="123" t="s">
        <v>148</v>
      </c>
      <c r="M12" s="17"/>
      <c r="N12" s="17"/>
      <c r="O12" s="40"/>
      <c r="P12" s="22"/>
      <c r="Q12" s="40"/>
      <c r="R12" s="22"/>
      <c r="S12" s="40" t="s">
        <v>98</v>
      </c>
      <c r="U12" s="40" t="s">
        <v>53</v>
      </c>
    </row>
    <row r="13" spans="1:21" x14ac:dyDescent="0.2">
      <c r="A13" s="208" t="s">
        <v>181</v>
      </c>
      <c r="B13" s="123"/>
      <c r="C13" s="130" t="s">
        <v>23</v>
      </c>
      <c r="D13" s="123"/>
      <c r="E13" s="130" t="s">
        <v>24</v>
      </c>
      <c r="F13" s="123"/>
      <c r="G13" s="206">
        <v>1E-3</v>
      </c>
      <c r="H13" s="123"/>
      <c r="I13" s="130" t="s">
        <v>160</v>
      </c>
      <c r="J13" s="123"/>
      <c r="K13" s="130" t="s">
        <v>49</v>
      </c>
      <c r="M13" s="24" t="s">
        <v>37</v>
      </c>
      <c r="N13" s="17"/>
      <c r="O13" s="198" t="s">
        <v>23</v>
      </c>
      <c r="P13" s="22"/>
      <c r="Q13" s="198" t="s">
        <v>24</v>
      </c>
      <c r="R13" s="22"/>
      <c r="S13" s="198" t="s">
        <v>143</v>
      </c>
      <c r="U13" s="198" t="s">
        <v>89</v>
      </c>
    </row>
    <row r="14" spans="1:21" x14ac:dyDescent="0.2">
      <c r="A14" s="246"/>
      <c r="B14" s="39"/>
      <c r="C14" s="39"/>
      <c r="D14" s="39"/>
      <c r="E14" s="39"/>
      <c r="F14" s="39"/>
      <c r="G14" s="39"/>
      <c r="H14" s="39"/>
      <c r="I14" s="39"/>
      <c r="J14" s="39"/>
      <c r="K14" s="39">
        <f>I3</f>
        <v>780000</v>
      </c>
      <c r="M14" s="19">
        <v>2024</v>
      </c>
      <c r="N14" s="17"/>
      <c r="O14" s="20">
        <f>SUM(C35:C36)</f>
        <v>39131</v>
      </c>
      <c r="P14" s="22"/>
      <c r="Q14" s="20">
        <f>SUM(E35:E36)</f>
        <v>8379</v>
      </c>
      <c r="R14" s="22"/>
      <c r="S14" s="20">
        <f>SUM(G35:G36)</f>
        <v>838</v>
      </c>
      <c r="U14" s="20">
        <f t="shared" ref="U14:U19" si="0">SUM(O14,Q14,S14)</f>
        <v>48348</v>
      </c>
    </row>
    <row r="15" spans="1:21" x14ac:dyDescent="0.2">
      <c r="A15" s="209">
        <v>41791</v>
      </c>
      <c r="B15" s="39"/>
      <c r="C15" s="39">
        <v>15955.37</v>
      </c>
      <c r="D15" s="39"/>
      <c r="E15" s="39">
        <v>7776.73</v>
      </c>
      <c r="F15" s="39"/>
      <c r="G15" s="39">
        <f t="shared" ref="G15:G54" si="1">ROUND(K14*G$13,0)</f>
        <v>780</v>
      </c>
      <c r="H15" s="39"/>
      <c r="I15" s="39">
        <f>SUM(C15,E15)</f>
        <v>23732.1</v>
      </c>
      <c r="J15" s="39"/>
      <c r="K15" s="39">
        <f>K14-C15</f>
        <v>764044.63</v>
      </c>
      <c r="M15" s="19">
        <v>2025</v>
      </c>
      <c r="N15" s="17"/>
      <c r="O15" s="17">
        <f>SUM(C37:C38)</f>
        <v>39917</v>
      </c>
      <c r="P15" s="22"/>
      <c r="Q15" s="17">
        <f>SUM(E37:E38)</f>
        <v>7593</v>
      </c>
      <c r="R15" s="21"/>
      <c r="S15" s="17">
        <f>SUM(G37:G38)</f>
        <v>760</v>
      </c>
      <c r="U15" s="17">
        <f t="shared" si="0"/>
        <v>48270</v>
      </c>
    </row>
    <row r="16" spans="1:21" x14ac:dyDescent="0.2">
      <c r="A16" s="209">
        <v>41974</v>
      </c>
      <c r="B16" s="39"/>
      <c r="C16" s="39">
        <f t="shared" ref="C16:C53" si="2">ROUND(I$9-E16,0)</f>
        <v>16115</v>
      </c>
      <c r="D16" s="39"/>
      <c r="E16" s="39">
        <f t="shared" ref="E16:E54" si="3">ROUND(I$5*K15,0)</f>
        <v>7640</v>
      </c>
      <c r="F16" s="39"/>
      <c r="G16" s="39">
        <f t="shared" si="1"/>
        <v>764</v>
      </c>
      <c r="H16" s="39"/>
      <c r="I16" s="39">
        <f t="shared" ref="I16:I34" si="4">SUM(C16,E16)</f>
        <v>23755</v>
      </c>
      <c r="J16" s="39"/>
      <c r="K16" s="39">
        <f t="shared" ref="K16:K42" si="5">K15-C16</f>
        <v>747929.63</v>
      </c>
      <c r="M16" s="19">
        <v>2026</v>
      </c>
      <c r="N16" s="17"/>
      <c r="O16" s="17">
        <f>SUM(C39:C40)</f>
        <v>40720</v>
      </c>
      <c r="P16" s="22"/>
      <c r="Q16" s="17">
        <f>SUM(E39:E40)</f>
        <v>6790</v>
      </c>
      <c r="R16" s="21"/>
      <c r="S16" s="17">
        <f>SUM(G39:G40)</f>
        <v>679</v>
      </c>
      <c r="U16" s="17">
        <f t="shared" si="0"/>
        <v>48189</v>
      </c>
    </row>
    <row r="17" spans="1:21" x14ac:dyDescent="0.2">
      <c r="A17" s="209">
        <v>42156</v>
      </c>
      <c r="B17" s="39"/>
      <c r="C17" s="39">
        <f t="shared" si="2"/>
        <v>16276</v>
      </c>
      <c r="D17" s="39"/>
      <c r="E17" s="39">
        <f t="shared" si="3"/>
        <v>7479</v>
      </c>
      <c r="F17" s="39"/>
      <c r="G17" s="39">
        <f t="shared" si="1"/>
        <v>748</v>
      </c>
      <c r="H17" s="39"/>
      <c r="I17" s="39">
        <f t="shared" si="4"/>
        <v>23755</v>
      </c>
      <c r="J17" s="39"/>
      <c r="K17" s="39">
        <f t="shared" si="5"/>
        <v>731653.63</v>
      </c>
      <c r="M17" s="19">
        <v>2027</v>
      </c>
      <c r="N17" s="19"/>
      <c r="O17" s="17">
        <f>SUM(C41:C42)</f>
        <v>41539</v>
      </c>
      <c r="P17" s="22"/>
      <c r="Q17" s="17">
        <f>SUM(E41:E42)</f>
        <v>5971</v>
      </c>
      <c r="R17" s="21"/>
      <c r="S17" s="17">
        <f>SUM(G41:G42)</f>
        <v>597</v>
      </c>
      <c r="U17" s="17">
        <f t="shared" si="0"/>
        <v>48107</v>
      </c>
    </row>
    <row r="18" spans="1:21" x14ac:dyDescent="0.2">
      <c r="A18" s="209">
        <v>42339</v>
      </c>
      <c r="B18" s="39"/>
      <c r="C18" s="39">
        <f t="shared" si="2"/>
        <v>16438</v>
      </c>
      <c r="D18" s="39"/>
      <c r="E18" s="39">
        <f t="shared" si="3"/>
        <v>7317</v>
      </c>
      <c r="F18" s="39"/>
      <c r="G18" s="39">
        <f t="shared" si="1"/>
        <v>732</v>
      </c>
      <c r="H18" s="39"/>
      <c r="I18" s="39">
        <f t="shared" si="4"/>
        <v>23755</v>
      </c>
      <c r="J18" s="39"/>
      <c r="K18" s="39">
        <f t="shared" si="5"/>
        <v>715215.63</v>
      </c>
      <c r="M18" s="19">
        <v>2028</v>
      </c>
      <c r="N18" s="19"/>
      <c r="O18" s="17">
        <f>SUM(C43:C44)</f>
        <v>42373</v>
      </c>
      <c r="P18" s="22"/>
      <c r="Q18" s="17">
        <f>SUM(E43:E44)</f>
        <v>5137</v>
      </c>
      <c r="R18" s="21"/>
      <c r="S18" s="17">
        <f>SUM(G43:G44)</f>
        <v>513</v>
      </c>
      <c r="U18" s="17">
        <f t="shared" si="0"/>
        <v>48023</v>
      </c>
    </row>
    <row r="19" spans="1:21" x14ac:dyDescent="0.2">
      <c r="A19" s="209">
        <v>42522</v>
      </c>
      <c r="B19" s="39"/>
      <c r="C19" s="39">
        <f t="shared" si="2"/>
        <v>16603</v>
      </c>
      <c r="D19" s="39"/>
      <c r="E19" s="39">
        <f t="shared" si="3"/>
        <v>7152</v>
      </c>
      <c r="F19" s="39"/>
      <c r="G19" s="39">
        <f t="shared" si="1"/>
        <v>715</v>
      </c>
      <c r="H19" s="39"/>
      <c r="I19" s="39">
        <f t="shared" si="4"/>
        <v>23755</v>
      </c>
      <c r="J19" s="39"/>
      <c r="K19" s="39">
        <f t="shared" si="5"/>
        <v>698612.63</v>
      </c>
      <c r="M19" s="19">
        <v>2029</v>
      </c>
      <c r="N19" s="18"/>
      <c r="O19" s="17">
        <f>SUM(C45:C46)</f>
        <v>43225</v>
      </c>
      <c r="P19" s="22"/>
      <c r="Q19" s="17">
        <f>SUM(E45:E46)</f>
        <v>4285</v>
      </c>
      <c r="R19" s="21"/>
      <c r="S19" s="17">
        <f>SUM(G45:G46)</f>
        <v>428</v>
      </c>
      <c r="U19" s="17">
        <f t="shared" si="0"/>
        <v>47938</v>
      </c>
    </row>
    <row r="20" spans="1:21" x14ac:dyDescent="0.2">
      <c r="A20" s="209">
        <v>42705</v>
      </c>
      <c r="B20" s="39"/>
      <c r="C20" s="39">
        <f t="shared" si="2"/>
        <v>16769</v>
      </c>
      <c r="D20" s="39"/>
      <c r="E20" s="39">
        <f t="shared" si="3"/>
        <v>6986</v>
      </c>
      <c r="F20" s="39"/>
      <c r="G20" s="39">
        <f t="shared" si="1"/>
        <v>699</v>
      </c>
      <c r="H20" s="39"/>
      <c r="I20" s="39">
        <f t="shared" si="4"/>
        <v>23755</v>
      </c>
      <c r="J20" s="39"/>
      <c r="K20" s="39">
        <f t="shared" si="5"/>
        <v>681843.63</v>
      </c>
      <c r="M20" s="19"/>
      <c r="N20" s="19"/>
      <c r="O20" s="17"/>
      <c r="P20" s="22"/>
      <c r="Q20" s="17"/>
      <c r="R20" s="21"/>
      <c r="S20" s="21"/>
    </row>
    <row r="21" spans="1:21" x14ac:dyDescent="0.2">
      <c r="A21" s="209">
        <v>42887</v>
      </c>
      <c r="B21" s="39"/>
      <c r="C21" s="39">
        <f t="shared" si="2"/>
        <v>16937</v>
      </c>
      <c r="D21" s="39"/>
      <c r="E21" s="39">
        <f t="shared" si="3"/>
        <v>6818</v>
      </c>
      <c r="F21" s="39"/>
      <c r="G21" s="39">
        <f t="shared" si="1"/>
        <v>682</v>
      </c>
      <c r="H21" s="39"/>
      <c r="I21" s="39">
        <f t="shared" si="4"/>
        <v>23755</v>
      </c>
      <c r="J21" s="39"/>
      <c r="K21" s="39">
        <f t="shared" si="5"/>
        <v>664906.63</v>
      </c>
      <c r="M21" s="18"/>
      <c r="N21" s="18"/>
      <c r="O21" s="22"/>
      <c r="P21" s="22"/>
      <c r="Q21" s="22"/>
      <c r="R21" s="120"/>
      <c r="S21" s="22"/>
    </row>
    <row r="22" spans="1:21" x14ac:dyDescent="0.2">
      <c r="A22" s="209">
        <v>43070</v>
      </c>
      <c r="B22" s="39"/>
      <c r="C22" s="39">
        <f t="shared" si="2"/>
        <v>17106</v>
      </c>
      <c r="D22" s="39"/>
      <c r="E22" s="39">
        <f t="shared" si="3"/>
        <v>6649</v>
      </c>
      <c r="F22" s="39"/>
      <c r="G22" s="39">
        <f t="shared" si="1"/>
        <v>665</v>
      </c>
      <c r="H22" s="39"/>
      <c r="I22" s="39">
        <f t="shared" si="4"/>
        <v>23755</v>
      </c>
      <c r="J22" s="39"/>
      <c r="K22" s="39">
        <f t="shared" si="5"/>
        <v>647800.63</v>
      </c>
      <c r="P22" s="22"/>
    </row>
    <row r="23" spans="1:21" x14ac:dyDescent="0.2">
      <c r="A23" s="209">
        <v>43252</v>
      </c>
      <c r="B23" s="39"/>
      <c r="C23" s="39">
        <f t="shared" si="2"/>
        <v>17277</v>
      </c>
      <c r="D23" s="39"/>
      <c r="E23" s="39">
        <f t="shared" si="3"/>
        <v>6478</v>
      </c>
      <c r="F23" s="39"/>
      <c r="G23" s="39">
        <f t="shared" si="1"/>
        <v>648</v>
      </c>
      <c r="H23" s="39"/>
      <c r="I23" s="39">
        <f t="shared" si="4"/>
        <v>23755</v>
      </c>
      <c r="J23" s="39"/>
      <c r="K23" s="39">
        <f t="shared" si="5"/>
        <v>630523.63</v>
      </c>
      <c r="P23" s="22"/>
    </row>
    <row r="24" spans="1:21" x14ac:dyDescent="0.2">
      <c r="A24" s="209">
        <v>43435</v>
      </c>
      <c r="B24" s="39"/>
      <c r="C24" s="39">
        <f t="shared" si="2"/>
        <v>17450</v>
      </c>
      <c r="D24" s="39"/>
      <c r="E24" s="39">
        <f t="shared" si="3"/>
        <v>6305</v>
      </c>
      <c r="F24" s="39"/>
      <c r="G24" s="39">
        <f t="shared" si="1"/>
        <v>631</v>
      </c>
      <c r="H24" s="39"/>
      <c r="I24" s="39">
        <f t="shared" si="4"/>
        <v>23755</v>
      </c>
      <c r="J24" s="39"/>
      <c r="K24" s="39">
        <f t="shared" si="5"/>
        <v>613073.63</v>
      </c>
      <c r="P24" s="22"/>
    </row>
    <row r="25" spans="1:21" x14ac:dyDescent="0.2">
      <c r="A25" s="209">
        <v>43617</v>
      </c>
      <c r="B25" s="39"/>
      <c r="C25" s="39">
        <f t="shared" si="2"/>
        <v>17624</v>
      </c>
      <c r="D25" s="39"/>
      <c r="E25" s="39">
        <f t="shared" si="3"/>
        <v>6131</v>
      </c>
      <c r="F25" s="39"/>
      <c r="G25" s="39">
        <f t="shared" si="1"/>
        <v>613</v>
      </c>
      <c r="H25" s="39"/>
      <c r="I25" s="39">
        <f t="shared" si="4"/>
        <v>23755</v>
      </c>
      <c r="J25" s="39"/>
      <c r="K25" s="39">
        <f t="shared" si="5"/>
        <v>595449.63</v>
      </c>
    </row>
    <row r="26" spans="1:21" x14ac:dyDescent="0.2">
      <c r="A26" s="209">
        <v>43800</v>
      </c>
      <c r="B26" s="39"/>
      <c r="C26" s="39">
        <f t="shared" si="2"/>
        <v>17801</v>
      </c>
      <c r="D26" s="39"/>
      <c r="E26" s="39">
        <f t="shared" si="3"/>
        <v>5954</v>
      </c>
      <c r="F26" s="39"/>
      <c r="G26" s="39">
        <f t="shared" si="1"/>
        <v>595</v>
      </c>
      <c r="H26" s="39"/>
      <c r="I26" s="39">
        <f t="shared" si="4"/>
        <v>23755</v>
      </c>
      <c r="J26" s="39"/>
      <c r="K26" s="39">
        <f t="shared" si="5"/>
        <v>577648.63</v>
      </c>
    </row>
    <row r="27" spans="1:21" x14ac:dyDescent="0.2">
      <c r="A27" s="209">
        <v>43983</v>
      </c>
      <c r="B27" s="39"/>
      <c r="C27" s="39">
        <f t="shared" si="2"/>
        <v>17979</v>
      </c>
      <c r="D27" s="39"/>
      <c r="E27" s="39">
        <f t="shared" si="3"/>
        <v>5776</v>
      </c>
      <c r="F27" s="39"/>
      <c r="G27" s="39">
        <f t="shared" si="1"/>
        <v>578</v>
      </c>
      <c r="H27" s="39"/>
      <c r="I27" s="39">
        <f t="shared" si="4"/>
        <v>23755</v>
      </c>
      <c r="J27" s="39"/>
      <c r="K27" s="39">
        <f t="shared" si="5"/>
        <v>559669.63</v>
      </c>
    </row>
    <row r="28" spans="1:21" x14ac:dyDescent="0.2">
      <c r="A28" s="209">
        <v>44166</v>
      </c>
      <c r="B28" s="39"/>
      <c r="C28" s="39">
        <f t="shared" si="2"/>
        <v>18158</v>
      </c>
      <c r="D28" s="39"/>
      <c r="E28" s="39">
        <f t="shared" si="3"/>
        <v>5597</v>
      </c>
      <c r="F28" s="39"/>
      <c r="G28" s="39">
        <f t="shared" si="1"/>
        <v>560</v>
      </c>
      <c r="H28" s="39"/>
      <c r="I28" s="39">
        <f t="shared" si="4"/>
        <v>23755</v>
      </c>
      <c r="J28" s="39"/>
      <c r="K28" s="39">
        <f t="shared" si="5"/>
        <v>541511.63</v>
      </c>
    </row>
    <row r="29" spans="1:21" x14ac:dyDescent="0.2">
      <c r="A29" s="209">
        <v>44348</v>
      </c>
      <c r="B29" s="39"/>
      <c r="C29" s="39">
        <f t="shared" si="2"/>
        <v>18340</v>
      </c>
      <c r="D29" s="39"/>
      <c r="E29" s="39">
        <f t="shared" si="3"/>
        <v>5415</v>
      </c>
      <c r="F29" s="39"/>
      <c r="G29" s="39">
        <f t="shared" si="1"/>
        <v>542</v>
      </c>
      <c r="H29" s="39"/>
      <c r="I29" s="39">
        <f t="shared" si="4"/>
        <v>23755</v>
      </c>
      <c r="J29" s="39"/>
      <c r="K29" s="39">
        <f t="shared" si="5"/>
        <v>523171.63</v>
      </c>
    </row>
    <row r="30" spans="1:21" x14ac:dyDescent="0.2">
      <c r="A30" s="209">
        <v>44531</v>
      </c>
      <c r="B30" s="39"/>
      <c r="C30" s="39">
        <f t="shared" si="2"/>
        <v>18523</v>
      </c>
      <c r="D30" s="39"/>
      <c r="E30" s="39">
        <f t="shared" si="3"/>
        <v>5232</v>
      </c>
      <c r="F30" s="39"/>
      <c r="G30" s="39">
        <f t="shared" si="1"/>
        <v>523</v>
      </c>
      <c r="H30" s="39"/>
      <c r="I30" s="39">
        <f t="shared" si="4"/>
        <v>23755</v>
      </c>
      <c r="J30" s="39"/>
      <c r="K30" s="39">
        <f t="shared" si="5"/>
        <v>504648.63</v>
      </c>
    </row>
    <row r="31" spans="1:21" x14ac:dyDescent="0.2">
      <c r="A31" s="209">
        <v>44713</v>
      </c>
      <c r="B31" s="39"/>
      <c r="C31" s="39">
        <f t="shared" si="2"/>
        <v>18709</v>
      </c>
      <c r="D31" s="39"/>
      <c r="E31" s="39">
        <f t="shared" si="3"/>
        <v>5046</v>
      </c>
      <c r="F31" s="39"/>
      <c r="G31" s="39">
        <f t="shared" si="1"/>
        <v>505</v>
      </c>
      <c r="H31" s="39"/>
      <c r="I31" s="39">
        <f t="shared" si="4"/>
        <v>23755</v>
      </c>
      <c r="J31" s="39"/>
      <c r="K31" s="39">
        <f t="shared" si="5"/>
        <v>485939.63</v>
      </c>
    </row>
    <row r="32" spans="1:21" x14ac:dyDescent="0.2">
      <c r="A32" s="209">
        <v>44896</v>
      </c>
      <c r="B32" s="39"/>
      <c r="C32" s="39">
        <f t="shared" si="2"/>
        <v>18896</v>
      </c>
      <c r="D32" s="39"/>
      <c r="E32" s="39">
        <f t="shared" si="3"/>
        <v>4859</v>
      </c>
      <c r="F32" s="39"/>
      <c r="G32" s="39">
        <f t="shared" si="1"/>
        <v>486</v>
      </c>
      <c r="H32" s="39"/>
      <c r="I32" s="39">
        <f t="shared" si="4"/>
        <v>23755</v>
      </c>
      <c r="J32" s="39"/>
      <c r="K32" s="39">
        <f t="shared" si="5"/>
        <v>467043.63</v>
      </c>
    </row>
    <row r="33" spans="1:11" x14ac:dyDescent="0.2">
      <c r="A33" s="209">
        <v>45078</v>
      </c>
      <c r="B33" s="39"/>
      <c r="C33" s="39">
        <f t="shared" si="2"/>
        <v>19085</v>
      </c>
      <c r="D33" s="39"/>
      <c r="E33" s="39">
        <f t="shared" si="3"/>
        <v>4670</v>
      </c>
      <c r="F33" s="39"/>
      <c r="G33" s="39">
        <f t="shared" si="1"/>
        <v>467</v>
      </c>
      <c r="H33" s="39"/>
      <c r="I33" s="39">
        <f t="shared" si="4"/>
        <v>23755</v>
      </c>
      <c r="J33" s="39"/>
      <c r="K33" s="39">
        <f t="shared" si="5"/>
        <v>447958.63</v>
      </c>
    </row>
    <row r="34" spans="1:11" x14ac:dyDescent="0.2">
      <c r="A34" s="209">
        <v>45261</v>
      </c>
      <c r="B34" s="39"/>
      <c r="C34" s="39">
        <f t="shared" si="2"/>
        <v>19275</v>
      </c>
      <c r="D34" s="39"/>
      <c r="E34" s="39">
        <f t="shared" si="3"/>
        <v>4480</v>
      </c>
      <c r="F34" s="39"/>
      <c r="G34" s="39">
        <f t="shared" si="1"/>
        <v>448</v>
      </c>
      <c r="H34" s="39"/>
      <c r="I34" s="39">
        <f t="shared" si="4"/>
        <v>23755</v>
      </c>
      <c r="J34" s="39"/>
      <c r="K34" s="39">
        <f t="shared" si="5"/>
        <v>428683.63</v>
      </c>
    </row>
    <row r="35" spans="1:11" x14ac:dyDescent="0.2">
      <c r="A35" s="209">
        <v>45444</v>
      </c>
      <c r="B35" s="39"/>
      <c r="C35" s="39">
        <f t="shared" si="2"/>
        <v>19468</v>
      </c>
      <c r="D35" s="39"/>
      <c r="E35" s="39">
        <f t="shared" si="3"/>
        <v>4287</v>
      </c>
      <c r="G35" s="39">
        <f t="shared" si="1"/>
        <v>429</v>
      </c>
      <c r="H35" s="39"/>
      <c r="I35" s="39">
        <f t="shared" ref="I35:I42" si="6">SUM(C35,E35)</f>
        <v>23755</v>
      </c>
      <c r="J35" s="39"/>
      <c r="K35" s="39">
        <f t="shared" si="5"/>
        <v>409215.63</v>
      </c>
    </row>
    <row r="36" spans="1:11" x14ac:dyDescent="0.2">
      <c r="A36" s="209">
        <v>45627</v>
      </c>
      <c r="B36" s="39"/>
      <c r="C36" s="39">
        <f t="shared" si="2"/>
        <v>19663</v>
      </c>
      <c r="D36" s="39"/>
      <c r="E36" s="39">
        <f t="shared" si="3"/>
        <v>4092</v>
      </c>
      <c r="G36" s="39">
        <f t="shared" si="1"/>
        <v>409</v>
      </c>
      <c r="H36" s="39"/>
      <c r="I36" s="39">
        <f t="shared" si="6"/>
        <v>23755</v>
      </c>
      <c r="J36" s="39"/>
      <c r="K36" s="39">
        <f t="shared" si="5"/>
        <v>389552.63</v>
      </c>
    </row>
    <row r="37" spans="1:11" x14ac:dyDescent="0.2">
      <c r="A37" s="209">
        <v>45809</v>
      </c>
      <c r="B37" s="39"/>
      <c r="C37" s="39">
        <f t="shared" si="2"/>
        <v>19859</v>
      </c>
      <c r="D37" s="39"/>
      <c r="E37" s="39">
        <f t="shared" si="3"/>
        <v>3896</v>
      </c>
      <c r="G37" s="39">
        <f t="shared" si="1"/>
        <v>390</v>
      </c>
      <c r="H37" s="39"/>
      <c r="I37" s="39">
        <f t="shared" si="6"/>
        <v>23755</v>
      </c>
      <c r="J37" s="39"/>
      <c r="K37" s="39">
        <f t="shared" si="5"/>
        <v>369693.63</v>
      </c>
    </row>
    <row r="38" spans="1:11" x14ac:dyDescent="0.2">
      <c r="A38" s="209">
        <v>45992</v>
      </c>
      <c r="B38" s="39"/>
      <c r="C38" s="39">
        <f t="shared" si="2"/>
        <v>20058</v>
      </c>
      <c r="D38" s="39"/>
      <c r="E38" s="39">
        <f t="shared" si="3"/>
        <v>3697</v>
      </c>
      <c r="G38" s="39">
        <f t="shared" si="1"/>
        <v>370</v>
      </c>
      <c r="H38" s="39"/>
      <c r="I38" s="39">
        <f t="shared" si="6"/>
        <v>23755</v>
      </c>
      <c r="J38" s="39"/>
      <c r="K38" s="39">
        <f t="shared" si="5"/>
        <v>349635.63</v>
      </c>
    </row>
    <row r="39" spans="1:11" x14ac:dyDescent="0.2">
      <c r="A39" s="209">
        <v>46174</v>
      </c>
      <c r="B39" s="39"/>
      <c r="C39" s="39">
        <f t="shared" si="2"/>
        <v>20259</v>
      </c>
      <c r="D39" s="39"/>
      <c r="E39" s="39">
        <f t="shared" si="3"/>
        <v>3496</v>
      </c>
      <c r="G39" s="39">
        <f t="shared" si="1"/>
        <v>350</v>
      </c>
      <c r="H39" s="39"/>
      <c r="I39" s="39">
        <f t="shared" si="6"/>
        <v>23755</v>
      </c>
      <c r="J39" s="39"/>
      <c r="K39" s="39">
        <f t="shared" si="5"/>
        <v>329376.63</v>
      </c>
    </row>
    <row r="40" spans="1:11" x14ac:dyDescent="0.2">
      <c r="A40" s="209">
        <v>46357</v>
      </c>
      <c r="B40" s="39"/>
      <c r="C40" s="39">
        <f t="shared" si="2"/>
        <v>20461</v>
      </c>
      <c r="D40" s="39"/>
      <c r="E40" s="39">
        <f t="shared" si="3"/>
        <v>3294</v>
      </c>
      <c r="G40" s="39">
        <f t="shared" si="1"/>
        <v>329</v>
      </c>
      <c r="H40" s="39"/>
      <c r="I40" s="39">
        <f t="shared" si="6"/>
        <v>23755</v>
      </c>
      <c r="J40" s="39"/>
      <c r="K40" s="39">
        <f t="shared" si="5"/>
        <v>308915.63</v>
      </c>
    </row>
    <row r="41" spans="1:11" x14ac:dyDescent="0.2">
      <c r="A41" s="209">
        <v>46539</v>
      </c>
      <c r="B41" s="39"/>
      <c r="C41" s="39">
        <f t="shared" si="2"/>
        <v>20666</v>
      </c>
      <c r="D41" s="39"/>
      <c r="E41" s="39">
        <f t="shared" si="3"/>
        <v>3089</v>
      </c>
      <c r="G41" s="39">
        <f t="shared" si="1"/>
        <v>309</v>
      </c>
      <c r="H41" s="39"/>
      <c r="I41" s="39">
        <f t="shared" si="6"/>
        <v>23755</v>
      </c>
      <c r="J41" s="39"/>
      <c r="K41" s="39">
        <f t="shared" si="5"/>
        <v>288249.63</v>
      </c>
    </row>
    <row r="42" spans="1:11" x14ac:dyDescent="0.2">
      <c r="A42" s="209">
        <v>46722</v>
      </c>
      <c r="B42" s="39"/>
      <c r="C42" s="39">
        <f t="shared" si="2"/>
        <v>20873</v>
      </c>
      <c r="D42" s="39"/>
      <c r="E42" s="39">
        <f t="shared" si="3"/>
        <v>2882</v>
      </c>
      <c r="G42" s="39">
        <f t="shared" si="1"/>
        <v>288</v>
      </c>
      <c r="H42" s="39"/>
      <c r="I42" s="39">
        <f t="shared" si="6"/>
        <v>23755</v>
      </c>
      <c r="J42" s="39"/>
      <c r="K42" s="39">
        <f t="shared" si="5"/>
        <v>267376.63</v>
      </c>
    </row>
    <row r="43" spans="1:11" x14ac:dyDescent="0.2">
      <c r="A43" s="209">
        <v>46905</v>
      </c>
      <c r="B43" s="39"/>
      <c r="C43" s="39">
        <f t="shared" si="2"/>
        <v>21081</v>
      </c>
      <c r="D43" s="39"/>
      <c r="E43" s="39">
        <f t="shared" si="3"/>
        <v>2674</v>
      </c>
      <c r="G43" s="39">
        <f t="shared" si="1"/>
        <v>267</v>
      </c>
      <c r="H43" s="39"/>
      <c r="I43" s="39">
        <f t="shared" ref="I43:I51" si="7">SUM(C43,E43)</f>
        <v>23755</v>
      </c>
      <c r="J43" s="39"/>
      <c r="K43" s="39">
        <f t="shared" ref="K43:K51" si="8">K42-C43</f>
        <v>246295.63</v>
      </c>
    </row>
    <row r="44" spans="1:11" x14ac:dyDescent="0.2">
      <c r="A44" s="209">
        <v>47088</v>
      </c>
      <c r="B44" s="39"/>
      <c r="C44" s="39">
        <f t="shared" si="2"/>
        <v>21292</v>
      </c>
      <c r="D44" s="39"/>
      <c r="E44" s="39">
        <f t="shared" si="3"/>
        <v>2463</v>
      </c>
      <c r="G44" s="39">
        <f t="shared" si="1"/>
        <v>246</v>
      </c>
      <c r="H44" s="39"/>
      <c r="I44" s="39">
        <f t="shared" si="7"/>
        <v>23755</v>
      </c>
      <c r="J44" s="39"/>
      <c r="K44" s="39">
        <f t="shared" si="8"/>
        <v>225003.63</v>
      </c>
    </row>
    <row r="45" spans="1:11" x14ac:dyDescent="0.2">
      <c r="A45" s="209">
        <v>47270</v>
      </c>
      <c r="B45" s="39"/>
      <c r="C45" s="39">
        <f t="shared" si="2"/>
        <v>21505</v>
      </c>
      <c r="D45" s="39"/>
      <c r="E45" s="39">
        <f t="shared" si="3"/>
        <v>2250</v>
      </c>
      <c r="G45" s="39">
        <f t="shared" si="1"/>
        <v>225</v>
      </c>
      <c r="H45" s="39"/>
      <c r="I45" s="39">
        <f t="shared" si="7"/>
        <v>23755</v>
      </c>
      <c r="J45" s="39"/>
      <c r="K45" s="39">
        <f t="shared" si="8"/>
        <v>203498.63</v>
      </c>
    </row>
    <row r="46" spans="1:11" x14ac:dyDescent="0.2">
      <c r="A46" s="209">
        <v>47453</v>
      </c>
      <c r="B46" s="39"/>
      <c r="C46" s="39">
        <f t="shared" si="2"/>
        <v>21720</v>
      </c>
      <c r="D46" s="39"/>
      <c r="E46" s="39">
        <f t="shared" si="3"/>
        <v>2035</v>
      </c>
      <c r="G46" s="39">
        <f t="shared" si="1"/>
        <v>203</v>
      </c>
      <c r="H46" s="39"/>
      <c r="I46" s="39">
        <f t="shared" si="7"/>
        <v>23755</v>
      </c>
      <c r="J46" s="39"/>
      <c r="K46" s="39">
        <f t="shared" si="8"/>
        <v>181778.63</v>
      </c>
    </row>
    <row r="47" spans="1:11" x14ac:dyDescent="0.2">
      <c r="A47" s="209">
        <v>47635</v>
      </c>
      <c r="B47" s="39"/>
      <c r="C47" s="39">
        <f t="shared" si="2"/>
        <v>21937</v>
      </c>
      <c r="D47" s="39"/>
      <c r="E47" s="39">
        <f t="shared" si="3"/>
        <v>1818</v>
      </c>
      <c r="G47" s="39">
        <f t="shared" si="1"/>
        <v>182</v>
      </c>
      <c r="H47" s="39"/>
      <c r="I47" s="39">
        <f t="shared" si="7"/>
        <v>23755</v>
      </c>
      <c r="J47" s="39"/>
      <c r="K47" s="39">
        <f t="shared" si="8"/>
        <v>159841.63</v>
      </c>
    </row>
    <row r="48" spans="1:11" x14ac:dyDescent="0.2">
      <c r="A48" s="209">
        <v>47818</v>
      </c>
      <c r="B48" s="39"/>
      <c r="C48" s="39">
        <f t="shared" si="2"/>
        <v>22157</v>
      </c>
      <c r="D48" s="39"/>
      <c r="E48" s="39">
        <f t="shared" si="3"/>
        <v>1598</v>
      </c>
      <c r="G48" s="39">
        <f t="shared" si="1"/>
        <v>160</v>
      </c>
      <c r="H48" s="39"/>
      <c r="I48" s="39">
        <f t="shared" si="7"/>
        <v>23755</v>
      </c>
      <c r="J48" s="39"/>
      <c r="K48" s="39">
        <f t="shared" si="8"/>
        <v>137684.63</v>
      </c>
    </row>
    <row r="49" spans="1:11" x14ac:dyDescent="0.2">
      <c r="A49" s="209">
        <v>48000</v>
      </c>
      <c r="B49" s="39"/>
      <c r="C49" s="39">
        <f t="shared" si="2"/>
        <v>22378</v>
      </c>
      <c r="D49" s="39"/>
      <c r="E49" s="39">
        <f t="shared" si="3"/>
        <v>1377</v>
      </c>
      <c r="G49" s="39">
        <f t="shared" si="1"/>
        <v>138</v>
      </c>
      <c r="H49" s="39"/>
      <c r="I49" s="39">
        <f t="shared" si="7"/>
        <v>23755</v>
      </c>
      <c r="J49" s="39"/>
      <c r="K49" s="39">
        <f t="shared" si="8"/>
        <v>115306.63</v>
      </c>
    </row>
    <row r="50" spans="1:11" x14ac:dyDescent="0.2">
      <c r="A50" s="209">
        <v>48183</v>
      </c>
      <c r="B50" s="39"/>
      <c r="C50" s="39">
        <f t="shared" si="2"/>
        <v>22602</v>
      </c>
      <c r="D50" s="39"/>
      <c r="E50" s="39">
        <f t="shared" si="3"/>
        <v>1153</v>
      </c>
      <c r="G50" s="39">
        <f t="shared" si="1"/>
        <v>115</v>
      </c>
      <c r="H50" s="39"/>
      <c r="I50" s="39">
        <f t="shared" si="7"/>
        <v>23755</v>
      </c>
      <c r="J50" s="39"/>
      <c r="K50" s="39">
        <f t="shared" si="8"/>
        <v>92704.63</v>
      </c>
    </row>
    <row r="51" spans="1:11" x14ac:dyDescent="0.2">
      <c r="A51" s="209">
        <v>48366</v>
      </c>
      <c r="B51" s="39"/>
      <c r="C51" s="39">
        <f t="shared" si="2"/>
        <v>22828</v>
      </c>
      <c r="D51" s="39"/>
      <c r="E51" s="39">
        <f t="shared" si="3"/>
        <v>927</v>
      </c>
      <c r="G51" s="39">
        <f t="shared" si="1"/>
        <v>93</v>
      </c>
      <c r="H51" s="39"/>
      <c r="I51" s="39">
        <f t="shared" si="7"/>
        <v>23755</v>
      </c>
      <c r="J51" s="39"/>
      <c r="K51" s="39">
        <f t="shared" si="8"/>
        <v>69876.63</v>
      </c>
    </row>
    <row r="52" spans="1:11" x14ac:dyDescent="0.2">
      <c r="A52" s="209">
        <v>48549</v>
      </c>
      <c r="B52" s="39"/>
      <c r="C52" s="39">
        <f t="shared" si="2"/>
        <v>23056</v>
      </c>
      <c r="D52" s="39"/>
      <c r="E52" s="39">
        <f t="shared" si="3"/>
        <v>699</v>
      </c>
      <c r="G52" s="39">
        <f t="shared" si="1"/>
        <v>70</v>
      </c>
      <c r="H52" s="39"/>
      <c r="I52" s="39">
        <f t="shared" ref="I52:I53" si="9">SUM(C52,E52)</f>
        <v>23755</v>
      </c>
      <c r="J52" s="39"/>
      <c r="K52" s="39">
        <f t="shared" ref="K52:K53" si="10">K51-C52</f>
        <v>46820.630000000005</v>
      </c>
    </row>
    <row r="53" spans="1:11" x14ac:dyDescent="0.2">
      <c r="A53" s="209">
        <v>48731</v>
      </c>
      <c r="B53" s="39"/>
      <c r="C53" s="39">
        <f t="shared" si="2"/>
        <v>23287</v>
      </c>
      <c r="D53" s="39"/>
      <c r="E53" s="39">
        <f t="shared" si="3"/>
        <v>468</v>
      </c>
      <c r="G53" s="39">
        <f t="shared" si="1"/>
        <v>47</v>
      </c>
      <c r="H53" s="39"/>
      <c r="I53" s="39">
        <f t="shared" si="9"/>
        <v>23755</v>
      </c>
      <c r="J53" s="39"/>
      <c r="K53" s="39">
        <f t="shared" si="10"/>
        <v>23533.630000000005</v>
      </c>
    </row>
    <row r="54" spans="1:11" x14ac:dyDescent="0.2">
      <c r="A54" s="209">
        <v>48914</v>
      </c>
      <c r="B54" s="39"/>
      <c r="C54" s="39">
        <f>K53</f>
        <v>23533.630000000005</v>
      </c>
      <c r="D54" s="39"/>
      <c r="E54" s="39">
        <f t="shared" si="3"/>
        <v>235</v>
      </c>
      <c r="G54" s="39">
        <f t="shared" si="1"/>
        <v>24</v>
      </c>
      <c r="H54" s="39"/>
      <c r="I54" s="39">
        <f t="shared" ref="I54" si="11">SUM(C54,E54)</f>
        <v>23768.630000000005</v>
      </c>
      <c r="J54" s="39"/>
      <c r="K54" s="39">
        <f t="shared" ref="K54" si="12">K53-C54</f>
        <v>0</v>
      </c>
    </row>
    <row r="55" spans="1:11" ht="15.75" thickBot="1" x14ac:dyDescent="0.25">
      <c r="A55" s="246"/>
      <c r="B55" s="39"/>
      <c r="C55" s="244">
        <f>SUM(C15:C54)</f>
        <v>780000</v>
      </c>
      <c r="D55" s="39"/>
      <c r="E55" s="244">
        <f>SUM(E15:E54)</f>
        <v>170190.72999999998</v>
      </c>
      <c r="G55" s="244">
        <f>SUM(G15:G54)</f>
        <v>17025</v>
      </c>
      <c r="H55" s="39"/>
      <c r="I55" s="244">
        <f>SUM(I15:I54)</f>
        <v>950190.73</v>
      </c>
      <c r="J55" s="39"/>
    </row>
    <row r="56" spans="1:11" ht="15.75" thickTop="1" x14ac:dyDescent="0.2">
      <c r="A56" s="246"/>
      <c r="B56" s="39"/>
      <c r="C56" s="39"/>
      <c r="D56" s="39"/>
      <c r="E56" s="39"/>
      <c r="G56" s="39"/>
      <c r="H56" s="39"/>
      <c r="I56" s="39"/>
      <c r="J56" s="39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F295D-622E-4455-805B-BC9FB565C555}">
  <dimension ref="A1:U56"/>
  <sheetViews>
    <sheetView topLeftCell="A11" workbookViewId="0">
      <selection activeCell="L11" sqref="L1:U1048576"/>
    </sheetView>
  </sheetViews>
  <sheetFormatPr defaultColWidth="11.44140625" defaultRowHeight="15" x14ac:dyDescent="0.2"/>
  <cols>
    <col min="1" max="1" width="12.77734375" style="209" customWidth="1"/>
    <col min="2" max="2" width="1.33203125" customWidth="1"/>
    <col min="3" max="3" width="11.44140625" style="246"/>
    <col min="4" max="4" width="1.33203125" customWidth="1"/>
    <col min="6" max="6" width="1.33203125" customWidth="1"/>
    <col min="8" max="8" width="1.33203125" customWidth="1"/>
    <col min="10" max="10" width="1.33203125" customWidth="1"/>
    <col min="11" max="11" width="11.44140625" style="39"/>
    <col min="12" max="12" width="1.33203125" style="39" customWidth="1"/>
    <col min="14" max="14" width="1.77734375" customWidth="1"/>
    <col min="16" max="16" width="1.77734375" customWidth="1"/>
    <col min="18" max="18" width="1.77734375" customWidth="1"/>
    <col min="20" max="20" width="1.77734375" customWidth="1"/>
  </cols>
  <sheetData>
    <row r="1" spans="1:21" x14ac:dyDescent="0.2">
      <c r="A1" s="202" t="s">
        <v>177</v>
      </c>
      <c r="I1" s="39">
        <v>849154</v>
      </c>
      <c r="J1" s="39"/>
      <c r="K1"/>
    </row>
    <row r="2" spans="1:21" x14ac:dyDescent="0.2">
      <c r="A2" s="202" t="s">
        <v>178</v>
      </c>
      <c r="I2" s="39"/>
      <c r="J2" s="39"/>
      <c r="K2"/>
    </row>
    <row r="3" spans="1:21" x14ac:dyDescent="0.2">
      <c r="A3" s="202" t="s">
        <v>179</v>
      </c>
      <c r="I3" s="39">
        <f>SUM(I1:I2)</f>
        <v>849154</v>
      </c>
      <c r="J3" s="39"/>
      <c r="K3"/>
    </row>
    <row r="4" spans="1:21" x14ac:dyDescent="0.2">
      <c r="A4" s="247" t="s">
        <v>154</v>
      </c>
      <c r="I4" s="169">
        <v>4.0000000000000001E-3</v>
      </c>
      <c r="J4" s="169"/>
      <c r="K4"/>
    </row>
    <row r="5" spans="1:21" x14ac:dyDescent="0.2">
      <c r="I5" s="169">
        <f>ROUND(I4/2,4)</f>
        <v>2E-3</v>
      </c>
      <c r="J5" s="169"/>
      <c r="K5"/>
    </row>
    <row r="6" spans="1:21" x14ac:dyDescent="0.2">
      <c r="A6" s="247" t="s">
        <v>155</v>
      </c>
      <c r="I6" s="39">
        <v>20</v>
      </c>
      <c r="J6" s="39"/>
      <c r="K6" t="s">
        <v>156</v>
      </c>
    </row>
    <row r="7" spans="1:21" x14ac:dyDescent="0.2">
      <c r="A7" s="210" t="s">
        <v>180</v>
      </c>
      <c r="I7" s="39">
        <f>I6*2</f>
        <v>40</v>
      </c>
      <c r="J7" s="39"/>
      <c r="K7" s="12" t="s">
        <v>171</v>
      </c>
    </row>
    <row r="8" spans="1:21" x14ac:dyDescent="0.2">
      <c r="I8" s="39"/>
      <c r="J8" s="39"/>
      <c r="K8"/>
    </row>
    <row r="9" spans="1:21" x14ac:dyDescent="0.2">
      <c r="A9" s="247" t="s">
        <v>157</v>
      </c>
      <c r="I9" s="39">
        <f>-PMT(I5,I7,I3)</f>
        <v>22110.535323249474</v>
      </c>
      <c r="J9" s="39"/>
      <c r="K9"/>
    </row>
    <row r="10" spans="1:21" x14ac:dyDescent="0.2">
      <c r="A10" s="247" t="s">
        <v>158</v>
      </c>
      <c r="I10" s="39">
        <v>25858</v>
      </c>
    </row>
    <row r="12" spans="1:21" x14ac:dyDescent="0.2">
      <c r="A12" s="210" t="s">
        <v>89</v>
      </c>
      <c r="B12" s="123"/>
      <c r="C12" s="123"/>
      <c r="D12" s="123"/>
      <c r="E12" s="123"/>
      <c r="F12" s="123"/>
      <c r="G12" s="123" t="s">
        <v>159</v>
      </c>
      <c r="H12" s="123"/>
      <c r="I12" s="123"/>
      <c r="J12" s="40"/>
      <c r="K12" s="123" t="s">
        <v>148</v>
      </c>
      <c r="M12" s="17"/>
      <c r="N12" s="17"/>
      <c r="O12" s="40"/>
      <c r="P12" s="22"/>
      <c r="Q12" s="40"/>
      <c r="R12" s="22"/>
      <c r="S12" s="40" t="s">
        <v>98</v>
      </c>
      <c r="U12" s="40" t="s">
        <v>53</v>
      </c>
    </row>
    <row r="13" spans="1:21" x14ac:dyDescent="0.2">
      <c r="A13" s="208" t="s">
        <v>181</v>
      </c>
      <c r="B13" s="123"/>
      <c r="C13" s="130" t="s">
        <v>23</v>
      </c>
      <c r="D13" s="123"/>
      <c r="E13" s="130" t="s">
        <v>24</v>
      </c>
      <c r="F13" s="123"/>
      <c r="G13" s="206">
        <v>1E-3</v>
      </c>
      <c r="H13" s="123"/>
      <c r="I13" s="130" t="s">
        <v>160</v>
      </c>
      <c r="J13" s="123"/>
      <c r="K13" s="130" t="s">
        <v>49</v>
      </c>
      <c r="M13" s="24" t="s">
        <v>37</v>
      </c>
      <c r="N13" s="17"/>
      <c r="O13" s="198" t="s">
        <v>23</v>
      </c>
      <c r="P13" s="22"/>
      <c r="Q13" s="198" t="s">
        <v>24</v>
      </c>
      <c r="R13" s="22"/>
      <c r="S13" s="198" t="s">
        <v>143</v>
      </c>
      <c r="U13" s="198" t="s">
        <v>89</v>
      </c>
    </row>
    <row r="14" spans="1:21" x14ac:dyDescent="0.2">
      <c r="A14" s="246"/>
      <c r="B14" s="39"/>
      <c r="C14" s="39"/>
      <c r="D14" s="39"/>
      <c r="E14" s="39"/>
      <c r="F14" s="39"/>
      <c r="G14" s="39"/>
      <c r="H14" s="39"/>
      <c r="I14" s="39"/>
      <c r="J14" s="39"/>
      <c r="K14" s="39">
        <f>I3</f>
        <v>849154</v>
      </c>
      <c r="M14" s="19">
        <v>2024</v>
      </c>
      <c r="N14" s="17"/>
      <c r="O14" s="20">
        <f>SUM(C44:C45)</f>
        <v>51253</v>
      </c>
      <c r="P14" s="22"/>
      <c r="Q14" s="20">
        <f>SUM(E44:E45)</f>
        <v>463</v>
      </c>
      <c r="R14" s="22"/>
      <c r="S14" s="20">
        <f>SUM(G44:G45)</f>
        <v>232</v>
      </c>
      <c r="U14" s="20">
        <f t="shared" ref="U14:U19" si="0">SUM(O14,Q14,S14)</f>
        <v>51948</v>
      </c>
    </row>
    <row r="15" spans="1:21" x14ac:dyDescent="0.2">
      <c r="A15" s="209">
        <v>40148</v>
      </c>
      <c r="B15" s="39"/>
      <c r="C15" s="39">
        <f>ROUND(I$10-E15,0)</f>
        <v>24160</v>
      </c>
      <c r="D15" s="39"/>
      <c r="E15" s="39">
        <f t="shared" ref="E15:E48" si="1">ROUND(I$5*K14,0)</f>
        <v>1698</v>
      </c>
      <c r="F15" s="39"/>
      <c r="G15" s="39">
        <f t="shared" ref="G15:G48" si="2">ROUND(K14*G$13,0)</f>
        <v>849</v>
      </c>
      <c r="H15" s="39"/>
      <c r="I15" s="39">
        <f>SUM(C15,E15)</f>
        <v>25858</v>
      </c>
      <c r="J15" s="39"/>
      <c r="K15" s="39">
        <f>K14-C15</f>
        <v>824994</v>
      </c>
      <c r="M15" s="19">
        <v>2025</v>
      </c>
      <c r="N15" s="17"/>
      <c r="O15" s="17">
        <f>SUM(C46:C47)</f>
        <v>51458</v>
      </c>
      <c r="P15" s="22"/>
      <c r="Q15" s="17">
        <f>SUM(E46:E47)</f>
        <v>258</v>
      </c>
      <c r="R15" s="21"/>
      <c r="S15" s="17">
        <f>SUM(G46:G47)</f>
        <v>129</v>
      </c>
      <c r="U15" s="17">
        <f t="shared" si="0"/>
        <v>51845</v>
      </c>
    </row>
    <row r="16" spans="1:21" x14ac:dyDescent="0.2">
      <c r="A16" s="209">
        <v>40330</v>
      </c>
      <c r="B16" s="39"/>
      <c r="C16" s="39">
        <f t="shared" ref="C16:C47" si="3">ROUND(I$10-E16,0)</f>
        <v>24208</v>
      </c>
      <c r="D16" s="39"/>
      <c r="E16" s="39">
        <f t="shared" si="1"/>
        <v>1650</v>
      </c>
      <c r="F16" s="39"/>
      <c r="G16" s="39">
        <f t="shared" si="2"/>
        <v>825</v>
      </c>
      <c r="H16" s="39"/>
      <c r="I16" s="39">
        <f t="shared" ref="I16:I48" si="4">SUM(C16,E16)</f>
        <v>25858</v>
      </c>
      <c r="J16" s="39"/>
      <c r="K16" s="39">
        <f t="shared" ref="K16:K48" si="5">K15-C16</f>
        <v>800786</v>
      </c>
      <c r="M16" s="19">
        <v>2026</v>
      </c>
      <c r="N16" s="17"/>
      <c r="O16" s="17">
        <f>C48</f>
        <v>25837</v>
      </c>
      <c r="P16" s="22"/>
      <c r="Q16" s="17">
        <f>E48</f>
        <v>52</v>
      </c>
      <c r="R16" s="21"/>
      <c r="S16" s="17">
        <f>G48</f>
        <v>26</v>
      </c>
      <c r="U16" s="17">
        <f t="shared" si="0"/>
        <v>25915</v>
      </c>
    </row>
    <row r="17" spans="1:21" x14ac:dyDescent="0.2">
      <c r="A17" s="209">
        <v>40513</v>
      </c>
      <c r="B17" s="39"/>
      <c r="C17" s="39">
        <f t="shared" si="3"/>
        <v>24256</v>
      </c>
      <c r="D17" s="39"/>
      <c r="E17" s="39">
        <f t="shared" si="1"/>
        <v>1602</v>
      </c>
      <c r="F17" s="39"/>
      <c r="G17" s="39">
        <f t="shared" si="2"/>
        <v>801</v>
      </c>
      <c r="H17" s="39"/>
      <c r="I17" s="39">
        <f t="shared" si="4"/>
        <v>25858</v>
      </c>
      <c r="J17" s="39"/>
      <c r="K17" s="39">
        <f t="shared" si="5"/>
        <v>776530</v>
      </c>
      <c r="M17" s="19">
        <v>2027</v>
      </c>
      <c r="N17" s="19"/>
      <c r="O17" s="17"/>
      <c r="P17" s="22"/>
      <c r="Q17" s="17"/>
      <c r="R17" s="21"/>
      <c r="S17" s="17"/>
      <c r="U17" s="17">
        <f t="shared" si="0"/>
        <v>0</v>
      </c>
    </row>
    <row r="18" spans="1:21" x14ac:dyDescent="0.2">
      <c r="A18" s="209">
        <v>40695</v>
      </c>
      <c r="B18" s="39"/>
      <c r="C18" s="39">
        <f t="shared" si="3"/>
        <v>24305</v>
      </c>
      <c r="D18" s="39"/>
      <c r="E18" s="39">
        <f t="shared" si="1"/>
        <v>1553</v>
      </c>
      <c r="F18" s="39"/>
      <c r="G18" s="39">
        <f t="shared" si="2"/>
        <v>777</v>
      </c>
      <c r="H18" s="39"/>
      <c r="I18" s="39">
        <f t="shared" si="4"/>
        <v>25858</v>
      </c>
      <c r="J18" s="39"/>
      <c r="K18" s="39">
        <f t="shared" si="5"/>
        <v>752225</v>
      </c>
      <c r="M18" s="19">
        <v>2028</v>
      </c>
      <c r="N18" s="19"/>
      <c r="O18" s="17"/>
      <c r="P18" s="22"/>
      <c r="Q18" s="17"/>
      <c r="R18" s="21"/>
      <c r="S18" s="17"/>
      <c r="U18" s="17">
        <f t="shared" si="0"/>
        <v>0</v>
      </c>
    </row>
    <row r="19" spans="1:21" x14ac:dyDescent="0.2">
      <c r="A19" s="209">
        <v>40878</v>
      </c>
      <c r="B19" s="39"/>
      <c r="C19" s="39">
        <f t="shared" si="3"/>
        <v>24354</v>
      </c>
      <c r="D19" s="39"/>
      <c r="E19" s="39">
        <f t="shared" si="1"/>
        <v>1504</v>
      </c>
      <c r="F19" s="39"/>
      <c r="G19" s="39">
        <f t="shared" si="2"/>
        <v>752</v>
      </c>
      <c r="H19" s="39"/>
      <c r="I19" s="39">
        <f t="shared" si="4"/>
        <v>25858</v>
      </c>
      <c r="J19" s="39"/>
      <c r="K19" s="39">
        <f t="shared" si="5"/>
        <v>727871</v>
      </c>
      <c r="M19" s="19">
        <v>2029</v>
      </c>
      <c r="N19" s="18"/>
      <c r="O19" s="17"/>
      <c r="P19" s="22"/>
      <c r="Q19" s="17"/>
      <c r="R19" s="21"/>
      <c r="S19" s="17"/>
      <c r="U19" s="17">
        <f t="shared" si="0"/>
        <v>0</v>
      </c>
    </row>
    <row r="20" spans="1:21" x14ac:dyDescent="0.2">
      <c r="A20" s="209">
        <v>41061</v>
      </c>
      <c r="B20" s="39"/>
      <c r="C20" s="39">
        <f t="shared" si="3"/>
        <v>24402</v>
      </c>
      <c r="D20" s="39"/>
      <c r="E20" s="39">
        <f t="shared" si="1"/>
        <v>1456</v>
      </c>
      <c r="F20" s="39"/>
      <c r="G20" s="39">
        <f t="shared" si="2"/>
        <v>728</v>
      </c>
      <c r="H20" s="39"/>
      <c r="I20" s="39">
        <f t="shared" si="4"/>
        <v>25858</v>
      </c>
      <c r="J20" s="39"/>
      <c r="K20" s="39">
        <f t="shared" si="5"/>
        <v>703469</v>
      </c>
      <c r="M20" s="19"/>
      <c r="N20" s="19"/>
      <c r="O20" s="17"/>
      <c r="P20" s="22"/>
      <c r="Q20" s="17"/>
      <c r="R20" s="21"/>
      <c r="S20" s="21"/>
    </row>
    <row r="21" spans="1:21" x14ac:dyDescent="0.2">
      <c r="A21" s="209">
        <v>41244</v>
      </c>
      <c r="B21" s="39"/>
      <c r="C21" s="39">
        <f t="shared" si="3"/>
        <v>24451</v>
      </c>
      <c r="D21" s="39"/>
      <c r="E21" s="39">
        <f t="shared" si="1"/>
        <v>1407</v>
      </c>
      <c r="F21" s="39"/>
      <c r="G21" s="39">
        <f t="shared" si="2"/>
        <v>703</v>
      </c>
      <c r="H21" s="39"/>
      <c r="I21" s="39">
        <f t="shared" si="4"/>
        <v>25858</v>
      </c>
      <c r="J21" s="39"/>
      <c r="K21" s="39">
        <f t="shared" si="5"/>
        <v>679018</v>
      </c>
      <c r="M21" s="18"/>
      <c r="N21" s="18"/>
      <c r="O21" s="22"/>
      <c r="P21" s="22"/>
      <c r="Q21" s="22"/>
      <c r="R21" s="120"/>
      <c r="S21" s="22"/>
    </row>
    <row r="22" spans="1:21" x14ac:dyDescent="0.2">
      <c r="A22" s="209">
        <v>41426</v>
      </c>
      <c r="B22" s="39"/>
      <c r="C22" s="39">
        <f t="shared" si="3"/>
        <v>24500</v>
      </c>
      <c r="D22" s="39"/>
      <c r="E22" s="39">
        <f t="shared" si="1"/>
        <v>1358</v>
      </c>
      <c r="F22" s="39"/>
      <c r="G22" s="39">
        <f t="shared" si="2"/>
        <v>679</v>
      </c>
      <c r="H22" s="39"/>
      <c r="I22" s="39">
        <f t="shared" si="4"/>
        <v>25858</v>
      </c>
      <c r="J22" s="39"/>
      <c r="K22" s="39">
        <f t="shared" si="5"/>
        <v>654518</v>
      </c>
      <c r="P22" s="22"/>
    </row>
    <row r="23" spans="1:21" x14ac:dyDescent="0.2">
      <c r="A23" s="209">
        <v>41609</v>
      </c>
      <c r="B23" s="39"/>
      <c r="C23" s="39">
        <f t="shared" si="3"/>
        <v>24549</v>
      </c>
      <c r="D23" s="39"/>
      <c r="E23" s="39">
        <f t="shared" si="1"/>
        <v>1309</v>
      </c>
      <c r="F23" s="39"/>
      <c r="G23" s="39">
        <f t="shared" si="2"/>
        <v>655</v>
      </c>
      <c r="H23" s="39"/>
      <c r="I23" s="39">
        <f t="shared" si="4"/>
        <v>25858</v>
      </c>
      <c r="J23" s="39"/>
      <c r="K23" s="39">
        <f t="shared" si="5"/>
        <v>629969</v>
      </c>
      <c r="P23" s="22"/>
    </row>
    <row r="24" spans="1:21" x14ac:dyDescent="0.2">
      <c r="A24" s="209">
        <v>41791</v>
      </c>
      <c r="B24" s="39"/>
      <c r="C24" s="39">
        <f t="shared" si="3"/>
        <v>24598</v>
      </c>
      <c r="D24" s="39"/>
      <c r="E24" s="39">
        <f t="shared" si="1"/>
        <v>1260</v>
      </c>
      <c r="F24" s="39"/>
      <c r="G24" s="39">
        <f t="shared" si="2"/>
        <v>630</v>
      </c>
      <c r="H24" s="39"/>
      <c r="I24" s="39">
        <f t="shared" si="4"/>
        <v>25858</v>
      </c>
      <c r="J24" s="39"/>
      <c r="K24" s="39">
        <f t="shared" si="5"/>
        <v>605371</v>
      </c>
      <c r="P24" s="22"/>
    </row>
    <row r="25" spans="1:21" x14ac:dyDescent="0.2">
      <c r="A25" s="209">
        <v>41974</v>
      </c>
      <c r="B25" s="39"/>
      <c r="C25" s="39">
        <f t="shared" si="3"/>
        <v>24647</v>
      </c>
      <c r="D25" s="39"/>
      <c r="E25" s="39">
        <f t="shared" si="1"/>
        <v>1211</v>
      </c>
      <c r="F25" s="39"/>
      <c r="G25" s="39">
        <f t="shared" si="2"/>
        <v>605</v>
      </c>
      <c r="H25" s="39"/>
      <c r="I25" s="39">
        <f t="shared" si="4"/>
        <v>25858</v>
      </c>
      <c r="J25" s="39"/>
      <c r="K25" s="39">
        <f t="shared" si="5"/>
        <v>580724</v>
      </c>
    </row>
    <row r="26" spans="1:21" x14ac:dyDescent="0.2">
      <c r="A26" s="209">
        <v>42156</v>
      </c>
      <c r="B26" s="39"/>
      <c r="C26" s="39">
        <f t="shared" si="3"/>
        <v>24697</v>
      </c>
      <c r="D26" s="39"/>
      <c r="E26" s="39">
        <f t="shared" si="1"/>
        <v>1161</v>
      </c>
      <c r="F26" s="39"/>
      <c r="G26" s="39">
        <f t="shared" si="2"/>
        <v>581</v>
      </c>
      <c r="H26" s="39"/>
      <c r="I26" s="39">
        <f t="shared" si="4"/>
        <v>25858</v>
      </c>
      <c r="J26" s="39"/>
      <c r="K26" s="39">
        <f t="shared" si="5"/>
        <v>556027</v>
      </c>
    </row>
    <row r="27" spans="1:21" x14ac:dyDescent="0.2">
      <c r="A27" s="209">
        <v>42339</v>
      </c>
      <c r="B27" s="39"/>
      <c r="C27" s="39">
        <f t="shared" si="3"/>
        <v>24746</v>
      </c>
      <c r="D27" s="39"/>
      <c r="E27" s="39">
        <f t="shared" si="1"/>
        <v>1112</v>
      </c>
      <c r="F27" s="39"/>
      <c r="G27" s="39">
        <f t="shared" si="2"/>
        <v>556</v>
      </c>
      <c r="H27" s="39"/>
      <c r="I27" s="39">
        <f t="shared" si="4"/>
        <v>25858</v>
      </c>
      <c r="J27" s="39"/>
      <c r="K27" s="39">
        <f t="shared" si="5"/>
        <v>531281</v>
      </c>
    </row>
    <row r="28" spans="1:21" x14ac:dyDescent="0.2">
      <c r="A28" s="209">
        <v>42522</v>
      </c>
      <c r="B28" s="39"/>
      <c r="C28" s="39">
        <f t="shared" si="3"/>
        <v>24795</v>
      </c>
      <c r="D28" s="39"/>
      <c r="E28" s="39">
        <f t="shared" si="1"/>
        <v>1063</v>
      </c>
      <c r="F28" s="39"/>
      <c r="G28" s="39">
        <f t="shared" si="2"/>
        <v>531</v>
      </c>
      <c r="H28" s="39"/>
      <c r="I28" s="39">
        <f t="shared" si="4"/>
        <v>25858</v>
      </c>
      <c r="J28" s="39"/>
      <c r="K28" s="39">
        <f t="shared" si="5"/>
        <v>506486</v>
      </c>
    </row>
    <row r="29" spans="1:21" x14ac:dyDescent="0.2">
      <c r="A29" s="209">
        <v>42705</v>
      </c>
      <c r="B29" s="39"/>
      <c r="C29" s="39">
        <f t="shared" si="3"/>
        <v>24845</v>
      </c>
      <c r="D29" s="39"/>
      <c r="E29" s="39">
        <f t="shared" si="1"/>
        <v>1013</v>
      </c>
      <c r="F29" s="39"/>
      <c r="G29" s="39">
        <f t="shared" si="2"/>
        <v>506</v>
      </c>
      <c r="H29" s="39"/>
      <c r="I29" s="39">
        <f t="shared" si="4"/>
        <v>25858</v>
      </c>
      <c r="J29" s="39"/>
      <c r="K29" s="39">
        <f t="shared" si="5"/>
        <v>481641</v>
      </c>
    </row>
    <row r="30" spans="1:21" x14ac:dyDescent="0.2">
      <c r="A30" s="209">
        <v>42887</v>
      </c>
      <c r="B30" s="39"/>
      <c r="C30" s="39">
        <f t="shared" si="3"/>
        <v>24895</v>
      </c>
      <c r="D30" s="39"/>
      <c r="E30" s="39">
        <f t="shared" si="1"/>
        <v>963</v>
      </c>
      <c r="F30" s="39"/>
      <c r="G30" s="39">
        <f t="shared" si="2"/>
        <v>482</v>
      </c>
      <c r="H30" s="39"/>
      <c r="I30" s="39">
        <f t="shared" si="4"/>
        <v>25858</v>
      </c>
      <c r="J30" s="39"/>
      <c r="K30" s="39">
        <f t="shared" si="5"/>
        <v>456746</v>
      </c>
    </row>
    <row r="31" spans="1:21" x14ac:dyDescent="0.2">
      <c r="A31" s="209">
        <v>43070</v>
      </c>
      <c r="B31" s="39"/>
      <c r="C31" s="39">
        <f t="shared" si="3"/>
        <v>24945</v>
      </c>
      <c r="D31" s="39"/>
      <c r="E31" s="39">
        <f t="shared" si="1"/>
        <v>913</v>
      </c>
      <c r="F31" s="39"/>
      <c r="G31" s="39">
        <f t="shared" si="2"/>
        <v>457</v>
      </c>
      <c r="H31" s="39"/>
      <c r="I31" s="39">
        <f t="shared" si="4"/>
        <v>25858</v>
      </c>
      <c r="J31" s="39"/>
      <c r="K31" s="39">
        <f t="shared" si="5"/>
        <v>431801</v>
      </c>
    </row>
    <row r="32" spans="1:21" x14ac:dyDescent="0.2">
      <c r="A32" s="209">
        <v>43252</v>
      </c>
      <c r="B32" s="39"/>
      <c r="C32" s="39">
        <f t="shared" si="3"/>
        <v>24994</v>
      </c>
      <c r="D32" s="39"/>
      <c r="E32" s="39">
        <f t="shared" si="1"/>
        <v>864</v>
      </c>
      <c r="F32" s="39"/>
      <c r="G32" s="39">
        <f t="shared" si="2"/>
        <v>432</v>
      </c>
      <c r="H32" s="39"/>
      <c r="I32" s="39">
        <f t="shared" si="4"/>
        <v>25858</v>
      </c>
      <c r="J32" s="39"/>
      <c r="K32" s="39">
        <f t="shared" si="5"/>
        <v>406807</v>
      </c>
    </row>
    <row r="33" spans="1:11" x14ac:dyDescent="0.2">
      <c r="A33" s="209">
        <v>43435</v>
      </c>
      <c r="B33" s="39"/>
      <c r="C33" s="39">
        <f t="shared" si="3"/>
        <v>25044</v>
      </c>
      <c r="D33" s="39"/>
      <c r="E33" s="39">
        <f t="shared" si="1"/>
        <v>814</v>
      </c>
      <c r="F33" s="39"/>
      <c r="G33" s="39">
        <f t="shared" si="2"/>
        <v>407</v>
      </c>
      <c r="H33" s="39"/>
      <c r="I33" s="39">
        <f t="shared" si="4"/>
        <v>25858</v>
      </c>
      <c r="J33" s="39"/>
      <c r="K33" s="39">
        <f t="shared" si="5"/>
        <v>381763</v>
      </c>
    </row>
    <row r="34" spans="1:11" x14ac:dyDescent="0.2">
      <c r="A34" s="209">
        <v>43617</v>
      </c>
      <c r="B34" s="39"/>
      <c r="C34" s="39">
        <f t="shared" si="3"/>
        <v>25094</v>
      </c>
      <c r="D34" s="39"/>
      <c r="E34" s="39">
        <f t="shared" si="1"/>
        <v>764</v>
      </c>
      <c r="F34" s="39"/>
      <c r="G34" s="39">
        <f t="shared" si="2"/>
        <v>382</v>
      </c>
      <c r="H34" s="39"/>
      <c r="I34" s="39">
        <f t="shared" si="4"/>
        <v>25858</v>
      </c>
      <c r="J34" s="39"/>
      <c r="K34" s="39">
        <f t="shared" si="5"/>
        <v>356669</v>
      </c>
    </row>
    <row r="35" spans="1:11" x14ac:dyDescent="0.2">
      <c r="A35" s="209">
        <v>43800</v>
      </c>
      <c r="B35" s="39"/>
      <c r="C35" s="39">
        <f t="shared" si="3"/>
        <v>25145</v>
      </c>
      <c r="D35" s="39"/>
      <c r="E35" s="39">
        <f t="shared" si="1"/>
        <v>713</v>
      </c>
      <c r="G35" s="39">
        <f t="shared" si="2"/>
        <v>357</v>
      </c>
      <c r="H35" s="39"/>
      <c r="I35" s="39">
        <f t="shared" si="4"/>
        <v>25858</v>
      </c>
      <c r="J35" s="39"/>
      <c r="K35" s="39">
        <f t="shared" si="5"/>
        <v>331524</v>
      </c>
    </row>
    <row r="36" spans="1:11" x14ac:dyDescent="0.2">
      <c r="A36" s="209">
        <v>43983</v>
      </c>
      <c r="B36" s="39"/>
      <c r="C36" s="39">
        <f t="shared" si="3"/>
        <v>25195</v>
      </c>
      <c r="D36" s="39"/>
      <c r="E36" s="39">
        <f t="shared" si="1"/>
        <v>663</v>
      </c>
      <c r="G36" s="39">
        <f t="shared" si="2"/>
        <v>332</v>
      </c>
      <c r="H36" s="39"/>
      <c r="I36" s="39">
        <f t="shared" si="4"/>
        <v>25858</v>
      </c>
      <c r="J36" s="39"/>
      <c r="K36" s="39">
        <f t="shared" si="5"/>
        <v>306329</v>
      </c>
    </row>
    <row r="37" spans="1:11" x14ac:dyDescent="0.2">
      <c r="A37" s="209">
        <v>44166</v>
      </c>
      <c r="B37" s="39"/>
      <c r="C37" s="39">
        <f t="shared" si="3"/>
        <v>25245</v>
      </c>
      <c r="D37" s="39"/>
      <c r="E37" s="39">
        <f t="shared" si="1"/>
        <v>613</v>
      </c>
      <c r="G37" s="39">
        <f t="shared" si="2"/>
        <v>306</v>
      </c>
      <c r="H37" s="39"/>
      <c r="I37" s="39">
        <f t="shared" si="4"/>
        <v>25858</v>
      </c>
      <c r="J37" s="39"/>
      <c r="K37" s="39">
        <f t="shared" si="5"/>
        <v>281084</v>
      </c>
    </row>
    <row r="38" spans="1:11" x14ac:dyDescent="0.2">
      <c r="A38" s="209">
        <v>44348</v>
      </c>
      <c r="B38" s="39"/>
      <c r="C38" s="39">
        <f t="shared" si="3"/>
        <v>25296</v>
      </c>
      <c r="D38" s="39"/>
      <c r="E38" s="39">
        <f t="shared" si="1"/>
        <v>562</v>
      </c>
      <c r="G38" s="39">
        <f t="shared" si="2"/>
        <v>281</v>
      </c>
      <c r="H38" s="39"/>
      <c r="I38" s="39">
        <f t="shared" si="4"/>
        <v>25858</v>
      </c>
      <c r="J38" s="39"/>
      <c r="K38" s="39">
        <f t="shared" si="5"/>
        <v>255788</v>
      </c>
    </row>
    <row r="39" spans="1:11" x14ac:dyDescent="0.2">
      <c r="A39" s="209">
        <v>44531</v>
      </c>
      <c r="B39" s="39"/>
      <c r="C39" s="39">
        <f t="shared" si="3"/>
        <v>25346</v>
      </c>
      <c r="D39" s="39"/>
      <c r="E39" s="39">
        <f t="shared" si="1"/>
        <v>512</v>
      </c>
      <c r="G39" s="39">
        <f t="shared" si="2"/>
        <v>256</v>
      </c>
      <c r="H39" s="39"/>
      <c r="I39" s="39">
        <f t="shared" si="4"/>
        <v>25858</v>
      </c>
      <c r="J39" s="39"/>
      <c r="K39" s="39">
        <f t="shared" si="5"/>
        <v>230442</v>
      </c>
    </row>
    <row r="40" spans="1:11" x14ac:dyDescent="0.2">
      <c r="A40" s="209">
        <v>44713</v>
      </c>
      <c r="B40" s="39"/>
      <c r="C40" s="39">
        <f t="shared" si="3"/>
        <v>25397</v>
      </c>
      <c r="D40" s="39"/>
      <c r="E40" s="39">
        <f t="shared" si="1"/>
        <v>461</v>
      </c>
      <c r="G40" s="39">
        <f t="shared" si="2"/>
        <v>230</v>
      </c>
      <c r="H40" s="39"/>
      <c r="I40" s="39">
        <f t="shared" si="4"/>
        <v>25858</v>
      </c>
      <c r="J40" s="39"/>
      <c r="K40" s="39">
        <f t="shared" si="5"/>
        <v>205045</v>
      </c>
    </row>
    <row r="41" spans="1:11" x14ac:dyDescent="0.2">
      <c r="A41" s="209">
        <v>44896</v>
      </c>
      <c r="B41" s="39"/>
      <c r="C41" s="39">
        <f t="shared" si="3"/>
        <v>25448</v>
      </c>
      <c r="D41" s="39"/>
      <c r="E41" s="39">
        <f t="shared" si="1"/>
        <v>410</v>
      </c>
      <c r="G41" s="39">
        <f t="shared" si="2"/>
        <v>205</v>
      </c>
      <c r="H41" s="39"/>
      <c r="I41" s="39">
        <f t="shared" si="4"/>
        <v>25858</v>
      </c>
      <c r="J41" s="39"/>
      <c r="K41" s="39">
        <f t="shared" si="5"/>
        <v>179597</v>
      </c>
    </row>
    <row r="42" spans="1:11" x14ac:dyDescent="0.2">
      <c r="A42" s="209">
        <v>45078</v>
      </c>
      <c r="B42" s="39"/>
      <c r="C42" s="39">
        <f t="shared" si="3"/>
        <v>25499</v>
      </c>
      <c r="D42" s="39"/>
      <c r="E42" s="39">
        <f t="shared" si="1"/>
        <v>359</v>
      </c>
      <c r="G42" s="39">
        <f t="shared" si="2"/>
        <v>180</v>
      </c>
      <c r="H42" s="39"/>
      <c r="I42" s="39">
        <f t="shared" si="4"/>
        <v>25858</v>
      </c>
      <c r="J42" s="39"/>
      <c r="K42" s="39">
        <f t="shared" si="5"/>
        <v>154098</v>
      </c>
    </row>
    <row r="43" spans="1:11" x14ac:dyDescent="0.2">
      <c r="A43" s="209">
        <v>45261</v>
      </c>
      <c r="B43" s="39"/>
      <c r="C43" s="39">
        <f t="shared" si="3"/>
        <v>25550</v>
      </c>
      <c r="D43" s="39"/>
      <c r="E43" s="39">
        <f t="shared" si="1"/>
        <v>308</v>
      </c>
      <c r="G43" s="39">
        <f t="shared" si="2"/>
        <v>154</v>
      </c>
      <c r="H43" s="39"/>
      <c r="I43" s="39">
        <f t="shared" si="4"/>
        <v>25858</v>
      </c>
      <c r="J43" s="39"/>
      <c r="K43" s="39">
        <f t="shared" si="5"/>
        <v>128548</v>
      </c>
    </row>
    <row r="44" spans="1:11" x14ac:dyDescent="0.2">
      <c r="A44" s="209">
        <v>45444</v>
      </c>
      <c r="B44" s="39"/>
      <c r="C44" s="39">
        <f t="shared" si="3"/>
        <v>25601</v>
      </c>
      <c r="D44" s="39"/>
      <c r="E44" s="39">
        <f t="shared" si="1"/>
        <v>257</v>
      </c>
      <c r="G44" s="39">
        <f t="shared" si="2"/>
        <v>129</v>
      </c>
      <c r="H44" s="39"/>
      <c r="I44" s="39">
        <f t="shared" si="4"/>
        <v>25858</v>
      </c>
      <c r="J44" s="39"/>
      <c r="K44" s="39">
        <f t="shared" si="5"/>
        <v>102947</v>
      </c>
    </row>
    <row r="45" spans="1:11" x14ac:dyDescent="0.2">
      <c r="A45" s="209">
        <v>45627</v>
      </c>
      <c r="B45" s="39"/>
      <c r="C45" s="39">
        <f t="shared" si="3"/>
        <v>25652</v>
      </c>
      <c r="D45" s="39"/>
      <c r="E45" s="39">
        <f t="shared" si="1"/>
        <v>206</v>
      </c>
      <c r="G45" s="39">
        <f t="shared" si="2"/>
        <v>103</v>
      </c>
      <c r="H45" s="39"/>
      <c r="I45" s="39">
        <f t="shared" si="4"/>
        <v>25858</v>
      </c>
      <c r="J45" s="39"/>
      <c r="K45" s="39">
        <f t="shared" si="5"/>
        <v>77295</v>
      </c>
    </row>
    <row r="46" spans="1:11" x14ac:dyDescent="0.2">
      <c r="A46" s="209">
        <v>45809</v>
      </c>
      <c r="B46" s="39"/>
      <c r="C46" s="39">
        <f t="shared" si="3"/>
        <v>25703</v>
      </c>
      <c r="D46" s="39"/>
      <c r="E46" s="39">
        <f t="shared" si="1"/>
        <v>155</v>
      </c>
      <c r="G46" s="39">
        <f t="shared" si="2"/>
        <v>77</v>
      </c>
      <c r="H46" s="39"/>
      <c r="I46" s="39">
        <f t="shared" si="4"/>
        <v>25858</v>
      </c>
      <c r="J46" s="39"/>
      <c r="K46" s="39">
        <f t="shared" si="5"/>
        <v>51592</v>
      </c>
    </row>
    <row r="47" spans="1:11" x14ac:dyDescent="0.2">
      <c r="A47" s="209">
        <v>45992</v>
      </c>
      <c r="B47" s="39"/>
      <c r="C47" s="39">
        <f t="shared" si="3"/>
        <v>25755</v>
      </c>
      <c r="D47" s="39"/>
      <c r="E47" s="39">
        <f t="shared" si="1"/>
        <v>103</v>
      </c>
      <c r="G47" s="39">
        <f t="shared" si="2"/>
        <v>52</v>
      </c>
      <c r="H47" s="39"/>
      <c r="I47" s="39">
        <f t="shared" si="4"/>
        <v>25858</v>
      </c>
      <c r="J47" s="39"/>
      <c r="K47" s="39">
        <f t="shared" si="5"/>
        <v>25837</v>
      </c>
    </row>
    <row r="48" spans="1:11" x14ac:dyDescent="0.2">
      <c r="A48" s="209">
        <v>46174</v>
      </c>
      <c r="B48" s="39"/>
      <c r="C48" s="39">
        <f>K47</f>
        <v>25837</v>
      </c>
      <c r="D48" s="39"/>
      <c r="E48" s="39">
        <f t="shared" si="1"/>
        <v>52</v>
      </c>
      <c r="G48" s="39">
        <f t="shared" si="2"/>
        <v>26</v>
      </c>
      <c r="H48" s="39"/>
      <c r="I48" s="39">
        <f t="shared" si="4"/>
        <v>25889</v>
      </c>
      <c r="J48" s="39"/>
      <c r="K48" s="39">
        <f t="shared" si="5"/>
        <v>0</v>
      </c>
    </row>
    <row r="49" spans="1:10" x14ac:dyDescent="0.2">
      <c r="A49" s="209">
        <v>46357</v>
      </c>
      <c r="B49" s="39"/>
      <c r="C49" s="39"/>
      <c r="D49" s="39"/>
      <c r="E49" s="39"/>
      <c r="G49" s="39"/>
      <c r="H49" s="39"/>
      <c r="I49" s="39"/>
      <c r="J49" s="39"/>
    </row>
    <row r="50" spans="1:10" x14ac:dyDescent="0.2">
      <c r="A50" s="209">
        <v>46539</v>
      </c>
      <c r="B50" s="39"/>
      <c r="C50" s="39"/>
      <c r="D50" s="39"/>
      <c r="E50" s="39"/>
      <c r="G50" s="39"/>
      <c r="H50" s="39"/>
      <c r="I50" s="39"/>
      <c r="J50" s="39"/>
    </row>
    <row r="51" spans="1:10" x14ac:dyDescent="0.2">
      <c r="A51" s="209">
        <v>46722</v>
      </c>
      <c r="B51" s="39"/>
      <c r="C51" s="39"/>
      <c r="D51" s="39"/>
      <c r="E51" s="39"/>
      <c r="G51" s="39"/>
      <c r="H51" s="39"/>
      <c r="I51" s="39"/>
      <c r="J51" s="39"/>
    </row>
    <row r="52" spans="1:10" x14ac:dyDescent="0.2">
      <c r="A52" s="209">
        <v>46905</v>
      </c>
      <c r="B52" s="39"/>
      <c r="C52" s="39"/>
      <c r="D52" s="39"/>
      <c r="E52" s="39"/>
      <c r="G52" s="39"/>
      <c r="H52" s="39"/>
      <c r="I52" s="39"/>
      <c r="J52" s="39"/>
    </row>
    <row r="53" spans="1:10" x14ac:dyDescent="0.2">
      <c r="A53" s="209">
        <v>47088</v>
      </c>
      <c r="B53" s="39"/>
      <c r="C53" s="39"/>
      <c r="D53" s="39"/>
      <c r="E53" s="39"/>
      <c r="G53" s="39"/>
      <c r="H53" s="39"/>
      <c r="I53" s="39"/>
      <c r="J53" s="39"/>
    </row>
    <row r="54" spans="1:10" x14ac:dyDescent="0.2">
      <c r="A54" s="209">
        <v>47270</v>
      </c>
      <c r="B54" s="39"/>
      <c r="C54" s="39"/>
      <c r="D54" s="39"/>
      <c r="E54" s="39"/>
      <c r="G54" s="39"/>
      <c r="H54" s="39"/>
      <c r="I54" s="39"/>
      <c r="J54" s="39"/>
    </row>
    <row r="55" spans="1:10" ht="15.75" thickBot="1" x14ac:dyDescent="0.25">
      <c r="A55" s="246"/>
      <c r="B55" s="39"/>
      <c r="C55" s="244">
        <f>SUM(C15:C54)</f>
        <v>849154</v>
      </c>
      <c r="D55" s="39"/>
      <c r="E55" s="244">
        <f>SUM(E15:E54)</f>
        <v>30049</v>
      </c>
      <c r="G55" s="244">
        <f>SUM(G15:G54)</f>
        <v>15026</v>
      </c>
      <c r="H55" s="39"/>
      <c r="I55" s="244">
        <f>SUM(I15:I54)</f>
        <v>879203</v>
      </c>
      <c r="J55" s="39"/>
    </row>
    <row r="56" spans="1:10" ht="15.75" thickTop="1" x14ac:dyDescent="0.2">
      <c r="A56" s="246"/>
      <c r="B56" s="39"/>
      <c r="C56" s="39"/>
      <c r="D56" s="39"/>
      <c r="E56" s="39"/>
      <c r="G56" s="39"/>
      <c r="H56" s="39"/>
      <c r="I56" s="39"/>
      <c r="J56" s="39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ED023-0F35-42B9-AB3C-569D6C395926}">
  <dimension ref="A1:U56"/>
  <sheetViews>
    <sheetView topLeftCell="A11" workbookViewId="0">
      <selection activeCell="S14" activeCellId="1" sqref="Q14:Q16 S14:S16"/>
    </sheetView>
  </sheetViews>
  <sheetFormatPr defaultColWidth="11.44140625" defaultRowHeight="15" x14ac:dyDescent="0.2"/>
  <cols>
    <col min="1" max="1" width="12.77734375" style="209" customWidth="1"/>
    <col min="2" max="2" width="1.33203125" customWidth="1"/>
    <col min="3" max="3" width="11.44140625" style="246"/>
    <col min="4" max="4" width="1.33203125" customWidth="1"/>
    <col min="6" max="6" width="1.33203125" customWidth="1"/>
    <col min="8" max="8" width="1.33203125" customWidth="1"/>
    <col min="10" max="10" width="1.33203125" customWidth="1"/>
    <col min="11" max="11" width="11.44140625" style="39"/>
    <col min="12" max="12" width="1.33203125" style="39" customWidth="1"/>
    <col min="14" max="14" width="1.77734375" customWidth="1"/>
    <col min="16" max="16" width="1.77734375" customWidth="1"/>
    <col min="18" max="18" width="1.77734375" customWidth="1"/>
    <col min="20" max="20" width="1.77734375" customWidth="1"/>
  </cols>
  <sheetData>
    <row r="1" spans="1:21" x14ac:dyDescent="0.2">
      <c r="A1" s="202" t="s">
        <v>177</v>
      </c>
      <c r="I1" s="39">
        <v>170421</v>
      </c>
      <c r="J1" s="39"/>
      <c r="K1"/>
    </row>
    <row r="2" spans="1:21" x14ac:dyDescent="0.2">
      <c r="A2" s="202" t="s">
        <v>178</v>
      </c>
      <c r="I2" s="39"/>
      <c r="J2" s="39"/>
      <c r="K2"/>
    </row>
    <row r="3" spans="1:21" x14ac:dyDescent="0.2">
      <c r="A3" s="202" t="s">
        <v>179</v>
      </c>
      <c r="I3" s="39">
        <v>510966</v>
      </c>
      <c r="J3" s="39"/>
      <c r="K3"/>
    </row>
    <row r="4" spans="1:21" x14ac:dyDescent="0.2">
      <c r="A4" s="247" t="s">
        <v>154</v>
      </c>
      <c r="I4" s="169">
        <v>4.7999999999999996E-3</v>
      </c>
      <c r="J4" s="169"/>
      <c r="K4"/>
    </row>
    <row r="5" spans="1:21" x14ac:dyDescent="0.2">
      <c r="I5" s="169">
        <f>ROUND(I4/2,4)</f>
        <v>2.3999999999999998E-3</v>
      </c>
      <c r="J5" s="169"/>
      <c r="K5"/>
    </row>
    <row r="6" spans="1:21" x14ac:dyDescent="0.2">
      <c r="A6" s="247" t="s">
        <v>155</v>
      </c>
      <c r="I6" s="39">
        <v>20</v>
      </c>
      <c r="J6" s="39"/>
      <c r="K6" t="s">
        <v>156</v>
      </c>
    </row>
    <row r="7" spans="1:21" x14ac:dyDescent="0.2">
      <c r="A7" s="210" t="s">
        <v>180</v>
      </c>
      <c r="I7" s="39">
        <f>I6*2</f>
        <v>40</v>
      </c>
      <c r="J7" s="39"/>
      <c r="K7" s="12" t="s">
        <v>171</v>
      </c>
    </row>
    <row r="8" spans="1:21" x14ac:dyDescent="0.2">
      <c r="I8" s="39"/>
      <c r="J8" s="39"/>
      <c r="K8"/>
    </row>
    <row r="9" spans="1:21" x14ac:dyDescent="0.2">
      <c r="A9" s="247" t="s">
        <v>157</v>
      </c>
      <c r="I9" s="39">
        <f>-PMT(I5,I7,I3)</f>
        <v>13412.429347938762</v>
      </c>
      <c r="J9" s="39"/>
      <c r="K9"/>
    </row>
    <row r="10" spans="1:21" x14ac:dyDescent="0.2">
      <c r="A10" s="247" t="s">
        <v>158</v>
      </c>
      <c r="I10" s="39">
        <v>10439.200000000001</v>
      </c>
    </row>
    <row r="12" spans="1:21" x14ac:dyDescent="0.2">
      <c r="A12" s="210" t="s">
        <v>89</v>
      </c>
      <c r="B12" s="123"/>
      <c r="C12" s="123"/>
      <c r="D12" s="123"/>
      <c r="E12" s="123"/>
      <c r="F12" s="123"/>
      <c r="G12" s="123" t="s">
        <v>159</v>
      </c>
      <c r="H12" s="123"/>
      <c r="I12" s="123"/>
      <c r="J12" s="40"/>
      <c r="K12" s="123" t="s">
        <v>148</v>
      </c>
      <c r="M12" s="17"/>
      <c r="N12" s="17"/>
      <c r="O12" s="40"/>
      <c r="P12" s="22"/>
      <c r="Q12" s="40"/>
      <c r="R12" s="22"/>
      <c r="S12" s="40" t="s">
        <v>98</v>
      </c>
      <c r="U12" s="40" t="s">
        <v>53</v>
      </c>
    </row>
    <row r="13" spans="1:21" x14ac:dyDescent="0.2">
      <c r="A13" s="208" t="s">
        <v>181</v>
      </c>
      <c r="B13" s="123"/>
      <c r="C13" s="130" t="s">
        <v>23</v>
      </c>
      <c r="D13" s="123"/>
      <c r="E13" s="130" t="s">
        <v>24</v>
      </c>
      <c r="F13" s="123"/>
      <c r="G13" s="206">
        <v>1E-3</v>
      </c>
      <c r="H13" s="123"/>
      <c r="I13" s="130" t="s">
        <v>160</v>
      </c>
      <c r="J13" s="123"/>
      <c r="K13" s="130" t="s">
        <v>49</v>
      </c>
      <c r="M13" s="24" t="s">
        <v>37</v>
      </c>
      <c r="N13" s="17"/>
      <c r="O13" s="198" t="s">
        <v>23</v>
      </c>
      <c r="P13" s="22"/>
      <c r="Q13" s="198" t="s">
        <v>24</v>
      </c>
      <c r="R13" s="22"/>
      <c r="S13" s="198" t="s">
        <v>143</v>
      </c>
      <c r="U13" s="198" t="s">
        <v>89</v>
      </c>
    </row>
    <row r="14" spans="1:21" x14ac:dyDescent="0.2">
      <c r="A14" s="246"/>
      <c r="B14" s="39"/>
      <c r="C14" s="39"/>
      <c r="D14" s="39"/>
      <c r="E14" s="39"/>
      <c r="F14" s="39"/>
      <c r="G14" s="39"/>
      <c r="H14" s="39"/>
      <c r="I14" s="39"/>
      <c r="J14" s="39"/>
      <c r="K14" s="39">
        <f>I3</f>
        <v>510966</v>
      </c>
      <c r="M14" s="19">
        <v>2024</v>
      </c>
      <c r="N14" s="17"/>
      <c r="O14" s="20">
        <f>SUM(C44:C45)</f>
        <v>19778</v>
      </c>
      <c r="P14" s="22"/>
      <c r="Q14" s="20">
        <f>SUM(E44:E45)</f>
        <v>1100</v>
      </c>
      <c r="R14" s="22"/>
      <c r="S14" s="20">
        <f>SUM(G44:G45)</f>
        <v>458</v>
      </c>
      <c r="U14" s="20">
        <f t="shared" ref="U14:U19" si="0">SUM(O14,Q14,S14)</f>
        <v>21336</v>
      </c>
    </row>
    <row r="15" spans="1:21" x14ac:dyDescent="0.2">
      <c r="A15" s="209">
        <v>40148</v>
      </c>
      <c r="B15" s="39"/>
      <c r="C15" s="39">
        <v>9622.1299999999992</v>
      </c>
      <c r="D15" s="39"/>
      <c r="E15" s="39">
        <v>1021.01</v>
      </c>
      <c r="F15" s="39"/>
      <c r="G15" s="39">
        <f t="shared" ref="G15:G48" si="1">ROUND(K14*G$13,0)</f>
        <v>511</v>
      </c>
      <c r="H15" s="39"/>
      <c r="I15" s="39">
        <f>SUM(C15,E15)</f>
        <v>10643.14</v>
      </c>
      <c r="J15" s="39"/>
      <c r="K15" s="39">
        <f>K14-C15</f>
        <v>501343.87</v>
      </c>
      <c r="M15" s="19">
        <v>2025</v>
      </c>
      <c r="N15" s="17"/>
      <c r="O15" s="17">
        <f>SUM(C46:C47)</f>
        <v>19872</v>
      </c>
      <c r="P15" s="22"/>
      <c r="Q15" s="17">
        <f>SUM(E46:E47)</f>
        <v>1006</v>
      </c>
      <c r="R15" s="21"/>
      <c r="S15" s="17">
        <f>SUM(G46:G47)</f>
        <v>418</v>
      </c>
      <c r="U15" s="17">
        <f t="shared" si="0"/>
        <v>21296</v>
      </c>
    </row>
    <row r="16" spans="1:21" x14ac:dyDescent="0.2">
      <c r="A16" s="209">
        <v>40330</v>
      </c>
      <c r="B16" s="39"/>
      <c r="C16" s="39">
        <f t="shared" ref="C16:C47" si="2">ROUND(I$10-E16,0)</f>
        <v>9236</v>
      </c>
      <c r="D16" s="39"/>
      <c r="E16" s="39">
        <f t="shared" ref="E16:E48" si="3">ROUND(I$5*K15,0)</f>
        <v>1203</v>
      </c>
      <c r="F16" s="39"/>
      <c r="G16" s="39">
        <f t="shared" si="1"/>
        <v>501</v>
      </c>
      <c r="H16" s="39"/>
      <c r="I16" s="39">
        <f t="shared" ref="I16:I48" si="4">SUM(C16,E16)</f>
        <v>10439</v>
      </c>
      <c r="J16" s="39"/>
      <c r="K16" s="39">
        <f t="shared" ref="K16:K48" si="5">K15-C16</f>
        <v>492107.87</v>
      </c>
      <c r="M16" s="19">
        <v>2026</v>
      </c>
      <c r="N16" s="17"/>
      <c r="O16" s="17">
        <f>C48</f>
        <v>194535.87</v>
      </c>
      <c r="P16" s="22"/>
      <c r="Q16" s="17">
        <f>E48</f>
        <v>467</v>
      </c>
      <c r="R16" s="21"/>
      <c r="S16" s="17">
        <f>G48</f>
        <v>195</v>
      </c>
      <c r="U16" s="17">
        <f t="shared" si="0"/>
        <v>195197.87</v>
      </c>
    </row>
    <row r="17" spans="1:21" x14ac:dyDescent="0.2">
      <c r="A17" s="209">
        <v>40513</v>
      </c>
      <c r="B17" s="39"/>
      <c r="C17" s="39">
        <f t="shared" si="2"/>
        <v>9258</v>
      </c>
      <c r="D17" s="39"/>
      <c r="E17" s="39">
        <f t="shared" si="3"/>
        <v>1181</v>
      </c>
      <c r="F17" s="39"/>
      <c r="G17" s="39">
        <f t="shared" si="1"/>
        <v>492</v>
      </c>
      <c r="H17" s="39"/>
      <c r="I17" s="39">
        <f t="shared" si="4"/>
        <v>10439</v>
      </c>
      <c r="J17" s="39"/>
      <c r="K17" s="39">
        <f t="shared" si="5"/>
        <v>482849.87</v>
      </c>
      <c r="M17" s="19">
        <v>2027</v>
      </c>
      <c r="N17" s="19"/>
      <c r="O17" s="17"/>
      <c r="P17" s="22"/>
      <c r="Q17" s="17"/>
      <c r="R17" s="21"/>
      <c r="S17" s="17"/>
      <c r="U17" s="17">
        <f t="shared" si="0"/>
        <v>0</v>
      </c>
    </row>
    <row r="18" spans="1:21" x14ac:dyDescent="0.2">
      <c r="A18" s="209">
        <v>40695</v>
      </c>
      <c r="B18" s="39"/>
      <c r="C18" s="39">
        <f t="shared" si="2"/>
        <v>9280</v>
      </c>
      <c r="D18" s="39"/>
      <c r="E18" s="39">
        <f t="shared" si="3"/>
        <v>1159</v>
      </c>
      <c r="F18" s="39"/>
      <c r="G18" s="39">
        <f t="shared" si="1"/>
        <v>483</v>
      </c>
      <c r="H18" s="39"/>
      <c r="I18" s="39">
        <f t="shared" si="4"/>
        <v>10439</v>
      </c>
      <c r="J18" s="39"/>
      <c r="K18" s="39">
        <f t="shared" si="5"/>
        <v>473569.87</v>
      </c>
      <c r="M18" s="19">
        <v>2028</v>
      </c>
      <c r="N18" s="19"/>
      <c r="O18" s="17"/>
      <c r="P18" s="22"/>
      <c r="Q18" s="17"/>
      <c r="R18" s="21"/>
      <c r="S18" s="17"/>
      <c r="U18" s="17">
        <f t="shared" si="0"/>
        <v>0</v>
      </c>
    </row>
    <row r="19" spans="1:21" x14ac:dyDescent="0.2">
      <c r="A19" s="209">
        <v>40878</v>
      </c>
      <c r="B19" s="39"/>
      <c r="C19" s="39">
        <f t="shared" si="2"/>
        <v>9302</v>
      </c>
      <c r="D19" s="39"/>
      <c r="E19" s="39">
        <f t="shared" si="3"/>
        <v>1137</v>
      </c>
      <c r="F19" s="39"/>
      <c r="G19" s="39">
        <f t="shared" si="1"/>
        <v>474</v>
      </c>
      <c r="H19" s="39"/>
      <c r="I19" s="39">
        <f t="shared" si="4"/>
        <v>10439</v>
      </c>
      <c r="J19" s="39"/>
      <c r="K19" s="39">
        <f t="shared" si="5"/>
        <v>464267.87</v>
      </c>
      <c r="M19" s="19">
        <v>2029</v>
      </c>
      <c r="N19" s="18"/>
      <c r="O19" s="17"/>
      <c r="P19" s="22"/>
      <c r="Q19" s="17"/>
      <c r="R19" s="21"/>
      <c r="S19" s="17"/>
      <c r="U19" s="17">
        <f t="shared" si="0"/>
        <v>0</v>
      </c>
    </row>
    <row r="20" spans="1:21" x14ac:dyDescent="0.2">
      <c r="A20" s="209">
        <v>41061</v>
      </c>
      <c r="B20" s="39"/>
      <c r="C20" s="39">
        <f t="shared" si="2"/>
        <v>9325</v>
      </c>
      <c r="D20" s="39"/>
      <c r="E20" s="39">
        <f t="shared" si="3"/>
        <v>1114</v>
      </c>
      <c r="F20" s="39"/>
      <c r="G20" s="39">
        <f t="shared" si="1"/>
        <v>464</v>
      </c>
      <c r="H20" s="39"/>
      <c r="I20" s="39">
        <f t="shared" si="4"/>
        <v>10439</v>
      </c>
      <c r="J20" s="39"/>
      <c r="K20" s="39">
        <f t="shared" si="5"/>
        <v>454942.87</v>
      </c>
      <c r="M20" s="19"/>
      <c r="N20" s="19"/>
      <c r="O20" s="17"/>
      <c r="P20" s="22"/>
      <c r="Q20" s="17"/>
      <c r="R20" s="21"/>
      <c r="S20" s="21"/>
    </row>
    <row r="21" spans="1:21" x14ac:dyDescent="0.2">
      <c r="A21" s="209">
        <v>41244</v>
      </c>
      <c r="B21" s="39"/>
      <c r="C21" s="39">
        <f t="shared" si="2"/>
        <v>9347</v>
      </c>
      <c r="D21" s="39"/>
      <c r="E21" s="39">
        <f t="shared" si="3"/>
        <v>1092</v>
      </c>
      <c r="F21" s="39"/>
      <c r="G21" s="39">
        <f t="shared" si="1"/>
        <v>455</v>
      </c>
      <c r="H21" s="39"/>
      <c r="I21" s="39">
        <f t="shared" si="4"/>
        <v>10439</v>
      </c>
      <c r="J21" s="39"/>
      <c r="K21" s="39">
        <f t="shared" si="5"/>
        <v>445595.87</v>
      </c>
      <c r="M21" s="18"/>
      <c r="N21" s="18"/>
      <c r="O21" s="22"/>
      <c r="P21" s="22"/>
      <c r="Q21" s="22"/>
      <c r="R21" s="120"/>
      <c r="S21" s="22"/>
    </row>
    <row r="22" spans="1:21" x14ac:dyDescent="0.2">
      <c r="A22" s="209">
        <v>41426</v>
      </c>
      <c r="B22" s="39"/>
      <c r="C22" s="39">
        <f t="shared" si="2"/>
        <v>9370</v>
      </c>
      <c r="D22" s="39"/>
      <c r="E22" s="39">
        <f t="shared" si="3"/>
        <v>1069</v>
      </c>
      <c r="F22" s="39"/>
      <c r="G22" s="39">
        <f t="shared" si="1"/>
        <v>446</v>
      </c>
      <c r="H22" s="39"/>
      <c r="I22" s="39">
        <f t="shared" si="4"/>
        <v>10439</v>
      </c>
      <c r="J22" s="39"/>
      <c r="K22" s="39">
        <f t="shared" si="5"/>
        <v>436225.87</v>
      </c>
      <c r="P22" s="22"/>
    </row>
    <row r="23" spans="1:21" x14ac:dyDescent="0.2">
      <c r="A23" s="209">
        <v>41609</v>
      </c>
      <c r="B23" s="39"/>
      <c r="C23" s="39">
        <f t="shared" si="2"/>
        <v>9392</v>
      </c>
      <c r="D23" s="39"/>
      <c r="E23" s="39">
        <f t="shared" si="3"/>
        <v>1047</v>
      </c>
      <c r="F23" s="39"/>
      <c r="G23" s="39">
        <f t="shared" si="1"/>
        <v>436</v>
      </c>
      <c r="H23" s="39"/>
      <c r="I23" s="39">
        <f t="shared" si="4"/>
        <v>10439</v>
      </c>
      <c r="J23" s="39"/>
      <c r="K23" s="39">
        <f t="shared" si="5"/>
        <v>426833.87</v>
      </c>
      <c r="P23" s="22"/>
    </row>
    <row r="24" spans="1:21" x14ac:dyDescent="0.2">
      <c r="A24" s="209">
        <v>41791</v>
      </c>
      <c r="B24" s="39"/>
      <c r="C24" s="39">
        <f t="shared" si="2"/>
        <v>9415</v>
      </c>
      <c r="D24" s="39"/>
      <c r="E24" s="39">
        <f t="shared" si="3"/>
        <v>1024</v>
      </c>
      <c r="F24" s="39"/>
      <c r="G24" s="39">
        <f t="shared" si="1"/>
        <v>427</v>
      </c>
      <c r="H24" s="39"/>
      <c r="I24" s="39">
        <f t="shared" si="4"/>
        <v>10439</v>
      </c>
      <c r="J24" s="39"/>
      <c r="K24" s="39">
        <f t="shared" si="5"/>
        <v>417418.87</v>
      </c>
      <c r="P24" s="22"/>
    </row>
    <row r="25" spans="1:21" x14ac:dyDescent="0.2">
      <c r="A25" s="209">
        <v>41974</v>
      </c>
      <c r="B25" s="39"/>
      <c r="C25" s="39">
        <f t="shared" si="2"/>
        <v>9437</v>
      </c>
      <c r="D25" s="39"/>
      <c r="E25" s="39">
        <f t="shared" si="3"/>
        <v>1002</v>
      </c>
      <c r="F25" s="39"/>
      <c r="G25" s="39">
        <f t="shared" si="1"/>
        <v>417</v>
      </c>
      <c r="H25" s="39"/>
      <c r="I25" s="39">
        <f t="shared" si="4"/>
        <v>10439</v>
      </c>
      <c r="J25" s="39"/>
      <c r="K25" s="39">
        <f t="shared" si="5"/>
        <v>407981.87</v>
      </c>
    </row>
    <row r="26" spans="1:21" x14ac:dyDescent="0.2">
      <c r="A26" s="209">
        <v>42156</v>
      </c>
      <c r="B26" s="39"/>
      <c r="C26" s="39">
        <f t="shared" si="2"/>
        <v>9460</v>
      </c>
      <c r="D26" s="39"/>
      <c r="E26" s="39">
        <f t="shared" si="3"/>
        <v>979</v>
      </c>
      <c r="F26" s="39"/>
      <c r="G26" s="39">
        <f t="shared" si="1"/>
        <v>408</v>
      </c>
      <c r="H26" s="39"/>
      <c r="I26" s="39">
        <f t="shared" si="4"/>
        <v>10439</v>
      </c>
      <c r="J26" s="39"/>
      <c r="K26" s="39">
        <f t="shared" si="5"/>
        <v>398521.87</v>
      </c>
    </row>
    <row r="27" spans="1:21" x14ac:dyDescent="0.2">
      <c r="A27" s="209">
        <v>42339</v>
      </c>
      <c r="B27" s="39"/>
      <c r="C27" s="39">
        <f t="shared" si="2"/>
        <v>9483</v>
      </c>
      <c r="D27" s="39"/>
      <c r="E27" s="39">
        <f t="shared" si="3"/>
        <v>956</v>
      </c>
      <c r="F27" s="39"/>
      <c r="G27" s="39">
        <f t="shared" si="1"/>
        <v>399</v>
      </c>
      <c r="H27" s="39"/>
      <c r="I27" s="39">
        <f t="shared" si="4"/>
        <v>10439</v>
      </c>
      <c r="J27" s="39"/>
      <c r="K27" s="39">
        <f t="shared" si="5"/>
        <v>389038.87</v>
      </c>
    </row>
    <row r="28" spans="1:21" x14ac:dyDescent="0.2">
      <c r="A28" s="209">
        <v>42522</v>
      </c>
      <c r="B28" s="39"/>
      <c r="C28" s="39">
        <f t="shared" si="2"/>
        <v>9505</v>
      </c>
      <c r="D28" s="39"/>
      <c r="E28" s="39">
        <f t="shared" si="3"/>
        <v>934</v>
      </c>
      <c r="F28" s="39"/>
      <c r="G28" s="39">
        <f t="shared" si="1"/>
        <v>389</v>
      </c>
      <c r="H28" s="39"/>
      <c r="I28" s="39">
        <f t="shared" si="4"/>
        <v>10439</v>
      </c>
      <c r="J28" s="39"/>
      <c r="K28" s="39">
        <f t="shared" si="5"/>
        <v>379533.87</v>
      </c>
    </row>
    <row r="29" spans="1:21" x14ac:dyDescent="0.2">
      <c r="A29" s="209">
        <v>42705</v>
      </c>
      <c r="B29" s="39"/>
      <c r="C29" s="39">
        <f t="shared" si="2"/>
        <v>9528</v>
      </c>
      <c r="D29" s="39"/>
      <c r="E29" s="39">
        <f t="shared" si="3"/>
        <v>911</v>
      </c>
      <c r="F29" s="39"/>
      <c r="G29" s="39">
        <f t="shared" si="1"/>
        <v>380</v>
      </c>
      <c r="H29" s="39"/>
      <c r="I29" s="39">
        <f t="shared" si="4"/>
        <v>10439</v>
      </c>
      <c r="J29" s="39"/>
      <c r="K29" s="39">
        <f t="shared" si="5"/>
        <v>370005.87</v>
      </c>
    </row>
    <row r="30" spans="1:21" x14ac:dyDescent="0.2">
      <c r="A30" s="209">
        <v>42887</v>
      </c>
      <c r="B30" s="39"/>
      <c r="C30" s="39">
        <f t="shared" si="2"/>
        <v>9551</v>
      </c>
      <c r="D30" s="39"/>
      <c r="E30" s="39">
        <f t="shared" si="3"/>
        <v>888</v>
      </c>
      <c r="F30" s="39"/>
      <c r="G30" s="39">
        <f t="shared" si="1"/>
        <v>370</v>
      </c>
      <c r="H30" s="39"/>
      <c r="I30" s="39">
        <f t="shared" si="4"/>
        <v>10439</v>
      </c>
      <c r="J30" s="39"/>
      <c r="K30" s="39">
        <f t="shared" si="5"/>
        <v>360454.87</v>
      </c>
    </row>
    <row r="31" spans="1:21" x14ac:dyDescent="0.2">
      <c r="A31" s="209">
        <v>43070</v>
      </c>
      <c r="B31" s="39"/>
      <c r="C31" s="39">
        <f t="shared" si="2"/>
        <v>9574</v>
      </c>
      <c r="D31" s="39"/>
      <c r="E31" s="39">
        <f t="shared" si="3"/>
        <v>865</v>
      </c>
      <c r="F31" s="39"/>
      <c r="G31" s="39">
        <f t="shared" si="1"/>
        <v>360</v>
      </c>
      <c r="H31" s="39"/>
      <c r="I31" s="39">
        <f t="shared" si="4"/>
        <v>10439</v>
      </c>
      <c r="J31" s="39"/>
      <c r="K31" s="39">
        <f t="shared" si="5"/>
        <v>350880.87</v>
      </c>
    </row>
    <row r="32" spans="1:21" x14ac:dyDescent="0.2">
      <c r="A32" s="209">
        <v>43252</v>
      </c>
      <c r="B32" s="39"/>
      <c r="C32" s="39">
        <f t="shared" si="2"/>
        <v>9597</v>
      </c>
      <c r="D32" s="39"/>
      <c r="E32" s="39">
        <f t="shared" si="3"/>
        <v>842</v>
      </c>
      <c r="F32" s="39"/>
      <c r="G32" s="39">
        <f t="shared" si="1"/>
        <v>351</v>
      </c>
      <c r="H32" s="39"/>
      <c r="I32" s="39">
        <f t="shared" si="4"/>
        <v>10439</v>
      </c>
      <c r="J32" s="39"/>
      <c r="K32" s="39">
        <f t="shared" si="5"/>
        <v>341283.87</v>
      </c>
    </row>
    <row r="33" spans="1:11" x14ac:dyDescent="0.2">
      <c r="A33" s="209">
        <v>43435</v>
      </c>
      <c r="B33" s="39"/>
      <c r="C33" s="39">
        <f t="shared" si="2"/>
        <v>9620</v>
      </c>
      <c r="D33" s="39"/>
      <c r="E33" s="39">
        <f t="shared" si="3"/>
        <v>819</v>
      </c>
      <c r="F33" s="39"/>
      <c r="G33" s="39">
        <f t="shared" si="1"/>
        <v>341</v>
      </c>
      <c r="H33" s="39"/>
      <c r="I33" s="39">
        <f t="shared" si="4"/>
        <v>10439</v>
      </c>
      <c r="J33" s="39"/>
      <c r="K33" s="39">
        <f t="shared" si="5"/>
        <v>331663.87</v>
      </c>
    </row>
    <row r="34" spans="1:11" x14ac:dyDescent="0.2">
      <c r="A34" s="209">
        <v>43617</v>
      </c>
      <c r="B34" s="39"/>
      <c r="C34" s="39">
        <f t="shared" si="2"/>
        <v>9643</v>
      </c>
      <c r="D34" s="39"/>
      <c r="E34" s="39">
        <f t="shared" si="3"/>
        <v>796</v>
      </c>
      <c r="F34" s="39"/>
      <c r="G34" s="39">
        <f t="shared" si="1"/>
        <v>332</v>
      </c>
      <c r="H34" s="39"/>
      <c r="I34" s="39">
        <f t="shared" si="4"/>
        <v>10439</v>
      </c>
      <c r="J34" s="39"/>
      <c r="K34" s="39">
        <f t="shared" si="5"/>
        <v>322020.87</v>
      </c>
    </row>
    <row r="35" spans="1:11" x14ac:dyDescent="0.2">
      <c r="A35" s="209">
        <v>43800</v>
      </c>
      <c r="B35" s="39"/>
      <c r="C35" s="39">
        <f t="shared" si="2"/>
        <v>9666</v>
      </c>
      <c r="D35" s="39"/>
      <c r="E35" s="39">
        <f t="shared" si="3"/>
        <v>773</v>
      </c>
      <c r="G35" s="39">
        <f t="shared" si="1"/>
        <v>322</v>
      </c>
      <c r="H35" s="39"/>
      <c r="I35" s="39">
        <f t="shared" si="4"/>
        <v>10439</v>
      </c>
      <c r="J35" s="39"/>
      <c r="K35" s="39">
        <f t="shared" si="5"/>
        <v>312354.87</v>
      </c>
    </row>
    <row r="36" spans="1:11" x14ac:dyDescent="0.2">
      <c r="A36" s="209">
        <v>43983</v>
      </c>
      <c r="B36" s="39"/>
      <c r="C36" s="39">
        <f t="shared" si="2"/>
        <v>9689</v>
      </c>
      <c r="D36" s="39"/>
      <c r="E36" s="39">
        <f t="shared" si="3"/>
        <v>750</v>
      </c>
      <c r="G36" s="39">
        <f t="shared" si="1"/>
        <v>312</v>
      </c>
      <c r="H36" s="39"/>
      <c r="I36" s="39">
        <f t="shared" si="4"/>
        <v>10439</v>
      </c>
      <c r="J36" s="39"/>
      <c r="K36" s="39">
        <f t="shared" si="5"/>
        <v>302665.87</v>
      </c>
    </row>
    <row r="37" spans="1:11" x14ac:dyDescent="0.2">
      <c r="A37" s="209">
        <v>44166</v>
      </c>
      <c r="B37" s="39"/>
      <c r="C37" s="39">
        <f t="shared" si="2"/>
        <v>9713</v>
      </c>
      <c r="D37" s="39"/>
      <c r="E37" s="39">
        <f t="shared" si="3"/>
        <v>726</v>
      </c>
      <c r="G37" s="39">
        <f t="shared" si="1"/>
        <v>303</v>
      </c>
      <c r="H37" s="39"/>
      <c r="I37" s="39">
        <f t="shared" si="4"/>
        <v>10439</v>
      </c>
      <c r="J37" s="39"/>
      <c r="K37" s="39">
        <f t="shared" si="5"/>
        <v>292952.87</v>
      </c>
    </row>
    <row r="38" spans="1:11" x14ac:dyDescent="0.2">
      <c r="A38" s="209">
        <v>44348</v>
      </c>
      <c r="B38" s="39"/>
      <c r="C38" s="39">
        <f t="shared" si="2"/>
        <v>9736</v>
      </c>
      <c r="D38" s="39"/>
      <c r="E38" s="39">
        <f t="shared" si="3"/>
        <v>703</v>
      </c>
      <c r="G38" s="39">
        <f t="shared" si="1"/>
        <v>293</v>
      </c>
      <c r="H38" s="39"/>
      <c r="I38" s="39">
        <f t="shared" si="4"/>
        <v>10439</v>
      </c>
      <c r="J38" s="39"/>
      <c r="K38" s="39">
        <f t="shared" si="5"/>
        <v>283216.87</v>
      </c>
    </row>
    <row r="39" spans="1:11" x14ac:dyDescent="0.2">
      <c r="A39" s="209">
        <v>44531</v>
      </c>
      <c r="B39" s="39"/>
      <c r="C39" s="39">
        <f t="shared" si="2"/>
        <v>9759</v>
      </c>
      <c r="D39" s="39"/>
      <c r="E39" s="39">
        <f t="shared" si="3"/>
        <v>680</v>
      </c>
      <c r="G39" s="39">
        <f t="shared" si="1"/>
        <v>283</v>
      </c>
      <c r="H39" s="39"/>
      <c r="I39" s="39">
        <f t="shared" si="4"/>
        <v>10439</v>
      </c>
      <c r="J39" s="39"/>
      <c r="K39" s="39">
        <f t="shared" si="5"/>
        <v>273457.87</v>
      </c>
    </row>
    <row r="40" spans="1:11" x14ac:dyDescent="0.2">
      <c r="A40" s="209">
        <v>44713</v>
      </c>
      <c r="B40" s="39"/>
      <c r="C40" s="39">
        <f t="shared" si="2"/>
        <v>9783</v>
      </c>
      <c r="D40" s="39"/>
      <c r="E40" s="39">
        <f t="shared" si="3"/>
        <v>656</v>
      </c>
      <c r="G40" s="39">
        <f t="shared" si="1"/>
        <v>273</v>
      </c>
      <c r="H40" s="39"/>
      <c r="I40" s="39">
        <f t="shared" si="4"/>
        <v>10439</v>
      </c>
      <c r="J40" s="39"/>
      <c r="K40" s="39">
        <f t="shared" si="5"/>
        <v>263674.87</v>
      </c>
    </row>
    <row r="41" spans="1:11" x14ac:dyDescent="0.2">
      <c r="A41" s="209">
        <v>44896</v>
      </c>
      <c r="B41" s="39"/>
      <c r="C41" s="39">
        <f t="shared" si="2"/>
        <v>9806</v>
      </c>
      <c r="D41" s="39"/>
      <c r="E41" s="39">
        <f t="shared" si="3"/>
        <v>633</v>
      </c>
      <c r="G41" s="39">
        <f t="shared" si="1"/>
        <v>264</v>
      </c>
      <c r="H41" s="39"/>
      <c r="I41" s="39">
        <f t="shared" si="4"/>
        <v>10439</v>
      </c>
      <c r="J41" s="39"/>
      <c r="K41" s="39">
        <f t="shared" si="5"/>
        <v>253868.87</v>
      </c>
    </row>
    <row r="42" spans="1:11" x14ac:dyDescent="0.2">
      <c r="A42" s="209">
        <v>45078</v>
      </c>
      <c r="B42" s="39"/>
      <c r="C42" s="39">
        <f t="shared" si="2"/>
        <v>9830</v>
      </c>
      <c r="D42" s="39"/>
      <c r="E42" s="39">
        <f t="shared" si="3"/>
        <v>609</v>
      </c>
      <c r="G42" s="39">
        <f t="shared" si="1"/>
        <v>254</v>
      </c>
      <c r="H42" s="39"/>
      <c r="I42" s="39">
        <f t="shared" si="4"/>
        <v>10439</v>
      </c>
      <c r="J42" s="39"/>
      <c r="K42" s="39">
        <f t="shared" si="5"/>
        <v>244038.87</v>
      </c>
    </row>
    <row r="43" spans="1:11" x14ac:dyDescent="0.2">
      <c r="A43" s="209">
        <v>45261</v>
      </c>
      <c r="B43" s="39"/>
      <c r="C43" s="39">
        <f t="shared" si="2"/>
        <v>9853</v>
      </c>
      <c r="D43" s="39"/>
      <c r="E43" s="39">
        <f t="shared" si="3"/>
        <v>586</v>
      </c>
      <c r="G43" s="39">
        <f t="shared" si="1"/>
        <v>244</v>
      </c>
      <c r="H43" s="39"/>
      <c r="I43" s="39">
        <f t="shared" si="4"/>
        <v>10439</v>
      </c>
      <c r="J43" s="39"/>
      <c r="K43" s="39">
        <f t="shared" si="5"/>
        <v>234185.87</v>
      </c>
    </row>
    <row r="44" spans="1:11" x14ac:dyDescent="0.2">
      <c r="A44" s="209">
        <v>45444</v>
      </c>
      <c r="B44" s="39"/>
      <c r="C44" s="39">
        <f t="shared" si="2"/>
        <v>9877</v>
      </c>
      <c r="D44" s="39"/>
      <c r="E44" s="39">
        <f t="shared" si="3"/>
        <v>562</v>
      </c>
      <c r="G44" s="39">
        <f t="shared" si="1"/>
        <v>234</v>
      </c>
      <c r="H44" s="39"/>
      <c r="I44" s="39">
        <f t="shared" si="4"/>
        <v>10439</v>
      </c>
      <c r="J44" s="39"/>
      <c r="K44" s="39">
        <f t="shared" si="5"/>
        <v>224308.87</v>
      </c>
    </row>
    <row r="45" spans="1:11" x14ac:dyDescent="0.2">
      <c r="A45" s="209">
        <v>45627</v>
      </c>
      <c r="B45" s="39"/>
      <c r="C45" s="39">
        <f t="shared" si="2"/>
        <v>9901</v>
      </c>
      <c r="D45" s="39"/>
      <c r="E45" s="39">
        <f t="shared" si="3"/>
        <v>538</v>
      </c>
      <c r="G45" s="39">
        <f t="shared" si="1"/>
        <v>224</v>
      </c>
      <c r="H45" s="39"/>
      <c r="I45" s="39">
        <f t="shared" si="4"/>
        <v>10439</v>
      </c>
      <c r="J45" s="39"/>
      <c r="K45" s="39">
        <f t="shared" si="5"/>
        <v>214407.87</v>
      </c>
    </row>
    <row r="46" spans="1:11" x14ac:dyDescent="0.2">
      <c r="A46" s="209">
        <v>45809</v>
      </c>
      <c r="B46" s="39"/>
      <c r="C46" s="39">
        <f t="shared" si="2"/>
        <v>9924</v>
      </c>
      <c r="D46" s="39"/>
      <c r="E46" s="39">
        <f t="shared" si="3"/>
        <v>515</v>
      </c>
      <c r="G46" s="39">
        <f t="shared" si="1"/>
        <v>214</v>
      </c>
      <c r="H46" s="39"/>
      <c r="I46" s="39">
        <f t="shared" si="4"/>
        <v>10439</v>
      </c>
      <c r="J46" s="39"/>
      <c r="K46" s="39">
        <f t="shared" si="5"/>
        <v>204483.87</v>
      </c>
    </row>
    <row r="47" spans="1:11" x14ac:dyDescent="0.2">
      <c r="A47" s="209">
        <v>45992</v>
      </c>
      <c r="B47" s="39"/>
      <c r="C47" s="39">
        <f t="shared" si="2"/>
        <v>9948</v>
      </c>
      <c r="D47" s="39"/>
      <c r="E47" s="39">
        <f t="shared" si="3"/>
        <v>491</v>
      </c>
      <c r="G47" s="39">
        <f t="shared" si="1"/>
        <v>204</v>
      </c>
      <c r="H47" s="39"/>
      <c r="I47" s="39">
        <f t="shared" si="4"/>
        <v>10439</v>
      </c>
      <c r="J47" s="39"/>
      <c r="K47" s="39">
        <f t="shared" si="5"/>
        <v>194535.87</v>
      </c>
    </row>
    <row r="48" spans="1:11" x14ac:dyDescent="0.2">
      <c r="A48" s="209">
        <v>46174</v>
      </c>
      <c r="B48" s="39"/>
      <c r="C48" s="39">
        <f>K47</f>
        <v>194535.87</v>
      </c>
      <c r="D48" s="39"/>
      <c r="E48" s="39">
        <f t="shared" si="3"/>
        <v>467</v>
      </c>
      <c r="G48" s="39">
        <f t="shared" si="1"/>
        <v>195</v>
      </c>
      <c r="H48" s="39"/>
      <c r="I48" s="39">
        <f t="shared" si="4"/>
        <v>195002.87</v>
      </c>
      <c r="J48" s="39"/>
      <c r="K48" s="39">
        <f t="shared" si="5"/>
        <v>0</v>
      </c>
    </row>
    <row r="49" spans="1:10" x14ac:dyDescent="0.2">
      <c r="A49" s="209">
        <v>46357</v>
      </c>
      <c r="B49" s="39"/>
      <c r="C49" s="39"/>
      <c r="D49" s="39"/>
      <c r="E49" s="39"/>
      <c r="G49" s="39"/>
      <c r="H49" s="39"/>
      <c r="I49" s="39"/>
      <c r="J49" s="39"/>
    </row>
    <row r="50" spans="1:10" x14ac:dyDescent="0.2">
      <c r="A50" s="209">
        <v>46539</v>
      </c>
      <c r="B50" s="39"/>
      <c r="C50" s="39"/>
      <c r="D50" s="39"/>
      <c r="E50" s="39"/>
      <c r="G50" s="39"/>
      <c r="H50" s="39"/>
      <c r="I50" s="39"/>
      <c r="J50" s="39"/>
    </row>
    <row r="51" spans="1:10" x14ac:dyDescent="0.2">
      <c r="A51" s="209">
        <v>46722</v>
      </c>
      <c r="B51" s="39"/>
      <c r="C51" s="39"/>
      <c r="D51" s="39"/>
      <c r="E51" s="39"/>
      <c r="G51" s="39"/>
      <c r="H51" s="39"/>
      <c r="I51" s="39"/>
      <c r="J51" s="39"/>
    </row>
    <row r="52" spans="1:10" x14ac:dyDescent="0.2">
      <c r="A52" s="209">
        <v>46905</v>
      </c>
      <c r="B52" s="39"/>
      <c r="C52" s="39"/>
      <c r="D52" s="39"/>
      <c r="E52" s="39"/>
      <c r="G52" s="39"/>
      <c r="H52" s="39"/>
      <c r="I52" s="39"/>
      <c r="J52" s="39"/>
    </row>
    <row r="53" spans="1:10" x14ac:dyDescent="0.2">
      <c r="A53" s="209">
        <v>47088</v>
      </c>
      <c r="B53" s="39"/>
      <c r="C53" s="39"/>
      <c r="D53" s="39"/>
      <c r="E53" s="39"/>
      <c r="G53" s="39"/>
      <c r="H53" s="39"/>
      <c r="I53" s="39"/>
      <c r="J53" s="39"/>
    </row>
    <row r="54" spans="1:10" x14ac:dyDescent="0.2">
      <c r="A54" s="209">
        <v>47270</v>
      </c>
      <c r="B54" s="39"/>
      <c r="C54" s="39"/>
      <c r="D54" s="39"/>
      <c r="E54" s="39"/>
      <c r="G54" s="39"/>
      <c r="H54" s="39"/>
      <c r="I54" s="39"/>
      <c r="J54" s="39"/>
    </row>
    <row r="55" spans="1:10" ht="15.75" thickBot="1" x14ac:dyDescent="0.25">
      <c r="A55" s="246"/>
      <c r="B55" s="39"/>
      <c r="C55" s="244">
        <f>SUM(C15:C54)</f>
        <v>510966</v>
      </c>
      <c r="D55" s="39"/>
      <c r="E55" s="244">
        <f>SUM(E15:E54)</f>
        <v>28728.010000000002</v>
      </c>
      <c r="G55" s="244">
        <f>SUM(G15:G54)</f>
        <v>12055</v>
      </c>
      <c r="H55" s="39"/>
      <c r="I55" s="244">
        <f>SUM(I15:I54)</f>
        <v>539694.01</v>
      </c>
      <c r="J55" s="39"/>
    </row>
    <row r="56" spans="1:10" ht="15.75" thickTop="1" x14ac:dyDescent="0.2">
      <c r="A56" s="246"/>
      <c r="B56" s="39"/>
      <c r="C56" s="39"/>
      <c r="D56" s="39"/>
      <c r="E56" s="39"/>
      <c r="G56" s="39"/>
      <c r="H56" s="39"/>
      <c r="I56" s="39"/>
      <c r="J56" s="39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0380A-58A8-40B9-9C3C-939234618911}">
  <dimension ref="B1:J44"/>
  <sheetViews>
    <sheetView showGridLines="0" workbookViewId="0">
      <selection activeCell="C4" sqref="C4:C39"/>
    </sheetView>
  </sheetViews>
  <sheetFormatPr defaultColWidth="14.77734375" defaultRowHeight="15" x14ac:dyDescent="0.2"/>
  <cols>
    <col min="2" max="2" width="2.77734375" customWidth="1"/>
    <col min="3" max="5" width="10.77734375" customWidth="1"/>
    <col min="8" max="8" width="2.77734375" customWidth="1"/>
  </cols>
  <sheetData>
    <row r="1" spans="2:10" ht="18.75" x14ac:dyDescent="0.3">
      <c r="B1" s="115"/>
      <c r="C1" s="338" t="s">
        <v>92</v>
      </c>
      <c r="D1" s="338"/>
      <c r="E1" s="338"/>
      <c r="F1" s="338"/>
      <c r="G1" s="338"/>
      <c r="H1" s="128"/>
      <c r="I1" s="127"/>
      <c r="J1" s="127"/>
    </row>
    <row r="2" spans="2:10" ht="18.75" x14ac:dyDescent="0.2">
      <c r="B2" s="11"/>
      <c r="C2" s="339" t="str">
        <f>'SAO - DSC'!F1</f>
        <v>Graves County Water District</v>
      </c>
      <c r="D2" s="339"/>
      <c r="E2" s="339"/>
      <c r="F2" s="339"/>
      <c r="G2" s="339"/>
      <c r="H2" s="129"/>
      <c r="I2" s="126"/>
      <c r="J2" s="126"/>
    </row>
    <row r="3" spans="2:10" ht="15.75" x14ac:dyDescent="0.25">
      <c r="B3" s="117"/>
      <c r="C3" s="2"/>
      <c r="D3" s="2"/>
      <c r="E3" s="2"/>
      <c r="F3" s="2"/>
      <c r="G3" s="2"/>
      <c r="H3" s="134"/>
      <c r="I3" s="1"/>
      <c r="J3" s="1"/>
    </row>
    <row r="4" spans="2:10" x14ac:dyDescent="0.2">
      <c r="B4" s="115"/>
      <c r="C4" s="135" t="s">
        <v>150</v>
      </c>
      <c r="D4" s="135"/>
      <c r="E4" s="135"/>
      <c r="F4" s="119"/>
      <c r="G4" s="119"/>
      <c r="H4" s="116"/>
    </row>
    <row r="5" spans="2:10" x14ac:dyDescent="0.2">
      <c r="B5" s="11"/>
      <c r="C5" s="25" t="s">
        <v>32</v>
      </c>
      <c r="D5" s="137">
        <v>2000</v>
      </c>
      <c r="E5" s="93" t="s">
        <v>56</v>
      </c>
      <c r="F5" s="110">
        <v>15.45</v>
      </c>
      <c r="G5" t="s">
        <v>85</v>
      </c>
      <c r="H5" s="109"/>
    </row>
    <row r="6" spans="2:10" x14ac:dyDescent="0.2">
      <c r="B6" s="11"/>
      <c r="C6" s="25" t="s">
        <v>33</v>
      </c>
      <c r="D6" s="137">
        <v>8000</v>
      </c>
      <c r="E6" s="93" t="s">
        <v>56</v>
      </c>
      <c r="F6" s="136">
        <f>ROUND(J6/1000,6)</f>
        <v>6.0299999999999998E-3</v>
      </c>
      <c r="G6" t="s">
        <v>84</v>
      </c>
      <c r="H6" s="109"/>
      <c r="J6">
        <v>6.03</v>
      </c>
    </row>
    <row r="7" spans="2:10" x14ac:dyDescent="0.2">
      <c r="B7" s="11"/>
      <c r="C7" s="25" t="s">
        <v>33</v>
      </c>
      <c r="D7" s="137">
        <v>10000</v>
      </c>
      <c r="E7" s="93" t="s">
        <v>56</v>
      </c>
      <c r="F7" s="136">
        <f t="shared" ref="F7:F9" si="0">ROUND(J7/1000,6)</f>
        <v>5.4000000000000003E-3</v>
      </c>
      <c r="G7" t="s">
        <v>84</v>
      </c>
      <c r="H7" s="109"/>
      <c r="J7">
        <v>5.4</v>
      </c>
    </row>
    <row r="8" spans="2:10" x14ac:dyDescent="0.2">
      <c r="B8" s="11"/>
      <c r="C8" s="25" t="s">
        <v>33</v>
      </c>
      <c r="D8" s="137">
        <v>30000</v>
      </c>
      <c r="E8" s="93" t="s">
        <v>56</v>
      </c>
      <c r="F8" s="136">
        <f t="shared" si="0"/>
        <v>4.7699999999999999E-3</v>
      </c>
      <c r="G8" t="s">
        <v>84</v>
      </c>
      <c r="H8" s="109"/>
      <c r="J8">
        <v>4.7699999999999996</v>
      </c>
    </row>
    <row r="9" spans="2:10" x14ac:dyDescent="0.2">
      <c r="B9" s="11"/>
      <c r="C9" s="25" t="s">
        <v>44</v>
      </c>
      <c r="D9" s="137">
        <f>SUM(D5:D8)</f>
        <v>50000</v>
      </c>
      <c r="E9" s="93" t="s">
        <v>56</v>
      </c>
      <c r="F9" s="136">
        <f t="shared" si="0"/>
        <v>4.1399999999999996E-3</v>
      </c>
      <c r="G9" t="s">
        <v>84</v>
      </c>
      <c r="H9" s="109"/>
      <c r="J9">
        <v>4.1399999999999997</v>
      </c>
    </row>
    <row r="10" spans="2:10" x14ac:dyDescent="0.2">
      <c r="B10" s="11"/>
      <c r="D10" s="137"/>
      <c r="E10" s="137"/>
      <c r="H10" s="109"/>
    </row>
    <row r="11" spans="2:10" x14ac:dyDescent="0.2">
      <c r="B11" s="11"/>
      <c r="C11" s="39" t="s">
        <v>90</v>
      </c>
      <c r="D11" s="137"/>
      <c r="E11" s="137"/>
      <c r="H11" s="109"/>
    </row>
    <row r="12" spans="2:10" x14ac:dyDescent="0.2">
      <c r="B12" s="11"/>
      <c r="C12" s="25" t="s">
        <v>32</v>
      </c>
      <c r="D12" s="26">
        <v>5000</v>
      </c>
      <c r="E12" s="93" t="s">
        <v>56</v>
      </c>
      <c r="F12" s="110">
        <v>33.53</v>
      </c>
      <c r="G12" t="s">
        <v>85</v>
      </c>
      <c r="H12" s="109"/>
    </row>
    <row r="13" spans="2:10" x14ac:dyDescent="0.2">
      <c r="B13" s="11"/>
      <c r="C13" s="25" t="s">
        <v>33</v>
      </c>
      <c r="D13" s="26">
        <v>5000</v>
      </c>
      <c r="E13" s="93" t="s">
        <v>56</v>
      </c>
      <c r="F13" s="136">
        <f>F6</f>
        <v>6.0299999999999998E-3</v>
      </c>
      <c r="G13" t="s">
        <v>84</v>
      </c>
      <c r="H13" s="109"/>
    </row>
    <row r="14" spans="2:10" x14ac:dyDescent="0.2">
      <c r="B14" s="11"/>
      <c r="C14" s="25" t="s">
        <v>33</v>
      </c>
      <c r="D14" s="26">
        <v>10000</v>
      </c>
      <c r="E14" s="93" t="s">
        <v>56</v>
      </c>
      <c r="F14" s="136">
        <f t="shared" ref="F14:F16" si="1">F7</f>
        <v>5.4000000000000003E-3</v>
      </c>
      <c r="G14" t="s">
        <v>84</v>
      </c>
      <c r="H14" s="109"/>
    </row>
    <row r="15" spans="2:10" x14ac:dyDescent="0.2">
      <c r="B15" s="11"/>
      <c r="C15" s="25" t="s">
        <v>33</v>
      </c>
      <c r="D15" s="26">
        <v>30000</v>
      </c>
      <c r="E15" s="93" t="s">
        <v>56</v>
      </c>
      <c r="F15" s="136">
        <f t="shared" si="1"/>
        <v>4.7699999999999999E-3</v>
      </c>
      <c r="G15" t="s">
        <v>84</v>
      </c>
      <c r="H15" s="109"/>
    </row>
    <row r="16" spans="2:10" x14ac:dyDescent="0.2">
      <c r="B16" s="11"/>
      <c r="C16" s="25" t="s">
        <v>44</v>
      </c>
      <c r="D16" s="26">
        <f>SUM(D12:D15)</f>
        <v>50000</v>
      </c>
      <c r="E16" s="93" t="s">
        <v>56</v>
      </c>
      <c r="F16" s="136">
        <f t="shared" si="1"/>
        <v>4.1399999999999996E-3</v>
      </c>
      <c r="G16" t="s">
        <v>84</v>
      </c>
      <c r="H16" s="109"/>
    </row>
    <row r="17" spans="2:8" x14ac:dyDescent="0.2">
      <c r="B17" s="11"/>
      <c r="D17" s="137"/>
      <c r="E17" s="137"/>
      <c r="H17" s="109"/>
    </row>
    <row r="18" spans="2:8" x14ac:dyDescent="0.2">
      <c r="B18" s="11"/>
      <c r="C18" s="39" t="s">
        <v>151</v>
      </c>
      <c r="D18" s="137"/>
      <c r="E18" s="137"/>
      <c r="H18" s="109"/>
    </row>
    <row r="19" spans="2:8" x14ac:dyDescent="0.2">
      <c r="B19" s="11"/>
      <c r="C19" s="25" t="s">
        <v>32</v>
      </c>
      <c r="D19" s="26">
        <v>7500</v>
      </c>
      <c r="E19" s="93" t="s">
        <v>56</v>
      </c>
      <c r="F19" s="110">
        <v>48.62</v>
      </c>
      <c r="G19" t="s">
        <v>85</v>
      </c>
      <c r="H19" s="109"/>
    </row>
    <row r="20" spans="2:8" x14ac:dyDescent="0.2">
      <c r="B20" s="11"/>
      <c r="C20" s="25" t="s">
        <v>33</v>
      </c>
      <c r="D20" s="26">
        <v>2500</v>
      </c>
      <c r="E20" s="93" t="s">
        <v>56</v>
      </c>
      <c r="F20" s="136">
        <f>F6</f>
        <v>6.0299999999999998E-3</v>
      </c>
      <c r="G20" t="s">
        <v>84</v>
      </c>
      <c r="H20" s="109"/>
    </row>
    <row r="21" spans="2:8" x14ac:dyDescent="0.2">
      <c r="B21" s="11"/>
      <c r="C21" s="25" t="s">
        <v>33</v>
      </c>
      <c r="D21" s="26">
        <v>10000</v>
      </c>
      <c r="E21" s="93" t="s">
        <v>56</v>
      </c>
      <c r="F21" s="136">
        <f t="shared" ref="F21:F23" si="2">F7</f>
        <v>5.4000000000000003E-3</v>
      </c>
      <c r="G21" t="s">
        <v>84</v>
      </c>
      <c r="H21" s="109"/>
    </row>
    <row r="22" spans="2:8" x14ac:dyDescent="0.2">
      <c r="B22" s="11"/>
      <c r="C22" s="25" t="s">
        <v>33</v>
      </c>
      <c r="D22" s="26">
        <v>30000</v>
      </c>
      <c r="E22" s="93" t="s">
        <v>56</v>
      </c>
      <c r="F22" s="136">
        <f t="shared" si="2"/>
        <v>4.7699999999999999E-3</v>
      </c>
      <c r="G22" t="s">
        <v>84</v>
      </c>
      <c r="H22" s="109"/>
    </row>
    <row r="23" spans="2:8" x14ac:dyDescent="0.2">
      <c r="B23" s="11"/>
      <c r="C23" s="25" t="s">
        <v>44</v>
      </c>
      <c r="D23" s="26">
        <f>SUM(D19:D22)</f>
        <v>50000</v>
      </c>
      <c r="E23" s="93" t="s">
        <v>56</v>
      </c>
      <c r="F23" s="136">
        <f t="shared" si="2"/>
        <v>4.1399999999999996E-3</v>
      </c>
      <c r="G23" t="s">
        <v>84</v>
      </c>
      <c r="H23" s="109"/>
    </row>
    <row r="24" spans="2:8" x14ac:dyDescent="0.2">
      <c r="B24" s="11"/>
      <c r="D24" s="137"/>
      <c r="E24" s="137"/>
      <c r="H24" s="109"/>
    </row>
    <row r="25" spans="2:8" x14ac:dyDescent="0.2">
      <c r="B25" s="11"/>
      <c r="C25" s="30" t="s">
        <v>225</v>
      </c>
      <c r="D25" s="137"/>
      <c r="E25" s="137"/>
      <c r="H25" s="109"/>
    </row>
    <row r="26" spans="2:8" x14ac:dyDescent="0.2">
      <c r="B26" s="11"/>
      <c r="C26" s="25" t="s">
        <v>32</v>
      </c>
      <c r="D26" s="26">
        <v>20000</v>
      </c>
      <c r="E26" s="93" t="s">
        <v>56</v>
      </c>
      <c r="F26" s="110">
        <v>117.68</v>
      </c>
      <c r="G26" t="s">
        <v>85</v>
      </c>
      <c r="H26" s="109"/>
    </row>
    <row r="27" spans="2:8" x14ac:dyDescent="0.2">
      <c r="B27" s="11"/>
      <c r="C27" s="25" t="s">
        <v>33</v>
      </c>
      <c r="D27" s="26">
        <v>30000</v>
      </c>
      <c r="E27" s="93" t="s">
        <v>56</v>
      </c>
      <c r="F27" s="136">
        <f>F8</f>
        <v>4.7699999999999999E-3</v>
      </c>
      <c r="G27" t="s">
        <v>84</v>
      </c>
      <c r="H27" s="109"/>
    </row>
    <row r="28" spans="2:8" x14ac:dyDescent="0.2">
      <c r="B28" s="11"/>
      <c r="C28" s="25" t="s">
        <v>44</v>
      </c>
      <c r="D28" s="26">
        <f>SUM(D26:D27)</f>
        <v>50000</v>
      </c>
      <c r="E28" s="93" t="s">
        <v>56</v>
      </c>
      <c r="F28" s="136">
        <f>F9</f>
        <v>4.1399999999999996E-3</v>
      </c>
      <c r="G28" t="s">
        <v>84</v>
      </c>
      <c r="H28" s="109"/>
    </row>
    <row r="29" spans="2:8" x14ac:dyDescent="0.2">
      <c r="B29" s="11"/>
      <c r="C29" s="25"/>
      <c r="D29" s="26"/>
      <c r="E29" s="93"/>
      <c r="F29" s="29"/>
      <c r="H29" s="109"/>
    </row>
    <row r="30" spans="2:8" x14ac:dyDescent="0.2">
      <c r="B30" s="11"/>
      <c r="C30" s="30" t="s">
        <v>226</v>
      </c>
      <c r="D30" s="137"/>
      <c r="E30" s="137"/>
      <c r="H30" s="109"/>
    </row>
    <row r="31" spans="2:8" x14ac:dyDescent="0.2">
      <c r="B31" s="11"/>
      <c r="C31" s="25" t="s">
        <v>32</v>
      </c>
      <c r="D31" s="26">
        <v>30000</v>
      </c>
      <c r="E31" s="93" t="s">
        <v>56</v>
      </c>
      <c r="F31" s="110">
        <v>165.58</v>
      </c>
      <c r="G31" t="s">
        <v>85</v>
      </c>
      <c r="H31" s="109"/>
    </row>
    <row r="32" spans="2:8" x14ac:dyDescent="0.2">
      <c r="B32" s="11"/>
      <c r="C32" s="25" t="s">
        <v>33</v>
      </c>
      <c r="D32" s="26">
        <v>20000</v>
      </c>
      <c r="E32" s="93" t="s">
        <v>56</v>
      </c>
      <c r="F32" s="136">
        <f>F8</f>
        <v>4.7699999999999999E-3</v>
      </c>
      <c r="G32" t="s">
        <v>84</v>
      </c>
      <c r="H32" s="109"/>
    </row>
    <row r="33" spans="2:10" x14ac:dyDescent="0.2">
      <c r="B33" s="11"/>
      <c r="C33" s="25" t="s">
        <v>44</v>
      </c>
      <c r="D33" s="26">
        <f>SUM(D31:D32)</f>
        <v>50000</v>
      </c>
      <c r="E33" s="93" t="s">
        <v>56</v>
      </c>
      <c r="F33" s="136">
        <f>F9</f>
        <v>4.1399999999999996E-3</v>
      </c>
      <c r="G33" t="s">
        <v>84</v>
      </c>
      <c r="H33" s="109"/>
    </row>
    <row r="34" spans="2:10" x14ac:dyDescent="0.2">
      <c r="B34" s="11"/>
      <c r="C34" s="25"/>
      <c r="D34" s="26"/>
      <c r="E34" s="93"/>
      <c r="F34" s="29"/>
      <c r="H34" s="109"/>
    </row>
    <row r="35" spans="2:10" x14ac:dyDescent="0.2">
      <c r="B35" s="11"/>
      <c r="C35" s="30" t="s">
        <v>227</v>
      </c>
      <c r="D35" s="137"/>
      <c r="E35" s="137"/>
      <c r="H35" s="109"/>
    </row>
    <row r="36" spans="2:10" x14ac:dyDescent="0.2">
      <c r="B36" s="11"/>
      <c r="C36" s="25" t="s">
        <v>32</v>
      </c>
      <c r="D36" s="26">
        <v>50000</v>
      </c>
      <c r="E36" s="93" t="s">
        <v>56</v>
      </c>
      <c r="F36" s="110">
        <v>260.85000000000002</v>
      </c>
      <c r="G36" t="s">
        <v>85</v>
      </c>
      <c r="H36" s="109"/>
    </row>
    <row r="37" spans="2:10" x14ac:dyDescent="0.2">
      <c r="B37" s="11"/>
      <c r="C37" s="25" t="s">
        <v>44</v>
      </c>
      <c r="D37" s="26">
        <f>SUM(D36:D36)</f>
        <v>50000</v>
      </c>
      <c r="E37" s="93" t="s">
        <v>56</v>
      </c>
      <c r="F37" s="136">
        <f>F9</f>
        <v>4.1399999999999996E-3</v>
      </c>
      <c r="G37" t="s">
        <v>84</v>
      </c>
      <c r="H37" s="109"/>
    </row>
    <row r="38" spans="2:10" x14ac:dyDescent="0.2">
      <c r="B38" s="11"/>
      <c r="C38" s="25"/>
      <c r="D38" s="26"/>
      <c r="E38" s="93"/>
      <c r="F38" s="29"/>
      <c r="H38" s="109"/>
    </row>
    <row r="39" spans="2:10" x14ac:dyDescent="0.2">
      <c r="B39" s="11"/>
      <c r="C39" s="205" t="s">
        <v>91</v>
      </c>
      <c r="D39" s="26"/>
      <c r="E39" s="93"/>
      <c r="F39" s="136">
        <f>ROUND(J39/1000,6)</f>
        <v>3.0699999999999998E-3</v>
      </c>
      <c r="G39" t="s">
        <v>84</v>
      </c>
      <c r="H39" s="109"/>
      <c r="J39">
        <v>3.07</v>
      </c>
    </row>
    <row r="40" spans="2:10" x14ac:dyDescent="0.2">
      <c r="B40" s="11"/>
      <c r="C40" s="25"/>
      <c r="D40" s="26"/>
      <c r="E40" s="93"/>
      <c r="F40" s="29"/>
      <c r="H40" s="109"/>
    </row>
    <row r="41" spans="2:10" x14ac:dyDescent="0.2">
      <c r="B41" s="11"/>
      <c r="C41" s="205" t="s">
        <v>229</v>
      </c>
      <c r="D41" s="26"/>
      <c r="E41" s="93"/>
      <c r="H41" s="109"/>
    </row>
    <row r="42" spans="2:10" x14ac:dyDescent="0.2">
      <c r="B42" s="11"/>
      <c r="C42" s="269" t="s">
        <v>230</v>
      </c>
      <c r="D42" s="26"/>
      <c r="E42" s="93"/>
      <c r="F42" s="110">
        <v>5</v>
      </c>
      <c r="G42" s="12" t="s">
        <v>228</v>
      </c>
      <c r="H42" s="109"/>
    </row>
    <row r="43" spans="2:10" x14ac:dyDescent="0.2">
      <c r="B43" s="11"/>
      <c r="D43" s="137"/>
      <c r="E43" s="137"/>
      <c r="H43" s="109"/>
    </row>
    <row r="44" spans="2:10" x14ac:dyDescent="0.2">
      <c r="B44" s="117"/>
      <c r="C44" s="27"/>
      <c r="D44" s="27"/>
      <c r="E44" s="27"/>
      <c r="F44" s="27"/>
      <c r="G44" s="27"/>
      <c r="H44" s="118"/>
    </row>
  </sheetData>
  <mergeCells count="2">
    <mergeCell ref="C1:G1"/>
    <mergeCell ref="C2:G2"/>
  </mergeCells>
  <printOptions horizontalCentered="1"/>
  <pageMargins left="0.7" right="0.7" top="1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B17BF-E617-432E-8703-7E7F7DCD734A}">
  <dimension ref="B2:U49"/>
  <sheetViews>
    <sheetView topLeftCell="A4" workbookViewId="0">
      <selection activeCell="R5" sqref="R5"/>
    </sheetView>
  </sheetViews>
  <sheetFormatPr defaultColWidth="8.88671875" defaultRowHeight="15.75" x14ac:dyDescent="0.25"/>
  <cols>
    <col min="1" max="1" width="9.6640625" style="3" customWidth="1"/>
    <col min="2" max="2" width="1.109375" style="3" customWidth="1"/>
    <col min="3" max="3" width="4.77734375" style="3" customWidth="1"/>
    <col min="4" max="5" width="12.77734375" style="3" customWidth="1"/>
    <col min="6" max="6" width="12.77734375" style="7" customWidth="1"/>
    <col min="7" max="7" width="12.77734375" style="3" customWidth="1"/>
    <col min="8" max="9" width="4.77734375" style="3" customWidth="1"/>
    <col min="10" max="11" width="12.77734375" style="3" customWidth="1"/>
    <col min="12" max="12" width="12.77734375" style="7" customWidth="1"/>
    <col min="13" max="13" width="12.77734375" style="3" customWidth="1"/>
    <col min="14" max="15" width="1.77734375" style="3" customWidth="1"/>
    <col min="16" max="19" width="12.77734375" style="3" customWidth="1"/>
    <col min="20" max="207" width="9.6640625" style="3" customWidth="1"/>
    <col min="208" max="16384" width="8.88671875" style="3"/>
  </cols>
  <sheetData>
    <row r="2" spans="2:21" x14ac:dyDescent="0.25">
      <c r="B2" s="5"/>
      <c r="C2" s="41"/>
      <c r="D2" s="41"/>
      <c r="E2" s="41"/>
      <c r="F2" s="42"/>
      <c r="G2" s="41"/>
      <c r="H2" s="41"/>
      <c r="I2" s="41"/>
      <c r="J2" s="41"/>
      <c r="K2" s="41"/>
      <c r="L2" s="42"/>
      <c r="M2" s="41"/>
      <c r="N2" s="43"/>
    </row>
    <row r="3" spans="2:21" ht="23.25" x14ac:dyDescent="0.35">
      <c r="B3" s="4"/>
      <c r="C3" s="340" t="s">
        <v>42</v>
      </c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44"/>
    </row>
    <row r="4" spans="2:21" ht="23.25" x14ac:dyDescent="0.35">
      <c r="B4" s="4"/>
      <c r="C4" s="340" t="s">
        <v>34</v>
      </c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44"/>
      <c r="P4" s="3" t="s">
        <v>70</v>
      </c>
      <c r="R4" s="141">
        <f>'SAO - DSC'!M58</f>
        <v>0.32600000000000001</v>
      </c>
      <c r="S4" s="3" t="s">
        <v>163</v>
      </c>
    </row>
    <row r="5" spans="2:21" ht="23.25" x14ac:dyDescent="0.25">
      <c r="B5" s="4"/>
      <c r="C5" s="341" t="str">
        <f>'SAO - DSC'!F1</f>
        <v>Graves County Water District</v>
      </c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8"/>
      <c r="O5" s="37"/>
      <c r="P5" s="37"/>
      <c r="Q5" s="37"/>
      <c r="R5" s="37"/>
    </row>
    <row r="6" spans="2:21" x14ac:dyDescent="0.25">
      <c r="B6" s="6"/>
      <c r="C6" s="46"/>
      <c r="D6" s="46"/>
      <c r="E6" s="46"/>
      <c r="F6" s="47"/>
      <c r="G6" s="46"/>
      <c r="H6" s="46"/>
      <c r="I6" s="46"/>
      <c r="J6" s="46"/>
      <c r="K6" s="46"/>
      <c r="L6" s="47"/>
      <c r="M6" s="46"/>
      <c r="N6" s="48"/>
    </row>
    <row r="7" spans="2:21" x14ac:dyDescent="0.25">
      <c r="B7" s="4"/>
      <c r="N7" s="44"/>
    </row>
    <row r="8" spans="2:21" ht="21" x14ac:dyDescent="0.35">
      <c r="B8" s="4"/>
      <c r="C8" s="342" t="s">
        <v>93</v>
      </c>
      <c r="D8" s="342"/>
      <c r="E8" s="342"/>
      <c r="F8" s="342"/>
      <c r="G8" s="342"/>
      <c r="I8" s="342" t="s">
        <v>94</v>
      </c>
      <c r="J8" s="342"/>
      <c r="K8" s="342"/>
      <c r="L8" s="342"/>
      <c r="M8" s="342"/>
      <c r="N8" s="44"/>
    </row>
    <row r="9" spans="2:21" x14ac:dyDescent="0.25">
      <c r="B9" s="4"/>
      <c r="N9" s="44"/>
    </row>
    <row r="10" spans="2:21" x14ac:dyDescent="0.25">
      <c r="B10" s="4"/>
      <c r="C10" s="30" t="s">
        <v>150</v>
      </c>
      <c r="D10" s="39"/>
      <c r="E10" s="39"/>
      <c r="F10" s="39"/>
      <c r="G10"/>
      <c r="J10" s="26"/>
      <c r="K10" s="93"/>
      <c r="L10" s="110"/>
      <c r="M10"/>
      <c r="N10" s="138"/>
      <c r="O10" s="45"/>
      <c r="P10" s="10"/>
      <c r="Q10" s="10"/>
      <c r="S10" s="9"/>
      <c r="T10" s="9"/>
      <c r="U10" s="49"/>
    </row>
    <row r="11" spans="2:21" x14ac:dyDescent="0.25">
      <c r="B11" s="4"/>
      <c r="C11" s="25" t="s">
        <v>32</v>
      </c>
      <c r="D11" s="137">
        <v>2000</v>
      </c>
      <c r="E11" s="93" t="s">
        <v>56</v>
      </c>
      <c r="F11" s="110">
        <f>CurRates!F5</f>
        <v>15.45</v>
      </c>
      <c r="G11" t="s">
        <v>85</v>
      </c>
      <c r="I11" s="25" t="s">
        <v>32</v>
      </c>
      <c r="J11" s="137">
        <v>2000</v>
      </c>
      <c r="K11" s="93" t="s">
        <v>56</v>
      </c>
      <c r="L11" s="110">
        <f>S11</f>
        <v>20.509999999999998</v>
      </c>
      <c r="M11" t="s">
        <v>85</v>
      </c>
      <c r="N11" s="44"/>
      <c r="P11" s="139">
        <f>F11</f>
        <v>15.45</v>
      </c>
      <c r="Q11" s="139">
        <f>ROUND(R$4*P11,2)</f>
        <v>5.04</v>
      </c>
      <c r="R11" s="140">
        <v>0.02</v>
      </c>
      <c r="S11" s="139">
        <f>SUM(P11:R11)</f>
        <v>20.509999999999998</v>
      </c>
    </row>
    <row r="12" spans="2:21" x14ac:dyDescent="0.25">
      <c r="B12" s="4"/>
      <c r="C12" s="25" t="s">
        <v>33</v>
      </c>
      <c r="D12" s="137">
        <v>8000</v>
      </c>
      <c r="E12" s="93" t="s">
        <v>56</v>
      </c>
      <c r="F12" s="29">
        <f>CurRates!F6</f>
        <v>6.0299999999999998E-3</v>
      </c>
      <c r="G12" t="s">
        <v>84</v>
      </c>
      <c r="I12" s="25" t="s">
        <v>33</v>
      </c>
      <c r="J12" s="137">
        <v>8000</v>
      </c>
      <c r="K12" s="93" t="s">
        <v>56</v>
      </c>
      <c r="L12" s="29">
        <f>S12</f>
        <v>8.0199999999999994E-3</v>
      </c>
      <c r="M12" t="s">
        <v>84</v>
      </c>
      <c r="N12" s="44"/>
      <c r="P12" s="140">
        <f>F12</f>
        <v>6.0299999999999998E-3</v>
      </c>
      <c r="Q12" s="140">
        <f>ROUND(R$4*P12,5)</f>
        <v>1.97E-3</v>
      </c>
      <c r="R12" s="140">
        <v>2.0000000000000002E-5</v>
      </c>
      <c r="S12" s="140">
        <f>SUM(P12:R12)</f>
        <v>8.0199999999999994E-3</v>
      </c>
    </row>
    <row r="13" spans="2:21" x14ac:dyDescent="0.25">
      <c r="B13" s="4"/>
      <c r="C13" s="25" t="s">
        <v>33</v>
      </c>
      <c r="D13" s="137">
        <v>10000</v>
      </c>
      <c r="E13" s="93" t="s">
        <v>56</v>
      </c>
      <c r="F13" s="29">
        <f>CurRates!F7</f>
        <v>5.4000000000000003E-3</v>
      </c>
      <c r="G13" t="s">
        <v>84</v>
      </c>
      <c r="I13" s="25" t="s">
        <v>33</v>
      </c>
      <c r="J13" s="137">
        <v>10000</v>
      </c>
      <c r="K13" s="93" t="s">
        <v>56</v>
      </c>
      <c r="L13" s="29">
        <f t="shared" ref="L13:L15" si="0">S13</f>
        <v>7.1800000000000006E-3</v>
      </c>
      <c r="M13" t="s">
        <v>84</v>
      </c>
      <c r="N13" s="44"/>
      <c r="P13" s="140">
        <f t="shared" ref="P13:P15" si="1">F13</f>
        <v>5.4000000000000003E-3</v>
      </c>
      <c r="Q13" s="140">
        <f t="shared" ref="Q13:Q15" si="2">ROUND(R$4*P13,5)</f>
        <v>1.7600000000000001E-3</v>
      </c>
      <c r="R13" s="140">
        <f>R12</f>
        <v>2.0000000000000002E-5</v>
      </c>
      <c r="S13" s="140">
        <f t="shared" ref="S13:S15" si="3">SUM(P13:R13)</f>
        <v>7.1800000000000006E-3</v>
      </c>
    </row>
    <row r="14" spans="2:21" x14ac:dyDescent="0.25">
      <c r="B14" s="4"/>
      <c r="C14" s="25" t="s">
        <v>33</v>
      </c>
      <c r="D14" s="137">
        <v>30000</v>
      </c>
      <c r="E14" s="93" t="s">
        <v>56</v>
      </c>
      <c r="F14" s="29">
        <f>CurRates!F8</f>
        <v>4.7699999999999999E-3</v>
      </c>
      <c r="G14" t="s">
        <v>84</v>
      </c>
      <c r="I14" s="25" t="s">
        <v>33</v>
      </c>
      <c r="J14" s="137">
        <v>30000</v>
      </c>
      <c r="K14" s="93" t="s">
        <v>56</v>
      </c>
      <c r="L14" s="29">
        <f t="shared" si="0"/>
        <v>6.3499999999999997E-3</v>
      </c>
      <c r="M14" t="s">
        <v>84</v>
      </c>
      <c r="N14" s="44"/>
      <c r="P14" s="140">
        <f t="shared" si="1"/>
        <v>4.7699999999999999E-3</v>
      </c>
      <c r="Q14" s="140">
        <f t="shared" si="2"/>
        <v>1.56E-3</v>
      </c>
      <c r="R14" s="140">
        <f>R12</f>
        <v>2.0000000000000002E-5</v>
      </c>
      <c r="S14" s="140">
        <f t="shared" si="3"/>
        <v>6.3499999999999997E-3</v>
      </c>
    </row>
    <row r="15" spans="2:21" x14ac:dyDescent="0.25">
      <c r="B15" s="4"/>
      <c r="C15" s="25" t="s">
        <v>44</v>
      </c>
      <c r="D15" s="137">
        <f>SUM(D11:D14)</f>
        <v>50000</v>
      </c>
      <c r="E15" s="93" t="s">
        <v>56</v>
      </c>
      <c r="F15" s="29">
        <f>CurRates!F9</f>
        <v>4.1399999999999996E-3</v>
      </c>
      <c r="G15" t="s">
        <v>84</v>
      </c>
      <c r="I15" s="25" t="s">
        <v>44</v>
      </c>
      <c r="J15" s="137">
        <f>SUM(J11:J14)</f>
        <v>50000</v>
      </c>
      <c r="K15" s="93" t="s">
        <v>56</v>
      </c>
      <c r="L15" s="29">
        <f t="shared" si="0"/>
        <v>5.5100000000000001E-3</v>
      </c>
      <c r="M15" t="s">
        <v>84</v>
      </c>
      <c r="N15" s="44"/>
      <c r="P15" s="140">
        <f t="shared" si="1"/>
        <v>4.1399999999999996E-3</v>
      </c>
      <c r="Q15" s="140">
        <f t="shared" si="2"/>
        <v>1.3500000000000001E-3</v>
      </c>
      <c r="R15" s="140">
        <f>R12</f>
        <v>2.0000000000000002E-5</v>
      </c>
      <c r="S15" s="140">
        <f t="shared" si="3"/>
        <v>5.5100000000000001E-3</v>
      </c>
    </row>
    <row r="16" spans="2:21" x14ac:dyDescent="0.25">
      <c r="B16" s="4"/>
      <c r="C16"/>
      <c r="D16" s="137"/>
      <c r="E16" s="137"/>
      <c r="F16" s="39"/>
      <c r="G16"/>
      <c r="I16"/>
      <c r="J16" s="137"/>
      <c r="K16" s="137"/>
      <c r="L16" s="39"/>
      <c r="M16"/>
      <c r="N16" s="44"/>
    </row>
    <row r="17" spans="2:19" x14ac:dyDescent="0.25">
      <c r="B17" s="4"/>
      <c r="C17" s="39" t="s">
        <v>90</v>
      </c>
      <c r="D17" s="137"/>
      <c r="E17" s="137"/>
      <c r="F17" s="110"/>
      <c r="G17"/>
      <c r="I17" s="39"/>
      <c r="J17" s="137"/>
      <c r="K17" s="93"/>
      <c r="L17" s="110"/>
      <c r="M17"/>
      <c r="N17" s="44"/>
      <c r="P17" s="139"/>
      <c r="Q17" s="139"/>
      <c r="R17" s="140"/>
      <c r="S17" s="139"/>
    </row>
    <row r="18" spans="2:19" x14ac:dyDescent="0.25">
      <c r="B18" s="4"/>
      <c r="C18" s="25" t="s">
        <v>32</v>
      </c>
      <c r="D18" s="26">
        <v>5000</v>
      </c>
      <c r="E18" s="93" t="s">
        <v>56</v>
      </c>
      <c r="F18" s="110">
        <f>CurRates!F12</f>
        <v>33.53</v>
      </c>
      <c r="G18" t="s">
        <v>85</v>
      </c>
      <c r="I18" s="25" t="s">
        <v>32</v>
      </c>
      <c r="J18" s="26">
        <v>5000</v>
      </c>
      <c r="K18" s="93" t="s">
        <v>56</v>
      </c>
      <c r="L18" s="110">
        <f>S18</f>
        <v>44.480000000000004</v>
      </c>
      <c r="M18" t="s">
        <v>84</v>
      </c>
      <c r="N18" s="44"/>
      <c r="P18" s="139">
        <f>F18</f>
        <v>33.53</v>
      </c>
      <c r="Q18" s="139">
        <f>ROUND(R$4*P18,2)</f>
        <v>10.93</v>
      </c>
      <c r="R18" s="140">
        <f>R11</f>
        <v>0.02</v>
      </c>
      <c r="S18" s="139">
        <f>SUM(P18:R18)</f>
        <v>44.480000000000004</v>
      </c>
    </row>
    <row r="19" spans="2:19" x14ac:dyDescent="0.25">
      <c r="B19" s="4"/>
      <c r="C19" s="25" t="s">
        <v>33</v>
      </c>
      <c r="D19" s="26">
        <v>5000</v>
      </c>
      <c r="E19" s="93" t="s">
        <v>56</v>
      </c>
      <c r="F19" s="29">
        <f>CurRates!F13</f>
        <v>6.0299999999999998E-3</v>
      </c>
      <c r="G19" t="s">
        <v>84</v>
      </c>
      <c r="I19" s="25" t="s">
        <v>33</v>
      </c>
      <c r="J19" s="26">
        <v>5000</v>
      </c>
      <c r="K19" s="93" t="s">
        <v>56</v>
      </c>
      <c r="L19" s="29">
        <f>L12</f>
        <v>8.0199999999999994E-3</v>
      </c>
      <c r="M19" t="s">
        <v>84</v>
      </c>
      <c r="N19" s="44"/>
    </row>
    <row r="20" spans="2:19" x14ac:dyDescent="0.25">
      <c r="B20" s="4"/>
      <c r="C20" s="25" t="s">
        <v>33</v>
      </c>
      <c r="D20" s="26">
        <v>10000</v>
      </c>
      <c r="E20" s="93" t="s">
        <v>56</v>
      </c>
      <c r="F20" s="29">
        <f>CurRates!F14</f>
        <v>5.4000000000000003E-3</v>
      </c>
      <c r="G20" t="s">
        <v>84</v>
      </c>
      <c r="I20" s="25" t="s">
        <v>33</v>
      </c>
      <c r="J20" s="26">
        <v>10000</v>
      </c>
      <c r="K20" s="93" t="s">
        <v>56</v>
      </c>
      <c r="L20" s="29">
        <f t="shared" ref="L20:L22" si="4">L13</f>
        <v>7.1800000000000006E-3</v>
      </c>
      <c r="M20" t="s">
        <v>84</v>
      </c>
      <c r="N20" s="44"/>
    </row>
    <row r="21" spans="2:19" x14ac:dyDescent="0.25">
      <c r="B21" s="4"/>
      <c r="C21" s="25" t="s">
        <v>33</v>
      </c>
      <c r="D21" s="26">
        <v>30000</v>
      </c>
      <c r="E21" s="93" t="s">
        <v>56</v>
      </c>
      <c r="F21" s="29">
        <f>CurRates!F15</f>
        <v>4.7699999999999999E-3</v>
      </c>
      <c r="G21" t="s">
        <v>84</v>
      </c>
      <c r="I21" s="25" t="s">
        <v>33</v>
      </c>
      <c r="J21" s="26">
        <v>30000</v>
      </c>
      <c r="K21" s="93" t="s">
        <v>56</v>
      </c>
      <c r="L21" s="29">
        <f t="shared" si="4"/>
        <v>6.3499999999999997E-3</v>
      </c>
      <c r="M21" t="s">
        <v>84</v>
      </c>
      <c r="N21" s="44"/>
    </row>
    <row r="22" spans="2:19" x14ac:dyDescent="0.25">
      <c r="B22" s="4"/>
      <c r="C22" s="25" t="s">
        <v>44</v>
      </c>
      <c r="D22" s="26">
        <f>SUM(D18:D21)</f>
        <v>50000</v>
      </c>
      <c r="E22" s="93" t="s">
        <v>56</v>
      </c>
      <c r="F22" s="29">
        <f>CurRates!F16</f>
        <v>4.1399999999999996E-3</v>
      </c>
      <c r="G22" t="s">
        <v>84</v>
      </c>
      <c r="I22" s="25" t="s">
        <v>44</v>
      </c>
      <c r="J22" s="26">
        <f>SUM(J18:J21)</f>
        <v>50000</v>
      </c>
      <c r="K22" s="93" t="s">
        <v>56</v>
      </c>
      <c r="L22" s="29">
        <f t="shared" si="4"/>
        <v>5.5100000000000001E-3</v>
      </c>
      <c r="M22" t="s">
        <v>84</v>
      </c>
      <c r="N22" s="44"/>
      <c r="P22" s="139"/>
      <c r="Q22" s="139"/>
      <c r="R22" s="140"/>
      <c r="S22" s="139"/>
    </row>
    <row r="23" spans="2:19" x14ac:dyDescent="0.25">
      <c r="B23" s="4"/>
      <c r="C23"/>
      <c r="D23" s="137"/>
      <c r="E23" s="137"/>
      <c r="F23" s="136"/>
      <c r="G23"/>
      <c r="I23"/>
      <c r="J23" s="137"/>
      <c r="K23" s="93"/>
      <c r="L23" s="136"/>
      <c r="M23"/>
      <c r="N23" s="44"/>
    </row>
    <row r="24" spans="2:19" x14ac:dyDescent="0.25">
      <c r="B24" s="4"/>
      <c r="C24" s="39" t="s">
        <v>151</v>
      </c>
      <c r="D24" s="137"/>
      <c r="E24" s="137"/>
      <c r="F24"/>
      <c r="G24"/>
      <c r="I24" s="39"/>
      <c r="J24" s="137"/>
      <c r="K24" s="137"/>
      <c r="L24"/>
      <c r="M24"/>
      <c r="N24" s="44"/>
    </row>
    <row r="25" spans="2:19" x14ac:dyDescent="0.25">
      <c r="B25" s="4"/>
      <c r="C25" s="25" t="s">
        <v>32</v>
      </c>
      <c r="D25" s="26">
        <v>7500</v>
      </c>
      <c r="E25" s="93" t="s">
        <v>56</v>
      </c>
      <c r="F25" s="110">
        <f>CurRates!F19</f>
        <v>48.62</v>
      </c>
      <c r="G25" t="s">
        <v>85</v>
      </c>
      <c r="I25" s="25" t="s">
        <v>32</v>
      </c>
      <c r="J25" s="26">
        <v>7500</v>
      </c>
      <c r="K25" s="93" t="s">
        <v>56</v>
      </c>
      <c r="L25" s="110">
        <f>S25</f>
        <v>64.489999999999995</v>
      </c>
      <c r="M25" t="s">
        <v>84</v>
      </c>
      <c r="N25" s="44"/>
      <c r="P25" s="139">
        <f>F25</f>
        <v>48.62</v>
      </c>
      <c r="Q25" s="139">
        <f>ROUND(R$4*P25,2)</f>
        <v>15.85</v>
      </c>
      <c r="R25" s="140">
        <f>R11</f>
        <v>0.02</v>
      </c>
      <c r="S25" s="139">
        <f>SUM(P25:R25)</f>
        <v>64.489999999999995</v>
      </c>
    </row>
    <row r="26" spans="2:19" x14ac:dyDescent="0.25">
      <c r="B26" s="4"/>
      <c r="C26" s="25" t="s">
        <v>33</v>
      </c>
      <c r="D26" s="26">
        <v>2500</v>
      </c>
      <c r="E26" s="93" t="s">
        <v>56</v>
      </c>
      <c r="F26" s="29">
        <f>CurRates!F20</f>
        <v>6.0299999999999998E-3</v>
      </c>
      <c r="G26" t="s">
        <v>84</v>
      </c>
      <c r="I26" s="25" t="s">
        <v>33</v>
      </c>
      <c r="J26" s="26">
        <v>2500</v>
      </c>
      <c r="K26" s="93" t="s">
        <v>56</v>
      </c>
      <c r="L26" s="29">
        <f>L12</f>
        <v>8.0199999999999994E-3</v>
      </c>
      <c r="M26" t="s">
        <v>85</v>
      </c>
      <c r="N26" s="44"/>
      <c r="P26" s="139"/>
      <c r="Q26" s="139"/>
      <c r="R26" s="140"/>
      <c r="S26" s="139"/>
    </row>
    <row r="27" spans="2:19" x14ac:dyDescent="0.25">
      <c r="B27" s="4"/>
      <c r="C27" s="25" t="s">
        <v>33</v>
      </c>
      <c r="D27" s="26">
        <v>10000</v>
      </c>
      <c r="E27" s="93" t="s">
        <v>56</v>
      </c>
      <c r="F27" s="29">
        <f>CurRates!F21</f>
        <v>5.4000000000000003E-3</v>
      </c>
      <c r="G27" t="s">
        <v>84</v>
      </c>
      <c r="I27" s="25" t="s">
        <v>33</v>
      </c>
      <c r="J27" s="26">
        <v>10000</v>
      </c>
      <c r="K27" s="93" t="s">
        <v>56</v>
      </c>
      <c r="L27" s="29">
        <f t="shared" ref="L27:L29" si="5">L13</f>
        <v>7.1800000000000006E-3</v>
      </c>
      <c r="M27" t="s">
        <v>84</v>
      </c>
      <c r="N27" s="44"/>
    </row>
    <row r="28" spans="2:19" x14ac:dyDescent="0.25">
      <c r="B28" s="4"/>
      <c r="C28" s="25" t="s">
        <v>33</v>
      </c>
      <c r="D28" s="26">
        <v>30000</v>
      </c>
      <c r="E28" s="93" t="s">
        <v>56</v>
      </c>
      <c r="F28" s="29">
        <f>CurRates!F22</f>
        <v>4.7699999999999999E-3</v>
      </c>
      <c r="G28" t="s">
        <v>84</v>
      </c>
      <c r="I28" s="25" t="s">
        <v>33</v>
      </c>
      <c r="J28" s="26">
        <v>30000</v>
      </c>
      <c r="K28" s="93" t="s">
        <v>56</v>
      </c>
      <c r="L28" s="29">
        <f t="shared" si="5"/>
        <v>6.3499999999999997E-3</v>
      </c>
      <c r="M28" t="s">
        <v>84</v>
      </c>
      <c r="N28" s="44"/>
    </row>
    <row r="29" spans="2:19" x14ac:dyDescent="0.25">
      <c r="B29" s="4"/>
      <c r="C29" s="25" t="s">
        <v>44</v>
      </c>
      <c r="D29" s="26">
        <f>SUM(D25:D28)</f>
        <v>50000</v>
      </c>
      <c r="E29" s="93" t="s">
        <v>56</v>
      </c>
      <c r="F29" s="29">
        <f>CurRates!F23</f>
        <v>4.1399999999999996E-3</v>
      </c>
      <c r="G29" t="s">
        <v>84</v>
      </c>
      <c r="I29" s="25" t="s">
        <v>44</v>
      </c>
      <c r="J29" s="26">
        <f>SUM(J25:J28)</f>
        <v>50000</v>
      </c>
      <c r="K29" s="93" t="s">
        <v>56</v>
      </c>
      <c r="L29" s="29">
        <f t="shared" si="5"/>
        <v>5.5100000000000001E-3</v>
      </c>
      <c r="M29" t="s">
        <v>84</v>
      </c>
      <c r="N29" s="44"/>
    </row>
    <row r="30" spans="2:19" x14ac:dyDescent="0.25">
      <c r="B30" s="4"/>
      <c r="C30"/>
      <c r="D30" s="137"/>
      <c r="E30" s="137"/>
      <c r="F30" s="110"/>
      <c r="G30"/>
      <c r="I30"/>
      <c r="J30" s="137"/>
      <c r="K30" s="93"/>
      <c r="L30" s="110"/>
      <c r="M30"/>
      <c r="N30" s="44"/>
      <c r="P30" s="139"/>
      <c r="Q30" s="139"/>
      <c r="R30" s="140"/>
      <c r="S30" s="139"/>
    </row>
    <row r="31" spans="2:19" x14ac:dyDescent="0.25">
      <c r="B31" s="4"/>
      <c r="C31" s="30" t="s">
        <v>225</v>
      </c>
      <c r="D31" s="137"/>
      <c r="E31" s="137"/>
      <c r="F31" s="136"/>
      <c r="G31"/>
      <c r="I31" s="30"/>
      <c r="J31" s="137"/>
      <c r="K31" s="93"/>
      <c r="L31" s="136"/>
      <c r="M31"/>
      <c r="N31" s="44"/>
    </row>
    <row r="32" spans="2:19" x14ac:dyDescent="0.25">
      <c r="B32" s="4"/>
      <c r="C32" s="25" t="s">
        <v>32</v>
      </c>
      <c r="D32" s="26">
        <v>20000</v>
      </c>
      <c r="E32" s="93" t="s">
        <v>56</v>
      </c>
      <c r="F32" s="110">
        <f>CurRates!F26</f>
        <v>117.68</v>
      </c>
      <c r="G32" t="s">
        <v>85</v>
      </c>
      <c r="I32" s="25" t="s">
        <v>32</v>
      </c>
      <c r="J32" s="26">
        <v>20000</v>
      </c>
      <c r="K32" s="93" t="s">
        <v>56</v>
      </c>
      <c r="L32" s="110">
        <f>S32</f>
        <v>156.06000000000003</v>
      </c>
      <c r="M32" t="s">
        <v>84</v>
      </c>
      <c r="N32" s="44"/>
      <c r="P32" s="139">
        <f>F32</f>
        <v>117.68</v>
      </c>
      <c r="Q32" s="139">
        <f>ROUND(R$4*P32,2)</f>
        <v>38.36</v>
      </c>
      <c r="R32" s="140">
        <f>R11</f>
        <v>0.02</v>
      </c>
      <c r="S32" s="139">
        <f>SUM(P32:R32)</f>
        <v>156.06000000000003</v>
      </c>
    </row>
    <row r="33" spans="2:19" x14ac:dyDescent="0.25">
      <c r="B33" s="4"/>
      <c r="C33" s="25" t="s">
        <v>33</v>
      </c>
      <c r="D33" s="26">
        <v>30000</v>
      </c>
      <c r="E33" s="93" t="s">
        <v>56</v>
      </c>
      <c r="F33" s="29">
        <f>CurRates!F27</f>
        <v>4.7699999999999999E-3</v>
      </c>
      <c r="G33" t="s">
        <v>84</v>
      </c>
      <c r="I33" s="25" t="s">
        <v>33</v>
      </c>
      <c r="J33" s="26">
        <v>30000</v>
      </c>
      <c r="K33" s="93" t="s">
        <v>56</v>
      </c>
      <c r="L33" s="29">
        <f>L28</f>
        <v>6.3499999999999997E-3</v>
      </c>
      <c r="M33" t="s">
        <v>85</v>
      </c>
      <c r="N33" s="44"/>
      <c r="P33" s="139"/>
      <c r="Q33" s="139"/>
      <c r="R33" s="140"/>
      <c r="S33" s="139"/>
    </row>
    <row r="34" spans="2:19" x14ac:dyDescent="0.25">
      <c r="B34" s="4"/>
      <c r="C34" s="25" t="s">
        <v>44</v>
      </c>
      <c r="D34" s="26">
        <f>SUM(D32:D33)</f>
        <v>50000</v>
      </c>
      <c r="E34" s="93" t="s">
        <v>56</v>
      </c>
      <c r="F34" s="29">
        <f>CurRates!F28</f>
        <v>4.1399999999999996E-3</v>
      </c>
      <c r="G34" t="s">
        <v>84</v>
      </c>
      <c r="I34" s="25" t="s">
        <v>44</v>
      </c>
      <c r="J34" s="26">
        <f>SUM(J32:J33)</f>
        <v>50000</v>
      </c>
      <c r="K34" s="93" t="s">
        <v>56</v>
      </c>
      <c r="L34" s="29">
        <f>L29</f>
        <v>5.5100000000000001E-3</v>
      </c>
      <c r="M34" t="s">
        <v>84</v>
      </c>
      <c r="N34" s="44"/>
    </row>
    <row r="35" spans="2:19" x14ac:dyDescent="0.25">
      <c r="B35" s="4"/>
      <c r="C35" s="25"/>
      <c r="D35" s="26"/>
      <c r="E35" s="93"/>
      <c r="F35" s="136"/>
      <c r="G35"/>
      <c r="I35" s="25"/>
      <c r="J35" s="26"/>
      <c r="K35" s="93"/>
      <c r="L35" s="136"/>
      <c r="M35"/>
      <c r="N35" s="44"/>
    </row>
    <row r="36" spans="2:19" x14ac:dyDescent="0.25">
      <c r="B36" s="4"/>
      <c r="C36" s="30" t="s">
        <v>226</v>
      </c>
      <c r="D36" s="137"/>
      <c r="E36" s="137"/>
      <c r="F36" s="136"/>
      <c r="G36"/>
      <c r="I36" s="30"/>
      <c r="J36" s="137"/>
      <c r="K36" s="93"/>
      <c r="L36" s="136"/>
      <c r="M36"/>
      <c r="N36" s="44"/>
    </row>
    <row r="37" spans="2:19" x14ac:dyDescent="0.25">
      <c r="B37" s="4"/>
      <c r="C37" s="25" t="s">
        <v>32</v>
      </c>
      <c r="D37" s="26">
        <v>30000</v>
      </c>
      <c r="E37" s="93" t="s">
        <v>56</v>
      </c>
      <c r="F37" s="110">
        <f>CurRates!F31</f>
        <v>165.58</v>
      </c>
      <c r="G37" t="s">
        <v>85</v>
      </c>
      <c r="I37" s="25" t="s">
        <v>32</v>
      </c>
      <c r="J37" s="26">
        <v>30000</v>
      </c>
      <c r="K37" s="93" t="s">
        <v>56</v>
      </c>
      <c r="L37" s="110">
        <f>S37</f>
        <v>219.58</v>
      </c>
      <c r="M37" t="s">
        <v>84</v>
      </c>
      <c r="N37" s="44"/>
      <c r="P37" s="139">
        <f>F37</f>
        <v>165.58</v>
      </c>
      <c r="Q37" s="139">
        <f>ROUND(R$4*P37,2)</f>
        <v>53.98</v>
      </c>
      <c r="R37" s="140">
        <f>R11</f>
        <v>0.02</v>
      </c>
      <c r="S37" s="139">
        <f>SUM(P37:R37)</f>
        <v>219.58</v>
      </c>
    </row>
    <row r="38" spans="2:19" x14ac:dyDescent="0.25">
      <c r="B38" s="4"/>
      <c r="C38" s="25" t="s">
        <v>33</v>
      </c>
      <c r="D38" s="26">
        <v>20000</v>
      </c>
      <c r="E38" s="93" t="s">
        <v>56</v>
      </c>
      <c r="F38" s="29">
        <f>CurRates!F32</f>
        <v>4.7699999999999999E-3</v>
      </c>
      <c r="G38" t="s">
        <v>84</v>
      </c>
      <c r="I38" s="25" t="s">
        <v>33</v>
      </c>
      <c r="J38" s="26">
        <v>20000</v>
      </c>
      <c r="K38" s="93" t="s">
        <v>56</v>
      </c>
      <c r="L38" s="29">
        <f>L33</f>
        <v>6.3499999999999997E-3</v>
      </c>
      <c r="M38" t="s">
        <v>85</v>
      </c>
      <c r="N38" s="44"/>
      <c r="P38" s="139"/>
      <c r="Q38" s="139"/>
      <c r="R38" s="140"/>
      <c r="S38" s="139"/>
    </row>
    <row r="39" spans="2:19" x14ac:dyDescent="0.25">
      <c r="B39" s="4"/>
      <c r="C39" s="25" t="s">
        <v>44</v>
      </c>
      <c r="D39" s="26">
        <f>SUM(D37:D38)</f>
        <v>50000</v>
      </c>
      <c r="E39" s="93" t="s">
        <v>56</v>
      </c>
      <c r="F39" s="29">
        <f>CurRates!F33</f>
        <v>4.1399999999999996E-3</v>
      </c>
      <c r="G39" t="s">
        <v>84</v>
      </c>
      <c r="I39" s="25" t="s">
        <v>44</v>
      </c>
      <c r="J39" s="26">
        <f>SUM(J37:J38)</f>
        <v>50000</v>
      </c>
      <c r="K39" s="93" t="s">
        <v>56</v>
      </c>
      <c r="L39" s="29">
        <f>L34</f>
        <v>5.5100000000000001E-3</v>
      </c>
      <c r="M39" t="s">
        <v>84</v>
      </c>
      <c r="N39" s="44"/>
    </row>
    <row r="40" spans="2:19" x14ac:dyDescent="0.25">
      <c r="B40" s="4"/>
      <c r="C40" s="25"/>
      <c r="D40" s="26"/>
      <c r="E40" s="93"/>
      <c r="I40" s="25"/>
      <c r="J40" s="26"/>
      <c r="N40" s="44"/>
    </row>
    <row r="41" spans="2:19" x14ac:dyDescent="0.25">
      <c r="B41" s="4"/>
      <c r="C41" s="30" t="s">
        <v>227</v>
      </c>
      <c r="D41" s="137"/>
      <c r="E41" s="137"/>
      <c r="I41" s="30"/>
      <c r="J41" s="137"/>
      <c r="N41" s="44"/>
    </row>
    <row r="42" spans="2:19" x14ac:dyDescent="0.25">
      <c r="B42" s="4"/>
      <c r="C42" s="25" t="s">
        <v>32</v>
      </c>
      <c r="D42" s="26">
        <v>50000</v>
      </c>
      <c r="E42" s="93" t="s">
        <v>56</v>
      </c>
      <c r="F42" s="110">
        <f>CurRates!F36</f>
        <v>260.85000000000002</v>
      </c>
      <c r="G42" t="s">
        <v>85</v>
      </c>
      <c r="I42" s="25" t="s">
        <v>32</v>
      </c>
      <c r="J42" s="26">
        <v>50000</v>
      </c>
      <c r="K42" s="93" t="s">
        <v>56</v>
      </c>
      <c r="L42" s="110">
        <f>S42</f>
        <v>345.91</v>
      </c>
      <c r="M42" t="s">
        <v>84</v>
      </c>
      <c r="N42" s="44"/>
      <c r="P42" s="139">
        <f>F42</f>
        <v>260.85000000000002</v>
      </c>
      <c r="Q42" s="139">
        <f>ROUND(R$4*P42,2)</f>
        <v>85.04</v>
      </c>
      <c r="R42" s="140">
        <f>R11</f>
        <v>0.02</v>
      </c>
      <c r="S42" s="139">
        <f>SUM(P42:R42)</f>
        <v>345.91</v>
      </c>
    </row>
    <row r="43" spans="2:19" x14ac:dyDescent="0.25">
      <c r="B43" s="4"/>
      <c r="C43" s="25" t="s">
        <v>44</v>
      </c>
      <c r="D43" s="26">
        <f>SUM(D42:D42)</f>
        <v>50000</v>
      </c>
      <c r="E43" s="93" t="s">
        <v>56</v>
      </c>
      <c r="F43" s="29">
        <f>CurRates!F37</f>
        <v>4.1399999999999996E-3</v>
      </c>
      <c r="G43" t="s">
        <v>84</v>
      </c>
      <c r="I43" s="25" t="s">
        <v>44</v>
      </c>
      <c r="J43" s="26">
        <f>SUM(J42:J42)</f>
        <v>50000</v>
      </c>
      <c r="K43" s="93" t="s">
        <v>56</v>
      </c>
      <c r="L43" s="29">
        <f>L15</f>
        <v>5.5100000000000001E-3</v>
      </c>
      <c r="M43" t="s">
        <v>85</v>
      </c>
      <c r="N43" s="44"/>
      <c r="P43" s="139"/>
      <c r="Q43" s="139"/>
      <c r="R43" s="140"/>
      <c r="S43" s="139"/>
    </row>
    <row r="44" spans="2:19" x14ac:dyDescent="0.25">
      <c r="B44" s="4"/>
      <c r="C44" s="25"/>
      <c r="D44" s="26"/>
      <c r="E44" s="93"/>
      <c r="I44" s="25"/>
      <c r="J44" s="26"/>
      <c r="N44" s="44"/>
    </row>
    <row r="45" spans="2:19" x14ac:dyDescent="0.25">
      <c r="B45" s="4"/>
      <c r="C45" s="205" t="s">
        <v>91</v>
      </c>
      <c r="D45" s="26"/>
      <c r="E45" s="93"/>
      <c r="F45" s="29">
        <f>CurRates!F39</f>
        <v>3.0699999999999998E-3</v>
      </c>
      <c r="G45" t="s">
        <v>84</v>
      </c>
      <c r="I45" s="205" t="s">
        <v>91</v>
      </c>
      <c r="J45" s="26"/>
      <c r="L45" s="29">
        <f>S45</f>
        <v>4.0899999999999999E-3</v>
      </c>
      <c r="M45" t="s">
        <v>84</v>
      </c>
      <c r="N45" s="44"/>
      <c r="P45" s="140">
        <f>F45</f>
        <v>3.0699999999999998E-3</v>
      </c>
      <c r="Q45" s="140">
        <f>ROUND(R$4*P45,5)</f>
        <v>1E-3</v>
      </c>
      <c r="R45" s="140">
        <f>R12</f>
        <v>2.0000000000000002E-5</v>
      </c>
      <c r="S45" s="140">
        <f>SUM(P45:R45)</f>
        <v>4.0899999999999999E-3</v>
      </c>
    </row>
    <row r="46" spans="2:19" x14ac:dyDescent="0.25">
      <c r="B46" s="4"/>
      <c r="C46" s="25"/>
      <c r="D46" s="26"/>
      <c r="E46" s="93"/>
      <c r="I46" s="25"/>
      <c r="J46" s="26"/>
      <c r="N46" s="44"/>
    </row>
    <row r="47" spans="2:19" x14ac:dyDescent="0.25">
      <c r="B47" s="4"/>
      <c r="C47" s="205" t="s">
        <v>229</v>
      </c>
      <c r="D47" s="26"/>
      <c r="E47" s="93"/>
      <c r="F47" s="136"/>
      <c r="G47"/>
      <c r="I47" s="205" t="s">
        <v>229</v>
      </c>
      <c r="J47" s="26"/>
      <c r="N47" s="44"/>
    </row>
    <row r="48" spans="2:19" x14ac:dyDescent="0.25">
      <c r="B48" s="4"/>
      <c r="C48" s="205" t="s">
        <v>230</v>
      </c>
      <c r="D48" s="26"/>
      <c r="E48" s="93"/>
      <c r="F48" s="110">
        <f>CurRates!F42</f>
        <v>5</v>
      </c>
      <c r="G48" t="s">
        <v>84</v>
      </c>
      <c r="I48" s="205" t="s">
        <v>230</v>
      </c>
      <c r="J48" s="26"/>
      <c r="L48" s="110">
        <f>F48</f>
        <v>5</v>
      </c>
      <c r="N48" s="44"/>
    </row>
    <row r="49" spans="2:14" x14ac:dyDescent="0.25">
      <c r="B49" s="6"/>
      <c r="C49" s="46"/>
      <c r="D49" s="46"/>
      <c r="E49" s="46"/>
      <c r="F49" s="47"/>
      <c r="G49" s="46"/>
      <c r="H49" s="46"/>
      <c r="I49" s="46"/>
      <c r="J49" s="46"/>
      <c r="K49" s="46"/>
      <c r="L49" s="47"/>
      <c r="M49" s="46"/>
      <c r="N49" s="48"/>
    </row>
  </sheetData>
  <mergeCells count="5">
    <mergeCell ref="C3:M3"/>
    <mergeCell ref="C4:M4"/>
    <mergeCell ref="C5:M5"/>
    <mergeCell ref="C8:G8"/>
    <mergeCell ref="I8:M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V49"/>
  <sheetViews>
    <sheetView showGridLines="0" workbookViewId="0">
      <selection activeCell="B2" sqref="B2:O49"/>
    </sheetView>
  </sheetViews>
  <sheetFormatPr defaultColWidth="8.88671875" defaultRowHeight="15.75" x14ac:dyDescent="0.25"/>
  <cols>
    <col min="1" max="1" width="9.6640625" style="3" customWidth="1"/>
    <col min="2" max="2" width="1.109375" style="3" customWidth="1"/>
    <col min="3" max="3" width="4.77734375" style="3" customWidth="1"/>
    <col min="4" max="5" width="12.77734375" style="3" customWidth="1"/>
    <col min="6" max="6" width="12.77734375" style="7" customWidth="1"/>
    <col min="7" max="7" width="12.77734375" style="3" customWidth="1"/>
    <col min="8" max="8" width="4.77734375" style="3" customWidth="1"/>
    <col min="9" max="9" width="12.77734375" style="7" customWidth="1"/>
    <col min="10" max="10" width="12.77734375" style="3" customWidth="1"/>
    <col min="11" max="11" width="1.77734375" style="3" customWidth="1"/>
    <col min="12" max="12" width="12.77734375" style="3" customWidth="1"/>
    <col min="13" max="13" width="1.77734375" style="3" customWidth="1"/>
    <col min="14" max="14" width="12.77734375" style="3" customWidth="1"/>
    <col min="15" max="16" width="1.77734375" style="3" customWidth="1"/>
    <col min="17" max="20" width="12.77734375" style="3" customWidth="1"/>
    <col min="21" max="208" width="9.6640625" style="3" customWidth="1"/>
    <col min="209" max="16384" width="8.88671875" style="3"/>
  </cols>
  <sheetData>
    <row r="2" spans="2:22" x14ac:dyDescent="0.25">
      <c r="B2" s="5"/>
      <c r="C2" s="41"/>
      <c r="D2" s="41"/>
      <c r="E2" s="41"/>
      <c r="F2" s="42"/>
      <c r="G2" s="41"/>
      <c r="H2" s="41"/>
      <c r="I2" s="42"/>
      <c r="J2" s="41"/>
      <c r="K2" s="41"/>
      <c r="L2" s="41"/>
      <c r="M2" s="41"/>
      <c r="N2" s="41"/>
      <c r="O2" s="43"/>
    </row>
    <row r="3" spans="2:22" ht="23.25" x14ac:dyDescent="0.35">
      <c r="B3" s="4"/>
      <c r="C3" s="319"/>
      <c r="D3" s="319"/>
      <c r="E3" s="319"/>
      <c r="F3" s="319"/>
      <c r="G3" s="319"/>
      <c r="H3" s="319"/>
      <c r="I3" s="319"/>
      <c r="J3" s="319"/>
      <c r="K3" s="299"/>
      <c r="L3" s="299"/>
      <c r="M3" s="299"/>
      <c r="N3" s="299"/>
      <c r="O3" s="44"/>
    </row>
    <row r="4" spans="2:22" ht="23.25" x14ac:dyDescent="0.35">
      <c r="B4" s="4"/>
      <c r="C4" s="340" t="s">
        <v>285</v>
      </c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44"/>
      <c r="Q4" s="3" t="s">
        <v>70</v>
      </c>
      <c r="S4" s="141">
        <f>'SAO - Op Ratio'!M59</f>
        <v>0.44140000000000001</v>
      </c>
      <c r="T4" s="3" t="s">
        <v>163</v>
      </c>
    </row>
    <row r="5" spans="2:22" ht="23.25" x14ac:dyDescent="0.25">
      <c r="B5" s="4"/>
      <c r="C5" s="341" t="str">
        <f>'SAO - DSC'!F1</f>
        <v>Graves County Water District</v>
      </c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341"/>
      <c r="O5" s="8"/>
      <c r="P5" s="37"/>
      <c r="Q5" s="37"/>
      <c r="R5" s="37"/>
      <c r="S5" s="37"/>
    </row>
    <row r="6" spans="2:22" x14ac:dyDescent="0.25">
      <c r="B6" s="6"/>
      <c r="C6" s="46"/>
      <c r="D6" s="46"/>
      <c r="E6" s="46"/>
      <c r="F6" s="47"/>
      <c r="G6" s="46"/>
      <c r="H6" s="46"/>
      <c r="I6" s="47"/>
      <c r="J6" s="46"/>
      <c r="K6" s="46"/>
      <c r="L6" s="46"/>
      <c r="M6" s="46"/>
      <c r="N6" s="46"/>
      <c r="O6" s="48"/>
    </row>
    <row r="7" spans="2:22" ht="21" x14ac:dyDescent="0.35">
      <c r="B7" s="4"/>
      <c r="L7" s="343" t="s">
        <v>82</v>
      </c>
      <c r="M7" s="343"/>
      <c r="N7" s="343"/>
      <c r="O7" s="44"/>
    </row>
    <row r="8" spans="2:22" ht="21" x14ac:dyDescent="0.35">
      <c r="B8" s="4"/>
      <c r="F8" s="342" t="s">
        <v>132</v>
      </c>
      <c r="G8" s="342"/>
      <c r="I8" s="342" t="s">
        <v>94</v>
      </c>
      <c r="J8" s="342"/>
      <c r="K8" s="275"/>
      <c r="L8" s="318" t="s">
        <v>134</v>
      </c>
      <c r="M8" s="275"/>
      <c r="N8" s="318" t="s">
        <v>135</v>
      </c>
      <c r="O8" s="44"/>
    </row>
    <row r="9" spans="2:22" x14ac:dyDescent="0.25">
      <c r="B9" s="4"/>
      <c r="O9" s="44"/>
    </row>
    <row r="10" spans="2:22" x14ac:dyDescent="0.25">
      <c r="B10" s="4"/>
      <c r="C10" s="30" t="s">
        <v>150</v>
      </c>
      <c r="D10" s="39"/>
      <c r="E10" s="39"/>
      <c r="F10" s="39"/>
      <c r="G10"/>
      <c r="I10" s="110"/>
      <c r="J10"/>
      <c r="K10"/>
      <c r="L10"/>
      <c r="M10"/>
      <c r="N10"/>
      <c r="O10" s="138"/>
      <c r="P10" s="45"/>
      <c r="Q10" s="10"/>
      <c r="R10" s="10"/>
      <c r="T10" s="9"/>
      <c r="U10" s="9"/>
      <c r="V10" s="49"/>
    </row>
    <row r="11" spans="2:22" x14ac:dyDescent="0.25">
      <c r="B11" s="4"/>
      <c r="C11" s="25" t="s">
        <v>32</v>
      </c>
      <c r="D11" s="137">
        <v>2000</v>
      </c>
      <c r="E11" s="93" t="s">
        <v>56</v>
      </c>
      <c r="F11" s="110">
        <f>CurRates!F5</f>
        <v>15.45</v>
      </c>
      <c r="G11" t="s">
        <v>85</v>
      </c>
      <c r="I11" s="110">
        <f>T11</f>
        <v>22.29</v>
      </c>
      <c r="J11" t="s">
        <v>85</v>
      </c>
      <c r="K11"/>
      <c r="L11" s="113">
        <f>I11-F11</f>
        <v>6.84</v>
      </c>
      <c r="M11"/>
      <c r="N11" s="313">
        <f>ROUND(L11/F11,4)</f>
        <v>0.44269999999999998</v>
      </c>
      <c r="O11" s="44"/>
      <c r="Q11" s="139">
        <f>F11</f>
        <v>15.45</v>
      </c>
      <c r="R11" s="139">
        <f>ROUND(S$4*Q11,2)</f>
        <v>6.82</v>
      </c>
      <c r="S11" s="140">
        <v>0.02</v>
      </c>
      <c r="T11" s="139">
        <f>SUM(Q11:S11)</f>
        <v>22.29</v>
      </c>
    </row>
    <row r="12" spans="2:22" x14ac:dyDescent="0.25">
      <c r="B12" s="4"/>
      <c r="C12" s="25" t="s">
        <v>33</v>
      </c>
      <c r="D12" s="137">
        <v>8000</v>
      </c>
      <c r="E12" s="93" t="s">
        <v>56</v>
      </c>
      <c r="F12" s="29">
        <f>CurRates!F6</f>
        <v>6.0299999999999998E-3</v>
      </c>
      <c r="G12" t="s">
        <v>84</v>
      </c>
      <c r="I12" s="29">
        <f>T12</f>
        <v>8.709999999999999E-3</v>
      </c>
      <c r="J12" t="s">
        <v>84</v>
      </c>
      <c r="K12"/>
      <c r="L12" s="29">
        <f t="shared" ref="L12:L15" si="0">I12-F12</f>
        <v>2.6799999999999992E-3</v>
      </c>
      <c r="M12"/>
      <c r="N12" s="313">
        <f t="shared" ref="N12:N15" si="1">ROUND(L12/F12,4)</f>
        <v>0.44440000000000002</v>
      </c>
      <c r="O12" s="44"/>
      <c r="Q12" s="140">
        <f>F12</f>
        <v>6.0299999999999998E-3</v>
      </c>
      <c r="R12" s="140">
        <f>ROUND(S$4*Q12,5)</f>
        <v>2.66E-3</v>
      </c>
      <c r="S12" s="140">
        <v>2.0000000000000002E-5</v>
      </c>
      <c r="T12" s="140">
        <f>SUM(Q12:S12)</f>
        <v>8.709999999999999E-3</v>
      </c>
    </row>
    <row r="13" spans="2:22" x14ac:dyDescent="0.25">
      <c r="B13" s="4"/>
      <c r="C13" s="25" t="s">
        <v>33</v>
      </c>
      <c r="D13" s="137">
        <v>10000</v>
      </c>
      <c r="E13" s="93" t="s">
        <v>56</v>
      </c>
      <c r="F13" s="29">
        <f>CurRates!F7</f>
        <v>5.4000000000000003E-3</v>
      </c>
      <c r="G13" t="s">
        <v>84</v>
      </c>
      <c r="I13" s="29">
        <f t="shared" ref="I13:I15" si="2">T13</f>
        <v>7.8000000000000005E-3</v>
      </c>
      <c r="J13" t="s">
        <v>84</v>
      </c>
      <c r="K13"/>
      <c r="L13" s="29">
        <f t="shared" si="0"/>
        <v>2.4000000000000002E-3</v>
      </c>
      <c r="M13"/>
      <c r="N13" s="313">
        <f t="shared" si="1"/>
        <v>0.44440000000000002</v>
      </c>
      <c r="O13" s="44"/>
      <c r="Q13" s="140">
        <f>F13</f>
        <v>5.4000000000000003E-3</v>
      </c>
      <c r="R13" s="140">
        <f t="shared" ref="R13:R15" si="3">ROUND(S$4*Q13,5)</f>
        <v>2.3800000000000002E-3</v>
      </c>
      <c r="S13" s="140">
        <f>S12</f>
        <v>2.0000000000000002E-5</v>
      </c>
      <c r="T13" s="140">
        <f t="shared" ref="T13:T15" si="4">SUM(Q13:S13)</f>
        <v>7.8000000000000005E-3</v>
      </c>
    </row>
    <row r="14" spans="2:22" x14ac:dyDescent="0.25">
      <c r="B14" s="4"/>
      <c r="C14" s="25" t="s">
        <v>33</v>
      </c>
      <c r="D14" s="137">
        <v>30000</v>
      </c>
      <c r="E14" s="93" t="s">
        <v>56</v>
      </c>
      <c r="F14" s="29">
        <f>CurRates!F8</f>
        <v>4.7699999999999999E-3</v>
      </c>
      <c r="G14" t="s">
        <v>84</v>
      </c>
      <c r="I14" s="29">
        <f t="shared" si="2"/>
        <v>6.8999999999999999E-3</v>
      </c>
      <c r="J14" t="s">
        <v>84</v>
      </c>
      <c r="K14"/>
      <c r="L14" s="29">
        <f t="shared" si="0"/>
        <v>2.1299999999999999E-3</v>
      </c>
      <c r="M14"/>
      <c r="N14" s="313">
        <f t="shared" si="1"/>
        <v>0.44650000000000001</v>
      </c>
      <c r="O14" s="44"/>
      <c r="Q14" s="140">
        <f>F14</f>
        <v>4.7699999999999999E-3</v>
      </c>
      <c r="R14" s="140">
        <f t="shared" si="3"/>
        <v>2.1099999999999999E-3</v>
      </c>
      <c r="S14" s="140">
        <f>S12</f>
        <v>2.0000000000000002E-5</v>
      </c>
      <c r="T14" s="140">
        <f t="shared" si="4"/>
        <v>6.8999999999999999E-3</v>
      </c>
    </row>
    <row r="15" spans="2:22" x14ac:dyDescent="0.25">
      <c r="B15" s="4"/>
      <c r="C15" s="25" t="s">
        <v>44</v>
      </c>
      <c r="D15" s="137">
        <f>SUM(D11:D14)</f>
        <v>50000</v>
      </c>
      <c r="E15" s="93" t="s">
        <v>56</v>
      </c>
      <c r="F15" s="29">
        <f>CurRates!F9</f>
        <v>4.1399999999999996E-3</v>
      </c>
      <c r="G15" t="s">
        <v>84</v>
      </c>
      <c r="I15" s="29">
        <f t="shared" si="2"/>
        <v>5.9899999999999997E-3</v>
      </c>
      <c r="J15" t="s">
        <v>84</v>
      </c>
      <c r="K15"/>
      <c r="L15" s="29">
        <f t="shared" si="0"/>
        <v>1.8500000000000001E-3</v>
      </c>
      <c r="M15"/>
      <c r="N15" s="313">
        <f t="shared" si="1"/>
        <v>0.44690000000000002</v>
      </c>
      <c r="O15" s="44"/>
      <c r="Q15" s="140">
        <f>F15</f>
        <v>4.1399999999999996E-3</v>
      </c>
      <c r="R15" s="140">
        <f t="shared" si="3"/>
        <v>1.83E-3</v>
      </c>
      <c r="S15" s="140">
        <f>S12</f>
        <v>2.0000000000000002E-5</v>
      </c>
      <c r="T15" s="140">
        <f t="shared" si="4"/>
        <v>5.9899999999999997E-3</v>
      </c>
    </row>
    <row r="16" spans="2:22" x14ac:dyDescent="0.25">
      <c r="B16" s="4"/>
      <c r="C16"/>
      <c r="D16" s="137"/>
      <c r="E16" s="137"/>
      <c r="F16" s="39"/>
      <c r="G16"/>
      <c r="I16" s="39"/>
      <c r="J16"/>
      <c r="K16"/>
      <c r="L16"/>
      <c r="M16"/>
      <c r="N16"/>
      <c r="O16" s="44"/>
    </row>
    <row r="17" spans="2:20" x14ac:dyDescent="0.25">
      <c r="B17" s="4"/>
      <c r="C17" s="39" t="s">
        <v>90</v>
      </c>
      <c r="D17" s="137"/>
      <c r="E17" s="137"/>
      <c r="F17" s="110"/>
      <c r="G17"/>
      <c r="I17" s="110"/>
      <c r="J17"/>
      <c r="K17"/>
      <c r="L17"/>
      <c r="M17"/>
      <c r="N17"/>
      <c r="O17" s="44"/>
      <c r="Q17" s="139"/>
      <c r="R17" s="139"/>
      <c r="S17" s="140"/>
      <c r="T17" s="139"/>
    </row>
    <row r="18" spans="2:20" x14ac:dyDescent="0.25">
      <c r="B18" s="4"/>
      <c r="C18" s="25" t="s">
        <v>32</v>
      </c>
      <c r="D18" s="26">
        <v>5000</v>
      </c>
      <c r="E18" s="93" t="s">
        <v>56</v>
      </c>
      <c r="F18" s="110">
        <f>CurRates!F12</f>
        <v>33.53</v>
      </c>
      <c r="G18" t="s">
        <v>85</v>
      </c>
      <c r="I18" s="110">
        <f>T18</f>
        <v>48.35</v>
      </c>
      <c r="J18" t="s">
        <v>85</v>
      </c>
      <c r="K18"/>
      <c r="L18" s="113">
        <f>I18-F18</f>
        <v>14.82</v>
      </c>
      <c r="M18"/>
      <c r="N18" s="313">
        <f>ROUND(L18/F18,4)</f>
        <v>0.442</v>
      </c>
      <c r="O18" s="44"/>
      <c r="Q18" s="139">
        <f>F18</f>
        <v>33.53</v>
      </c>
      <c r="R18" s="139">
        <f>ROUND(S$4*Q18,2)</f>
        <v>14.8</v>
      </c>
      <c r="S18" s="140">
        <f>S11</f>
        <v>0.02</v>
      </c>
      <c r="T18" s="139">
        <f>SUM(Q18:S18)</f>
        <v>48.35</v>
      </c>
    </row>
    <row r="19" spans="2:20" x14ac:dyDescent="0.25">
      <c r="B19" s="4"/>
      <c r="C19" s="25" t="s">
        <v>33</v>
      </c>
      <c r="D19" s="26">
        <v>5000</v>
      </c>
      <c r="E19" s="93" t="s">
        <v>56</v>
      </c>
      <c r="F19" s="29">
        <f>CurRates!F13</f>
        <v>6.0299999999999998E-3</v>
      </c>
      <c r="G19" t="s">
        <v>84</v>
      </c>
      <c r="I19" s="29">
        <f>I12</f>
        <v>8.709999999999999E-3</v>
      </c>
      <c r="J19" t="s">
        <v>84</v>
      </c>
      <c r="K19"/>
      <c r="L19" s="29">
        <f t="shared" ref="L19:L22" si="5">I19-F19</f>
        <v>2.6799999999999992E-3</v>
      </c>
      <c r="M19"/>
      <c r="N19" s="313">
        <f t="shared" ref="N19:N22" si="6">ROUND(L19/F19,4)</f>
        <v>0.44440000000000002</v>
      </c>
      <c r="O19" s="44"/>
    </row>
    <row r="20" spans="2:20" x14ac:dyDescent="0.25">
      <c r="B20" s="4"/>
      <c r="C20" s="25" t="s">
        <v>33</v>
      </c>
      <c r="D20" s="26">
        <v>10000</v>
      </c>
      <c r="E20" s="93" t="s">
        <v>56</v>
      </c>
      <c r="F20" s="29">
        <f>CurRates!F14</f>
        <v>5.4000000000000003E-3</v>
      </c>
      <c r="G20" t="s">
        <v>84</v>
      </c>
      <c r="I20" s="29">
        <f t="shared" ref="I20:I22" si="7">I13</f>
        <v>7.8000000000000005E-3</v>
      </c>
      <c r="J20" t="s">
        <v>84</v>
      </c>
      <c r="K20"/>
      <c r="L20" s="29">
        <f t="shared" si="5"/>
        <v>2.4000000000000002E-3</v>
      </c>
      <c r="M20"/>
      <c r="N20" s="313">
        <f t="shared" si="6"/>
        <v>0.44440000000000002</v>
      </c>
      <c r="O20" s="44"/>
    </row>
    <row r="21" spans="2:20" x14ac:dyDescent="0.25">
      <c r="B21" s="4"/>
      <c r="C21" s="25" t="s">
        <v>33</v>
      </c>
      <c r="D21" s="26">
        <v>30000</v>
      </c>
      <c r="E21" s="93" t="s">
        <v>56</v>
      </c>
      <c r="F21" s="29">
        <f>CurRates!F15</f>
        <v>4.7699999999999999E-3</v>
      </c>
      <c r="G21" t="s">
        <v>84</v>
      </c>
      <c r="I21" s="29">
        <f t="shared" si="7"/>
        <v>6.8999999999999999E-3</v>
      </c>
      <c r="J21" t="s">
        <v>84</v>
      </c>
      <c r="K21"/>
      <c r="L21" s="29">
        <f t="shared" si="5"/>
        <v>2.1299999999999999E-3</v>
      </c>
      <c r="M21"/>
      <c r="N21" s="313">
        <f t="shared" si="6"/>
        <v>0.44650000000000001</v>
      </c>
      <c r="O21" s="44"/>
    </row>
    <row r="22" spans="2:20" x14ac:dyDescent="0.25">
      <c r="B22" s="4"/>
      <c r="C22" s="25" t="s">
        <v>44</v>
      </c>
      <c r="D22" s="26">
        <f>SUM(D18:D21)</f>
        <v>50000</v>
      </c>
      <c r="E22" s="93" t="s">
        <v>56</v>
      </c>
      <c r="F22" s="29">
        <f>CurRates!F16</f>
        <v>4.1399999999999996E-3</v>
      </c>
      <c r="G22" t="s">
        <v>84</v>
      </c>
      <c r="I22" s="29">
        <f t="shared" si="7"/>
        <v>5.9899999999999997E-3</v>
      </c>
      <c r="J22" t="s">
        <v>84</v>
      </c>
      <c r="K22"/>
      <c r="L22" s="29">
        <f t="shared" si="5"/>
        <v>1.8500000000000001E-3</v>
      </c>
      <c r="M22"/>
      <c r="N22" s="313">
        <f t="shared" si="6"/>
        <v>0.44690000000000002</v>
      </c>
      <c r="O22" s="44"/>
      <c r="Q22" s="139"/>
      <c r="R22" s="139"/>
      <c r="S22" s="140"/>
      <c r="T22" s="139"/>
    </row>
    <row r="23" spans="2:20" x14ac:dyDescent="0.25">
      <c r="B23" s="4"/>
      <c r="C23"/>
      <c r="D23" s="137"/>
      <c r="E23" s="137"/>
      <c r="F23" s="136"/>
      <c r="G23"/>
      <c r="I23" s="136"/>
      <c r="J23"/>
      <c r="K23"/>
      <c r="L23"/>
      <c r="M23"/>
      <c r="N23"/>
      <c r="O23" s="44"/>
    </row>
    <row r="24" spans="2:20" x14ac:dyDescent="0.25">
      <c r="B24" s="4"/>
      <c r="C24" s="39" t="s">
        <v>151</v>
      </c>
      <c r="D24" s="137"/>
      <c r="E24" s="137"/>
      <c r="F24"/>
      <c r="G24"/>
      <c r="I24"/>
      <c r="J24"/>
      <c r="K24"/>
      <c r="L24" s="113"/>
      <c r="M24"/>
      <c r="N24" s="313"/>
      <c r="O24" s="44"/>
    </row>
    <row r="25" spans="2:20" x14ac:dyDescent="0.25">
      <c r="B25" s="4"/>
      <c r="C25" s="25" t="s">
        <v>32</v>
      </c>
      <c r="D25" s="26">
        <v>7500</v>
      </c>
      <c r="E25" s="93" t="s">
        <v>56</v>
      </c>
      <c r="F25" s="110">
        <f>CurRates!F19</f>
        <v>48.62</v>
      </c>
      <c r="G25" t="s">
        <v>85</v>
      </c>
      <c r="I25" s="110">
        <f>T25</f>
        <v>70.099999999999994</v>
      </c>
      <c r="J25" t="s">
        <v>85</v>
      </c>
      <c r="K25"/>
      <c r="L25" s="113">
        <f>I25-F25</f>
        <v>21.479999999999997</v>
      </c>
      <c r="M25"/>
      <c r="N25" s="313">
        <f>ROUND(L25/F25,4)</f>
        <v>0.44180000000000003</v>
      </c>
      <c r="O25" s="44"/>
      <c r="Q25" s="139">
        <f>F25</f>
        <v>48.62</v>
      </c>
      <c r="R25" s="139">
        <f>ROUND(S$4*Q25,2)</f>
        <v>21.46</v>
      </c>
      <c r="S25" s="140">
        <f>S11</f>
        <v>0.02</v>
      </c>
      <c r="T25" s="139">
        <f>SUM(Q25:S25)</f>
        <v>70.099999999999994</v>
      </c>
    </row>
    <row r="26" spans="2:20" x14ac:dyDescent="0.25">
      <c r="B26" s="4"/>
      <c r="C26" s="25" t="s">
        <v>33</v>
      </c>
      <c r="D26" s="26">
        <v>2500</v>
      </c>
      <c r="E26" s="93" t="s">
        <v>56</v>
      </c>
      <c r="F26" s="29">
        <f>CurRates!F20</f>
        <v>6.0299999999999998E-3</v>
      </c>
      <c r="G26" t="s">
        <v>84</v>
      </c>
      <c r="I26" s="29">
        <f>I12</f>
        <v>8.709999999999999E-3</v>
      </c>
      <c r="J26" t="s">
        <v>84</v>
      </c>
      <c r="K26"/>
      <c r="L26" s="29">
        <f t="shared" ref="L26:L29" si="8">I26-F26</f>
        <v>2.6799999999999992E-3</v>
      </c>
      <c r="M26"/>
      <c r="N26" s="313">
        <f t="shared" ref="N26:N29" si="9">ROUND(L26/F26,4)</f>
        <v>0.44440000000000002</v>
      </c>
      <c r="O26" s="44"/>
      <c r="Q26" s="139"/>
      <c r="R26" s="139"/>
      <c r="S26" s="140"/>
      <c r="T26" s="139"/>
    </row>
    <row r="27" spans="2:20" x14ac:dyDescent="0.25">
      <c r="B27" s="4"/>
      <c r="C27" s="25" t="s">
        <v>33</v>
      </c>
      <c r="D27" s="26">
        <v>10000</v>
      </c>
      <c r="E27" s="93" t="s">
        <v>56</v>
      </c>
      <c r="F27" s="29">
        <f>CurRates!F21</f>
        <v>5.4000000000000003E-3</v>
      </c>
      <c r="G27" t="s">
        <v>84</v>
      </c>
      <c r="I27" s="29">
        <f t="shared" ref="I27:I29" si="10">I13</f>
        <v>7.8000000000000005E-3</v>
      </c>
      <c r="J27" t="s">
        <v>84</v>
      </c>
      <c r="K27"/>
      <c r="L27" s="29">
        <f t="shared" si="8"/>
        <v>2.4000000000000002E-3</v>
      </c>
      <c r="M27"/>
      <c r="N27" s="313">
        <f t="shared" si="9"/>
        <v>0.44440000000000002</v>
      </c>
      <c r="O27" s="44"/>
    </row>
    <row r="28" spans="2:20" x14ac:dyDescent="0.25">
      <c r="B28" s="4"/>
      <c r="C28" s="25" t="s">
        <v>33</v>
      </c>
      <c r="D28" s="26">
        <v>30000</v>
      </c>
      <c r="E28" s="93" t="s">
        <v>56</v>
      </c>
      <c r="F28" s="29">
        <f>CurRates!F22</f>
        <v>4.7699999999999999E-3</v>
      </c>
      <c r="G28" t="s">
        <v>84</v>
      </c>
      <c r="I28" s="29">
        <f t="shared" si="10"/>
        <v>6.8999999999999999E-3</v>
      </c>
      <c r="J28" t="s">
        <v>84</v>
      </c>
      <c r="K28"/>
      <c r="L28" s="29">
        <f t="shared" si="8"/>
        <v>2.1299999999999999E-3</v>
      </c>
      <c r="M28"/>
      <c r="N28" s="313">
        <f t="shared" si="9"/>
        <v>0.44650000000000001</v>
      </c>
      <c r="O28" s="44"/>
    </row>
    <row r="29" spans="2:20" x14ac:dyDescent="0.25">
      <c r="B29" s="4"/>
      <c r="C29" s="25" t="s">
        <v>44</v>
      </c>
      <c r="D29" s="26">
        <f>SUM(D25:D28)</f>
        <v>50000</v>
      </c>
      <c r="E29" s="93" t="s">
        <v>56</v>
      </c>
      <c r="F29" s="29">
        <f>CurRates!F23</f>
        <v>4.1399999999999996E-3</v>
      </c>
      <c r="G29" t="s">
        <v>84</v>
      </c>
      <c r="I29" s="29">
        <f t="shared" si="10"/>
        <v>5.9899999999999997E-3</v>
      </c>
      <c r="J29" t="s">
        <v>84</v>
      </c>
      <c r="K29"/>
      <c r="L29" s="29">
        <f t="shared" si="8"/>
        <v>1.8500000000000001E-3</v>
      </c>
      <c r="M29"/>
      <c r="N29" s="313">
        <f t="shared" si="9"/>
        <v>0.44690000000000002</v>
      </c>
      <c r="O29" s="44"/>
    </row>
    <row r="30" spans="2:20" x14ac:dyDescent="0.25">
      <c r="B30" s="4"/>
      <c r="C30"/>
      <c r="D30" s="137"/>
      <c r="E30" s="137"/>
      <c r="F30" s="110"/>
      <c r="G30"/>
      <c r="I30" s="110"/>
      <c r="J30"/>
      <c r="K30"/>
      <c r="L30"/>
      <c r="M30"/>
      <c r="N30"/>
      <c r="O30" s="44"/>
      <c r="Q30" s="139"/>
      <c r="R30" s="139"/>
      <c r="S30" s="140"/>
      <c r="T30" s="139"/>
    </row>
    <row r="31" spans="2:20" x14ac:dyDescent="0.25">
      <c r="B31" s="4"/>
      <c r="C31" s="30" t="s">
        <v>225</v>
      </c>
      <c r="D31" s="137"/>
      <c r="E31" s="137"/>
      <c r="F31" s="136"/>
      <c r="G31"/>
      <c r="I31" s="136"/>
      <c r="J31"/>
      <c r="K31"/>
      <c r="L31"/>
      <c r="M31"/>
      <c r="N31"/>
      <c r="O31" s="44"/>
    </row>
    <row r="32" spans="2:20" x14ac:dyDescent="0.25">
      <c r="B32" s="4"/>
      <c r="C32" s="25" t="s">
        <v>32</v>
      </c>
      <c r="D32" s="26">
        <v>20000</v>
      </c>
      <c r="E32" s="93" t="s">
        <v>56</v>
      </c>
      <c r="F32" s="110">
        <f>CurRates!F26</f>
        <v>117.68</v>
      </c>
      <c r="G32" t="s">
        <v>85</v>
      </c>
      <c r="I32" s="110">
        <f>T32</f>
        <v>169.64000000000001</v>
      </c>
      <c r="J32" t="s">
        <v>85</v>
      </c>
      <c r="K32"/>
      <c r="L32" s="113">
        <f>I32-F32</f>
        <v>51.960000000000008</v>
      </c>
      <c r="M32"/>
      <c r="N32" s="313">
        <f>ROUND(L32/F32,4)</f>
        <v>0.4415</v>
      </c>
      <c r="O32" s="44"/>
      <c r="Q32" s="139">
        <f>F32</f>
        <v>117.68</v>
      </c>
      <c r="R32" s="139">
        <f>ROUND(S$4*Q32,2)</f>
        <v>51.94</v>
      </c>
      <c r="S32" s="140">
        <f>S11</f>
        <v>0.02</v>
      </c>
      <c r="T32" s="139">
        <f>SUM(Q32:S32)</f>
        <v>169.64000000000001</v>
      </c>
    </row>
    <row r="33" spans="2:20" x14ac:dyDescent="0.25">
      <c r="B33" s="4"/>
      <c r="C33" s="25" t="s">
        <v>33</v>
      </c>
      <c r="D33" s="26">
        <v>30000</v>
      </c>
      <c r="E33" s="93" t="s">
        <v>56</v>
      </c>
      <c r="F33" s="29">
        <f>CurRates!F27</f>
        <v>4.7699999999999999E-3</v>
      </c>
      <c r="G33" t="s">
        <v>84</v>
      </c>
      <c r="I33" s="29">
        <f>I28</f>
        <v>6.8999999999999999E-3</v>
      </c>
      <c r="J33" t="s">
        <v>84</v>
      </c>
      <c r="K33"/>
      <c r="L33" s="29">
        <f t="shared" ref="L33:L34" si="11">I33-F33</f>
        <v>2.1299999999999999E-3</v>
      </c>
      <c r="M33"/>
      <c r="N33" s="313">
        <f t="shared" ref="N33:N34" si="12">ROUND(L33/F33,4)</f>
        <v>0.44650000000000001</v>
      </c>
      <c r="O33" s="44"/>
      <c r="Q33" s="139"/>
      <c r="R33" s="139"/>
      <c r="S33" s="140"/>
      <c r="T33" s="139"/>
    </row>
    <row r="34" spans="2:20" x14ac:dyDescent="0.25">
      <c r="B34" s="4"/>
      <c r="C34" s="25" t="s">
        <v>44</v>
      </c>
      <c r="D34" s="26">
        <f>SUM(D32:D33)</f>
        <v>50000</v>
      </c>
      <c r="E34" s="93" t="s">
        <v>56</v>
      </c>
      <c r="F34" s="29">
        <f>CurRates!F28</f>
        <v>4.1399999999999996E-3</v>
      </c>
      <c r="G34" t="s">
        <v>84</v>
      </c>
      <c r="I34" s="29">
        <f>I29</f>
        <v>5.9899999999999997E-3</v>
      </c>
      <c r="J34" t="s">
        <v>84</v>
      </c>
      <c r="K34"/>
      <c r="L34" s="29">
        <f t="shared" si="11"/>
        <v>1.8500000000000001E-3</v>
      </c>
      <c r="M34"/>
      <c r="N34" s="313">
        <f t="shared" si="12"/>
        <v>0.44690000000000002</v>
      </c>
      <c r="O34" s="44"/>
    </row>
    <row r="35" spans="2:20" x14ac:dyDescent="0.25">
      <c r="B35" s="4"/>
      <c r="C35" s="25"/>
      <c r="D35" s="26"/>
      <c r="E35" s="93"/>
      <c r="F35" s="136"/>
      <c r="G35"/>
      <c r="I35" s="136"/>
      <c r="J35"/>
      <c r="K35"/>
      <c r="L35"/>
      <c r="M35"/>
      <c r="N35"/>
      <c r="O35" s="44"/>
    </row>
    <row r="36" spans="2:20" x14ac:dyDescent="0.25">
      <c r="B36" s="4"/>
      <c r="C36" s="30" t="s">
        <v>226</v>
      </c>
      <c r="D36" s="137"/>
      <c r="E36" s="137"/>
      <c r="F36" s="136"/>
      <c r="G36"/>
      <c r="I36" s="136"/>
      <c r="J36"/>
      <c r="K36"/>
      <c r="L36"/>
      <c r="M36"/>
      <c r="N36"/>
      <c r="O36" s="44"/>
    </row>
    <row r="37" spans="2:20" x14ac:dyDescent="0.25">
      <c r="B37" s="4"/>
      <c r="C37" s="25" t="s">
        <v>32</v>
      </c>
      <c r="D37" s="26">
        <v>30000</v>
      </c>
      <c r="E37" s="93" t="s">
        <v>56</v>
      </c>
      <c r="F37" s="110">
        <f>CurRates!F31</f>
        <v>165.58</v>
      </c>
      <c r="G37" t="s">
        <v>85</v>
      </c>
      <c r="I37" s="110">
        <f>T37</f>
        <v>238.69000000000003</v>
      </c>
      <c r="J37" t="s">
        <v>85</v>
      </c>
      <c r="K37"/>
      <c r="L37" s="113">
        <f>I37-F37</f>
        <v>73.110000000000014</v>
      </c>
      <c r="M37"/>
      <c r="N37" s="313">
        <f>ROUND(L37/F37,4)</f>
        <v>0.4415</v>
      </c>
      <c r="O37" s="44"/>
      <c r="Q37" s="139">
        <f>F37</f>
        <v>165.58</v>
      </c>
      <c r="R37" s="139">
        <f>ROUND(S$4*Q37,2)</f>
        <v>73.09</v>
      </c>
      <c r="S37" s="140">
        <f>S11</f>
        <v>0.02</v>
      </c>
      <c r="T37" s="139">
        <f>SUM(Q37:S37)</f>
        <v>238.69000000000003</v>
      </c>
    </row>
    <row r="38" spans="2:20" x14ac:dyDescent="0.25">
      <c r="B38" s="4"/>
      <c r="C38" s="25" t="s">
        <v>33</v>
      </c>
      <c r="D38" s="26">
        <v>20000</v>
      </c>
      <c r="E38" s="93" t="s">
        <v>56</v>
      </c>
      <c r="F38" s="29">
        <f>CurRates!F32</f>
        <v>4.7699999999999999E-3</v>
      </c>
      <c r="G38" t="s">
        <v>84</v>
      </c>
      <c r="I38" s="29">
        <f>I33</f>
        <v>6.8999999999999999E-3</v>
      </c>
      <c r="J38" t="s">
        <v>84</v>
      </c>
      <c r="K38"/>
      <c r="L38" s="29">
        <f t="shared" ref="L38:L39" si="13">I38-F38</f>
        <v>2.1299999999999999E-3</v>
      </c>
      <c r="M38"/>
      <c r="N38" s="313">
        <f t="shared" ref="N38:N39" si="14">ROUND(L38/F38,4)</f>
        <v>0.44650000000000001</v>
      </c>
      <c r="O38" s="44"/>
      <c r="Q38" s="139"/>
      <c r="R38" s="139"/>
      <c r="S38" s="140"/>
      <c r="T38" s="139"/>
    </row>
    <row r="39" spans="2:20" x14ac:dyDescent="0.25">
      <c r="B39" s="4"/>
      <c r="C39" s="25" t="s">
        <v>44</v>
      </c>
      <c r="D39" s="26">
        <f>SUM(D37:D38)</f>
        <v>50000</v>
      </c>
      <c r="E39" s="93" t="s">
        <v>56</v>
      </c>
      <c r="F39" s="29">
        <f>CurRates!F33</f>
        <v>4.1399999999999996E-3</v>
      </c>
      <c r="G39" t="s">
        <v>84</v>
      </c>
      <c r="I39" s="29">
        <f>I34</f>
        <v>5.9899999999999997E-3</v>
      </c>
      <c r="J39" t="s">
        <v>84</v>
      </c>
      <c r="K39"/>
      <c r="L39" s="29">
        <f t="shared" si="13"/>
        <v>1.8500000000000001E-3</v>
      </c>
      <c r="M39"/>
      <c r="N39" s="313">
        <f t="shared" si="14"/>
        <v>0.44690000000000002</v>
      </c>
      <c r="O39" s="44"/>
    </row>
    <row r="40" spans="2:20" x14ac:dyDescent="0.25">
      <c r="B40" s="4"/>
      <c r="C40" s="25"/>
      <c r="D40" s="26"/>
      <c r="E40" s="93"/>
      <c r="O40" s="44"/>
    </row>
    <row r="41" spans="2:20" x14ac:dyDescent="0.25">
      <c r="B41" s="4"/>
      <c r="C41" s="30" t="s">
        <v>227</v>
      </c>
      <c r="D41" s="137"/>
      <c r="E41" s="137"/>
      <c r="O41" s="44"/>
    </row>
    <row r="42" spans="2:20" x14ac:dyDescent="0.25">
      <c r="B42" s="4"/>
      <c r="C42" s="25" t="s">
        <v>32</v>
      </c>
      <c r="D42" s="26">
        <v>50000</v>
      </c>
      <c r="E42" s="93" t="s">
        <v>56</v>
      </c>
      <c r="F42" s="110">
        <f>CurRates!F36</f>
        <v>260.85000000000002</v>
      </c>
      <c r="G42" t="s">
        <v>85</v>
      </c>
      <c r="I42" s="110">
        <f>T42</f>
        <v>376.01</v>
      </c>
      <c r="J42" t="s">
        <v>85</v>
      </c>
      <c r="K42"/>
      <c r="L42" s="113">
        <f>I42-F42</f>
        <v>115.15999999999997</v>
      </c>
      <c r="M42"/>
      <c r="N42" s="313">
        <f>ROUND(L42/F42,4)</f>
        <v>0.4415</v>
      </c>
      <c r="O42" s="44"/>
      <c r="Q42" s="139">
        <f>F42</f>
        <v>260.85000000000002</v>
      </c>
      <c r="R42" s="139">
        <f>ROUND(S$4*Q42,2)</f>
        <v>115.14</v>
      </c>
      <c r="S42" s="140">
        <f>S11</f>
        <v>0.02</v>
      </c>
      <c r="T42" s="139">
        <f>SUM(Q42:S42)</f>
        <v>376.01</v>
      </c>
    </row>
    <row r="43" spans="2:20" x14ac:dyDescent="0.25">
      <c r="B43" s="4"/>
      <c r="C43" s="25" t="s">
        <v>44</v>
      </c>
      <c r="D43" s="26">
        <f>SUM(D42:D42)</f>
        <v>50000</v>
      </c>
      <c r="E43" s="93" t="s">
        <v>56</v>
      </c>
      <c r="F43" s="29">
        <f>CurRates!F37</f>
        <v>4.1399999999999996E-3</v>
      </c>
      <c r="G43" t="s">
        <v>84</v>
      </c>
      <c r="I43" s="29">
        <f>I15</f>
        <v>5.9899999999999997E-3</v>
      </c>
      <c r="J43" t="s">
        <v>84</v>
      </c>
      <c r="K43"/>
      <c r="L43" s="29">
        <f t="shared" ref="L43" si="15">I43-F43</f>
        <v>1.8500000000000001E-3</v>
      </c>
      <c r="M43"/>
      <c r="N43" s="313">
        <f t="shared" ref="N43" si="16">ROUND(L43/F43,4)</f>
        <v>0.44690000000000002</v>
      </c>
      <c r="O43" s="44"/>
      <c r="Q43" s="139"/>
      <c r="R43" s="139"/>
      <c r="S43" s="140"/>
      <c r="T43" s="139"/>
    </row>
    <row r="44" spans="2:20" x14ac:dyDescent="0.25">
      <c r="B44" s="4"/>
      <c r="C44" s="25"/>
      <c r="D44" s="26"/>
      <c r="E44" s="93"/>
      <c r="O44" s="44"/>
    </row>
    <row r="45" spans="2:20" x14ac:dyDescent="0.25">
      <c r="B45" s="4"/>
      <c r="C45" s="205" t="s">
        <v>91</v>
      </c>
      <c r="D45" s="26"/>
      <c r="E45" s="93"/>
      <c r="F45" s="29">
        <f>CurRates!F39</f>
        <v>3.0699999999999998E-3</v>
      </c>
      <c r="G45" t="s">
        <v>84</v>
      </c>
      <c r="I45" s="29">
        <f>T45</f>
        <v>4.45E-3</v>
      </c>
      <c r="J45" t="s">
        <v>84</v>
      </c>
      <c r="K45"/>
      <c r="L45" s="29">
        <f t="shared" ref="L45" si="17">I45-F45</f>
        <v>1.3800000000000002E-3</v>
      </c>
      <c r="M45"/>
      <c r="N45" s="313">
        <f t="shared" ref="N45" si="18">ROUND(L45/F45,4)</f>
        <v>0.44950000000000001</v>
      </c>
      <c r="O45" s="44"/>
      <c r="Q45" s="140">
        <f>F45</f>
        <v>3.0699999999999998E-3</v>
      </c>
      <c r="R45" s="140">
        <f>ROUND(S$4*Q45,5)</f>
        <v>1.3600000000000001E-3</v>
      </c>
      <c r="S45" s="140">
        <f>S12</f>
        <v>2.0000000000000002E-5</v>
      </c>
      <c r="T45" s="140">
        <f>SUM(Q45:S45)</f>
        <v>4.45E-3</v>
      </c>
    </row>
    <row r="46" spans="2:20" x14ac:dyDescent="0.25">
      <c r="B46" s="4"/>
      <c r="C46" s="25"/>
      <c r="D46" s="26"/>
      <c r="E46" s="93"/>
      <c r="O46" s="44"/>
    </row>
    <row r="47" spans="2:20" x14ac:dyDescent="0.25">
      <c r="B47" s="4"/>
      <c r="C47" s="205" t="s">
        <v>229</v>
      </c>
      <c r="D47" s="26"/>
      <c r="E47" s="93"/>
      <c r="F47" s="136"/>
      <c r="G47"/>
      <c r="O47" s="44"/>
    </row>
    <row r="48" spans="2:20" x14ac:dyDescent="0.25">
      <c r="B48" s="4"/>
      <c r="C48" s="205" t="s">
        <v>230</v>
      </c>
      <c r="D48" s="26"/>
      <c r="E48" s="93"/>
      <c r="F48" s="110">
        <f>CurRates!F42</f>
        <v>5</v>
      </c>
      <c r="G48" t="s">
        <v>84</v>
      </c>
      <c r="I48" s="110">
        <f>F48</f>
        <v>5</v>
      </c>
      <c r="O48" s="44"/>
    </row>
    <row r="49" spans="2:15" x14ac:dyDescent="0.25">
      <c r="B49" s="6"/>
      <c r="C49" s="46"/>
      <c r="D49" s="46"/>
      <c r="E49" s="46"/>
      <c r="F49" s="47"/>
      <c r="G49" s="46"/>
      <c r="H49" s="46"/>
      <c r="I49" s="47"/>
      <c r="J49" s="46"/>
      <c r="K49" s="46"/>
      <c r="L49" s="46"/>
      <c r="M49" s="46"/>
      <c r="N49" s="46"/>
      <c r="O49" s="48"/>
    </row>
  </sheetData>
  <mergeCells count="5">
    <mergeCell ref="F8:G8"/>
    <mergeCell ref="I8:J8"/>
    <mergeCell ref="L7:N7"/>
    <mergeCell ref="C4:N4"/>
    <mergeCell ref="C5:N5"/>
  </mergeCells>
  <printOptions horizontalCentered="1"/>
  <pageMargins left="0.8" right="0.55000000000000004" top="1.2" bottom="0.5" header="0" footer="0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L77"/>
  <sheetViews>
    <sheetView showGridLines="0" zoomScaleNormal="100" workbookViewId="0">
      <selection sqref="A1:XFD1048576"/>
    </sheetView>
  </sheetViews>
  <sheetFormatPr defaultRowHeight="15" x14ac:dyDescent="0.2"/>
  <cols>
    <col min="1" max="1" width="5.6640625" style="12" customWidth="1"/>
    <col min="2" max="2" width="21.5546875" style="12" customWidth="1"/>
    <col min="3" max="3" width="16.21875" style="178" customWidth="1"/>
    <col min="4" max="4" width="14.77734375" style="12" customWidth="1"/>
    <col min="5" max="5" width="1.77734375" style="12" customWidth="1"/>
    <col min="6" max="6" width="14.77734375" style="12" customWidth="1"/>
    <col min="7" max="7" width="1.77734375" style="12" customWidth="1"/>
    <col min="8" max="8" width="14.77734375" style="30" customWidth="1"/>
    <col min="9" max="11" width="8.88671875" style="12"/>
    <col min="12" max="12" width="13.109375" style="30" customWidth="1"/>
    <col min="13" max="16384" width="8.88671875" style="12"/>
  </cols>
  <sheetData>
    <row r="3" spans="1:12" x14ac:dyDescent="0.2">
      <c r="A3" s="12" t="s">
        <v>238</v>
      </c>
      <c r="D3" s="30">
        <f>D34</f>
        <v>98818</v>
      </c>
      <c r="E3" s="30"/>
      <c r="F3" s="30">
        <f>F34</f>
        <v>215314600</v>
      </c>
      <c r="G3" s="30"/>
      <c r="H3" s="30">
        <f t="shared" ref="H3" si="0">H34</f>
        <v>1590118.3710000003</v>
      </c>
    </row>
    <row r="4" spans="1:12" x14ac:dyDescent="0.2">
      <c r="A4" s="12" t="s">
        <v>90</v>
      </c>
      <c r="D4" s="30">
        <f>D43</f>
        <v>1664</v>
      </c>
      <c r="E4" s="30"/>
      <c r="F4" s="30">
        <f>F43</f>
        <v>5951200</v>
      </c>
      <c r="G4" s="30"/>
      <c r="H4" s="30">
        <f t="shared" ref="H4" si="1">H43</f>
        <v>55942.833000000006</v>
      </c>
    </row>
    <row r="5" spans="1:12" x14ac:dyDescent="0.2">
      <c r="A5" s="12" t="s">
        <v>151</v>
      </c>
      <c r="D5" s="30">
        <f>D52</f>
        <v>297</v>
      </c>
      <c r="E5" s="30"/>
      <c r="F5" s="30">
        <f>F52</f>
        <v>3764400</v>
      </c>
      <c r="G5" s="30"/>
      <c r="H5" s="30">
        <f t="shared" ref="H5" si="2">H52</f>
        <v>19609.364999999998</v>
      </c>
    </row>
    <row r="6" spans="1:12" x14ac:dyDescent="0.2">
      <c r="A6" s="12" t="s">
        <v>225</v>
      </c>
      <c r="D6" s="30">
        <f>D59</f>
        <v>1127</v>
      </c>
      <c r="E6" s="30"/>
      <c r="F6" s="30">
        <f>F59</f>
        <v>28254200</v>
      </c>
      <c r="G6" s="30"/>
      <c r="H6" s="30">
        <f t="shared" ref="H6" si="3">H59</f>
        <v>170047.71399999998</v>
      </c>
    </row>
    <row r="7" spans="1:12" x14ac:dyDescent="0.2">
      <c r="A7" s="12" t="s">
        <v>226</v>
      </c>
      <c r="D7" s="30">
        <f>D66</f>
        <v>37</v>
      </c>
      <c r="E7" s="30"/>
      <c r="F7" s="30">
        <f>F66</f>
        <v>274500</v>
      </c>
      <c r="G7" s="30"/>
      <c r="H7" s="30">
        <f t="shared" ref="H7" si="4">H66</f>
        <v>5943.4769999999999</v>
      </c>
    </row>
    <row r="8" spans="1:12" x14ac:dyDescent="0.2">
      <c r="A8" s="12" t="s">
        <v>227</v>
      </c>
      <c r="D8" s="30">
        <f>D72</f>
        <v>24</v>
      </c>
      <c r="E8" s="30"/>
      <c r="F8" s="30">
        <f>F72</f>
        <v>2928200</v>
      </c>
      <c r="G8" s="30"/>
      <c r="H8" s="30">
        <f t="shared" ref="H8" si="5">H72</f>
        <v>12768.948</v>
      </c>
    </row>
    <row r="9" spans="1:12" x14ac:dyDescent="0.2">
      <c r="A9" s="12" t="s">
        <v>91</v>
      </c>
      <c r="D9" s="31">
        <f>D74</f>
        <v>12</v>
      </c>
      <c r="E9" s="30"/>
      <c r="F9" s="31">
        <f>F74</f>
        <v>7342660</v>
      </c>
      <c r="G9" s="30"/>
      <c r="H9" s="31">
        <f t="shared" ref="H9" si="6">H74</f>
        <v>22541.966199999999</v>
      </c>
    </row>
    <row r="10" spans="1:12" ht="15.75" thickBot="1" x14ac:dyDescent="0.25">
      <c r="A10" s="12" t="s">
        <v>239</v>
      </c>
      <c r="D10" s="300">
        <f>SUM(D3:D9)</f>
        <v>101979</v>
      </c>
      <c r="E10" s="30"/>
      <c r="F10" s="300">
        <f>SUM(F3:F9)</f>
        <v>263829760</v>
      </c>
      <c r="G10" s="30"/>
      <c r="H10" s="30">
        <f t="shared" ref="H10" si="7">SUM(H3:H9)</f>
        <v>1876972.6742000002</v>
      </c>
      <c r="L10" s="30">
        <f>D10</f>
        <v>101979</v>
      </c>
    </row>
    <row r="11" spans="1:12" ht="15.75" thickTop="1" x14ac:dyDescent="0.2">
      <c r="A11" s="12" t="s">
        <v>240</v>
      </c>
      <c r="D11" s="30"/>
      <c r="E11" s="30"/>
      <c r="F11" s="30"/>
      <c r="G11" s="30"/>
      <c r="H11" s="31"/>
      <c r="L11" s="322">
        <v>5</v>
      </c>
    </row>
    <row r="12" spans="1:12" x14ac:dyDescent="0.2">
      <c r="A12" s="12" t="s">
        <v>241</v>
      </c>
      <c r="D12" s="30"/>
      <c r="E12" s="30"/>
      <c r="F12" s="30"/>
      <c r="G12" s="30"/>
      <c r="H12" s="30">
        <f>SUM(H10:H11)</f>
        <v>1876972.6742000002</v>
      </c>
      <c r="L12" s="30">
        <f>ROUND(L10*L11,0)</f>
        <v>509895</v>
      </c>
    </row>
    <row r="13" spans="1:12" x14ac:dyDescent="0.2">
      <c r="A13" s="12" t="s">
        <v>260</v>
      </c>
      <c r="B13" s="12" t="s">
        <v>259</v>
      </c>
      <c r="H13" s="31">
        <f>-H23</f>
        <v>-1877071</v>
      </c>
    </row>
    <row r="14" spans="1:12" ht="15.75" thickBot="1" x14ac:dyDescent="0.25">
      <c r="A14" s="12" t="s">
        <v>242</v>
      </c>
      <c r="H14" s="300">
        <f>SUM(H12:H13)</f>
        <v>-98.325799999758601</v>
      </c>
    </row>
    <row r="15" spans="1:12" ht="15.75" thickTop="1" x14ac:dyDescent="0.2"/>
    <row r="16" spans="1:12" x14ac:dyDescent="0.2">
      <c r="A16" s="12" t="s">
        <v>259</v>
      </c>
      <c r="H16" s="30">
        <f>'SAO - DSC'!G12</f>
        <v>2171725</v>
      </c>
    </row>
    <row r="17" spans="1:8" x14ac:dyDescent="0.2">
      <c r="A17" s="12" t="s">
        <v>260</v>
      </c>
      <c r="B17" s="12" t="s">
        <v>261</v>
      </c>
    </row>
    <row r="18" spans="1:8" x14ac:dyDescent="0.2">
      <c r="B18" s="12" t="s">
        <v>262</v>
      </c>
      <c r="H18" s="30">
        <v>-284700</v>
      </c>
    </row>
    <row r="19" spans="1:8" x14ac:dyDescent="0.2">
      <c r="B19" s="12" t="s">
        <v>263</v>
      </c>
      <c r="H19" s="30">
        <v>-7225</v>
      </c>
    </row>
    <row r="20" spans="1:8" x14ac:dyDescent="0.2">
      <c r="B20" s="12" t="s">
        <v>264</v>
      </c>
      <c r="H20" s="30">
        <v>-707</v>
      </c>
    </row>
    <row r="21" spans="1:8" x14ac:dyDescent="0.2">
      <c r="B21" s="12" t="s">
        <v>19</v>
      </c>
      <c r="H21" s="30">
        <v>-622</v>
      </c>
    </row>
    <row r="22" spans="1:8" x14ac:dyDescent="0.2">
      <c r="B22" s="12" t="s">
        <v>265</v>
      </c>
      <c r="H22" s="30">
        <v>-1400</v>
      </c>
    </row>
    <row r="23" spans="1:8" ht="15.75" thickBot="1" x14ac:dyDescent="0.25">
      <c r="B23" s="12" t="s">
        <v>266</v>
      </c>
      <c r="H23" s="300">
        <f>SUM(H16:H22)</f>
        <v>1877071</v>
      </c>
    </row>
    <row r="24" spans="1:8" ht="15.75" thickTop="1" x14ac:dyDescent="0.2"/>
    <row r="25" spans="1:8" x14ac:dyDescent="0.2">
      <c r="A25" s="301"/>
      <c r="B25" s="301"/>
      <c r="C25" s="302"/>
    </row>
    <row r="26" spans="1:8" x14ac:dyDescent="0.2">
      <c r="A26" s="301" t="s">
        <v>243</v>
      </c>
      <c r="B26" s="301"/>
      <c r="C26" s="302" t="s">
        <v>244</v>
      </c>
    </row>
    <row r="27" spans="1:8" x14ac:dyDescent="0.2">
      <c r="A27" s="303" t="s">
        <v>238</v>
      </c>
      <c r="B27" s="301"/>
    </row>
    <row r="29" spans="1:8" x14ac:dyDescent="0.2">
      <c r="A29" s="301" t="s">
        <v>245</v>
      </c>
      <c r="B29" s="301"/>
      <c r="C29" s="304">
        <v>15.45</v>
      </c>
      <c r="D29" s="30">
        <v>57228</v>
      </c>
      <c r="E29" s="30"/>
      <c r="F29" s="30">
        <v>95744200</v>
      </c>
      <c r="G29" s="30"/>
      <c r="H29" s="30">
        <f>D29*$C29</f>
        <v>884172.6</v>
      </c>
    </row>
    <row r="30" spans="1:8" x14ac:dyDescent="0.2">
      <c r="A30" s="301" t="s">
        <v>246</v>
      </c>
      <c r="B30" s="301"/>
      <c r="C30" s="305">
        <v>6.0299999999999998E-3</v>
      </c>
      <c r="D30" s="30">
        <v>38227</v>
      </c>
      <c r="E30" s="30"/>
      <c r="F30" s="30">
        <v>102411700</v>
      </c>
      <c r="G30" s="30"/>
      <c r="H30" s="30">
        <f>$C30*F30</f>
        <v>617542.55099999998</v>
      </c>
    </row>
    <row r="31" spans="1:8" x14ac:dyDescent="0.2">
      <c r="A31" s="301" t="s">
        <v>247</v>
      </c>
      <c r="B31" s="301"/>
      <c r="C31" s="305">
        <v>5.4000000000000003E-3</v>
      </c>
      <c r="D31" s="30">
        <v>2807</v>
      </c>
      <c r="E31" s="30"/>
      <c r="F31" s="30">
        <v>11502800</v>
      </c>
      <c r="G31" s="30"/>
      <c r="H31" s="30">
        <f t="shared" ref="H31:H33" si="8">$C31*F31</f>
        <v>62115.12</v>
      </c>
    </row>
    <row r="32" spans="1:8" x14ac:dyDescent="0.2">
      <c r="A32" s="301" t="s">
        <v>248</v>
      </c>
      <c r="B32" s="301"/>
      <c r="C32" s="305">
        <v>4.7699999999999999E-3</v>
      </c>
      <c r="D32" s="30">
        <v>510</v>
      </c>
      <c r="E32" s="30"/>
      <c r="F32" s="30">
        <v>4559800</v>
      </c>
      <c r="G32" s="30"/>
      <c r="H32" s="30">
        <f t="shared" si="8"/>
        <v>21750.245999999999</v>
      </c>
    </row>
    <row r="33" spans="1:8" x14ac:dyDescent="0.2">
      <c r="A33" s="301" t="s">
        <v>249</v>
      </c>
      <c r="B33" s="301"/>
      <c r="C33" s="305">
        <v>4.1399999999999996E-3</v>
      </c>
      <c r="D33" s="30">
        <v>46</v>
      </c>
      <c r="E33" s="30"/>
      <c r="F33" s="30">
        <v>1096100</v>
      </c>
      <c r="G33" s="30"/>
      <c r="H33" s="30">
        <f t="shared" si="8"/>
        <v>4537.8539999999994</v>
      </c>
    </row>
    <row r="34" spans="1:8" x14ac:dyDescent="0.2">
      <c r="A34" s="301"/>
      <c r="B34" s="301"/>
      <c r="C34" s="305"/>
      <c r="D34" s="30">
        <f>SUM(D29:D33)</f>
        <v>98818</v>
      </c>
      <c r="E34" s="30"/>
      <c r="F34" s="30">
        <f>SUM(F29:F33)</f>
        <v>215314600</v>
      </c>
      <c r="G34" s="30"/>
      <c r="H34" s="30">
        <f t="shared" ref="H34" si="9">SUM(H29:H33)</f>
        <v>1590118.3710000003</v>
      </c>
    </row>
    <row r="35" spans="1:8" x14ac:dyDescent="0.2">
      <c r="A35" s="301"/>
      <c r="B35" s="301"/>
      <c r="C35" s="305"/>
      <c r="D35" s="30"/>
      <c r="E35" s="30"/>
      <c r="F35" s="30"/>
      <c r="G35" s="30"/>
    </row>
    <row r="36" spans="1:8" x14ac:dyDescent="0.2">
      <c r="A36" s="303" t="s">
        <v>90</v>
      </c>
      <c r="B36" s="301"/>
      <c r="C36" s="305"/>
      <c r="D36" s="30"/>
      <c r="E36" s="30"/>
      <c r="F36" s="30"/>
      <c r="G36" s="30"/>
    </row>
    <row r="37" spans="1:8" x14ac:dyDescent="0.2">
      <c r="A37" s="301"/>
      <c r="B37" s="301"/>
      <c r="C37" s="305"/>
      <c r="D37" s="30"/>
      <c r="E37" s="30"/>
      <c r="F37" s="30"/>
      <c r="G37" s="30"/>
    </row>
    <row r="38" spans="1:8" x14ac:dyDescent="0.2">
      <c r="A38" s="301" t="s">
        <v>250</v>
      </c>
      <c r="B38" s="301"/>
      <c r="C38" s="304">
        <v>33.53</v>
      </c>
      <c r="D38" s="30">
        <v>1212</v>
      </c>
      <c r="E38" s="30"/>
      <c r="F38" s="30">
        <v>3033400</v>
      </c>
      <c r="G38" s="30"/>
      <c r="H38" s="30">
        <f>D38*$C38</f>
        <v>40638.36</v>
      </c>
    </row>
    <row r="39" spans="1:8" x14ac:dyDescent="0.2">
      <c r="A39" s="301" t="s">
        <v>251</v>
      </c>
      <c r="B39" s="301"/>
      <c r="C39" s="305">
        <v>6.0299999999999998E-3</v>
      </c>
      <c r="D39" s="30">
        <v>267</v>
      </c>
      <c r="E39" s="30"/>
      <c r="F39" s="30">
        <v>870400</v>
      </c>
      <c r="G39" s="30"/>
      <c r="H39" s="30">
        <f>$C39*F39</f>
        <v>5248.5119999999997</v>
      </c>
    </row>
    <row r="40" spans="1:8" x14ac:dyDescent="0.2">
      <c r="A40" s="301" t="s">
        <v>247</v>
      </c>
      <c r="B40" s="301"/>
      <c r="C40" s="305">
        <v>5.4000000000000003E-3</v>
      </c>
      <c r="D40" s="30">
        <v>108</v>
      </c>
      <c r="E40" s="30"/>
      <c r="F40" s="30">
        <v>806200</v>
      </c>
      <c r="G40" s="30"/>
      <c r="H40" s="30">
        <f t="shared" ref="H40:H42" si="10">$C40*F40</f>
        <v>4353.4800000000005</v>
      </c>
    </row>
    <row r="41" spans="1:8" x14ac:dyDescent="0.2">
      <c r="A41" s="301" t="s">
        <v>248</v>
      </c>
      <c r="B41" s="301"/>
      <c r="C41" s="305">
        <v>4.7699999999999999E-3</v>
      </c>
      <c r="D41" s="30">
        <v>59</v>
      </c>
      <c r="E41" s="30"/>
      <c r="F41" s="30">
        <v>895100</v>
      </c>
      <c r="G41" s="30"/>
      <c r="H41" s="30">
        <f t="shared" si="10"/>
        <v>4269.6269999999995</v>
      </c>
    </row>
    <row r="42" spans="1:8" x14ac:dyDescent="0.2">
      <c r="A42" s="301" t="s">
        <v>249</v>
      </c>
      <c r="B42" s="301"/>
      <c r="C42" s="305">
        <v>4.1399999999999996E-3</v>
      </c>
      <c r="D42" s="30">
        <v>18</v>
      </c>
      <c r="E42" s="30"/>
      <c r="F42" s="30">
        <v>346100</v>
      </c>
      <c r="G42" s="30"/>
      <c r="H42" s="30">
        <f t="shared" si="10"/>
        <v>1432.8539999999998</v>
      </c>
    </row>
    <row r="43" spans="1:8" x14ac:dyDescent="0.2">
      <c r="A43" s="301"/>
      <c r="B43" s="301"/>
      <c r="C43" s="305"/>
      <c r="D43" s="30">
        <f>SUM(D38:D42)</f>
        <v>1664</v>
      </c>
      <c r="E43" s="30"/>
      <c r="F43" s="30">
        <f>SUM(F38:F42)</f>
        <v>5951200</v>
      </c>
      <c r="G43" s="30"/>
      <c r="H43" s="30">
        <f t="shared" ref="H43" si="11">SUM(H38:H42)</f>
        <v>55942.833000000006</v>
      </c>
    </row>
    <row r="44" spans="1:8" x14ac:dyDescent="0.2">
      <c r="A44" s="301"/>
      <c r="B44" s="301"/>
      <c r="C44" s="305"/>
      <c r="D44" s="30"/>
      <c r="E44" s="30"/>
      <c r="F44" s="30"/>
      <c r="G44" s="30"/>
    </row>
    <row r="45" spans="1:8" x14ac:dyDescent="0.2">
      <c r="A45" s="303" t="s">
        <v>151</v>
      </c>
      <c r="B45" s="301"/>
      <c r="C45" s="305"/>
      <c r="D45" s="30"/>
      <c r="E45" s="30"/>
      <c r="F45" s="30"/>
      <c r="G45" s="30"/>
    </row>
    <row r="46" spans="1:8" x14ac:dyDescent="0.2">
      <c r="A46" s="301"/>
      <c r="B46" s="301"/>
      <c r="C46" s="305"/>
      <c r="D46" s="30"/>
      <c r="E46" s="30"/>
      <c r="F46" s="30"/>
      <c r="G46" s="30"/>
    </row>
    <row r="47" spans="1:8" x14ac:dyDescent="0.2">
      <c r="A47" s="301" t="s">
        <v>252</v>
      </c>
      <c r="B47" s="301"/>
      <c r="C47" s="304">
        <v>48.62</v>
      </c>
      <c r="D47" s="30">
        <v>96</v>
      </c>
      <c r="E47" s="30"/>
      <c r="F47" s="30">
        <v>536500</v>
      </c>
      <c r="G47" s="30"/>
      <c r="H47" s="30">
        <f>D47*$C47</f>
        <v>4667.5199999999995</v>
      </c>
    </row>
    <row r="48" spans="1:8" x14ac:dyDescent="0.2">
      <c r="A48" s="301" t="s">
        <v>253</v>
      </c>
      <c r="B48" s="301"/>
      <c r="C48" s="305">
        <v>6.0299999999999998E-3</v>
      </c>
      <c r="D48" s="30">
        <v>67</v>
      </c>
      <c r="E48" s="30"/>
      <c r="F48" s="30">
        <v>163000</v>
      </c>
      <c r="G48" s="30"/>
      <c r="H48" s="30">
        <f>$C48*F48</f>
        <v>982.89</v>
      </c>
    </row>
    <row r="49" spans="1:8" x14ac:dyDescent="0.2">
      <c r="A49" s="301" t="s">
        <v>247</v>
      </c>
      <c r="B49" s="301"/>
      <c r="C49" s="305">
        <v>5.4000000000000003E-3</v>
      </c>
      <c r="D49" s="30">
        <v>61</v>
      </c>
      <c r="E49" s="30"/>
      <c r="F49" s="30">
        <v>500500</v>
      </c>
      <c r="G49" s="30"/>
      <c r="H49" s="30">
        <f t="shared" ref="H49:H51" si="12">$C49*F49</f>
        <v>2702.7000000000003</v>
      </c>
    </row>
    <row r="50" spans="1:8" x14ac:dyDescent="0.2">
      <c r="A50" s="301" t="s">
        <v>248</v>
      </c>
      <c r="B50" s="301"/>
      <c r="C50" s="305">
        <v>4.7699999999999999E-3</v>
      </c>
      <c r="D50" s="30">
        <v>44</v>
      </c>
      <c r="E50" s="30"/>
      <c r="F50" s="30">
        <v>1015300</v>
      </c>
      <c r="G50" s="30"/>
      <c r="H50" s="30">
        <f t="shared" si="12"/>
        <v>4842.9809999999998</v>
      </c>
    </row>
    <row r="51" spans="1:8" x14ac:dyDescent="0.2">
      <c r="A51" s="301" t="s">
        <v>249</v>
      </c>
      <c r="B51" s="301"/>
      <c r="C51" s="305">
        <v>4.1399999999999996E-3</v>
      </c>
      <c r="D51" s="30">
        <v>29</v>
      </c>
      <c r="E51" s="30"/>
      <c r="F51" s="30">
        <v>1549100</v>
      </c>
      <c r="G51" s="30"/>
      <c r="H51" s="30">
        <f t="shared" si="12"/>
        <v>6413.2739999999994</v>
      </c>
    </row>
    <row r="52" spans="1:8" x14ac:dyDescent="0.2">
      <c r="A52" s="301"/>
      <c r="B52" s="301"/>
      <c r="C52" s="305"/>
      <c r="D52" s="30">
        <f>SUM(D47:D51)</f>
        <v>297</v>
      </c>
      <c r="E52" s="30"/>
      <c r="F52" s="30">
        <f>SUM(F47:F51)</f>
        <v>3764400</v>
      </c>
      <c r="G52" s="30"/>
      <c r="H52" s="30">
        <f t="shared" ref="H52" si="13">SUM(H47:H51)</f>
        <v>19609.364999999998</v>
      </c>
    </row>
    <row r="53" spans="1:8" x14ac:dyDescent="0.2">
      <c r="A53" s="301"/>
      <c r="B53" s="301"/>
      <c r="C53" s="305"/>
      <c r="D53" s="30"/>
      <c r="E53" s="30"/>
      <c r="F53" s="30"/>
      <c r="G53" s="30"/>
    </row>
    <row r="54" spans="1:8" x14ac:dyDescent="0.2">
      <c r="A54" s="303" t="s">
        <v>225</v>
      </c>
      <c r="B54" s="301"/>
      <c r="C54" s="305"/>
      <c r="D54" s="30"/>
      <c r="E54" s="30"/>
      <c r="F54" s="30"/>
      <c r="G54" s="30"/>
    </row>
    <row r="55" spans="1:8" x14ac:dyDescent="0.2">
      <c r="A55" s="301"/>
      <c r="B55" s="301"/>
      <c r="C55" s="305"/>
      <c r="D55" s="30"/>
      <c r="E55" s="30"/>
      <c r="F55" s="30"/>
      <c r="G55" s="30"/>
    </row>
    <row r="56" spans="1:8" x14ac:dyDescent="0.2">
      <c r="A56" s="301" t="s">
        <v>254</v>
      </c>
      <c r="B56" s="301"/>
      <c r="C56" s="306">
        <v>117.68</v>
      </c>
      <c r="D56" s="30">
        <v>683</v>
      </c>
      <c r="E56" s="30"/>
      <c r="F56" s="30">
        <v>7586800</v>
      </c>
      <c r="G56" s="30"/>
      <c r="H56" s="30">
        <f>D56*$C56</f>
        <v>80375.44</v>
      </c>
    </row>
    <row r="57" spans="1:8" x14ac:dyDescent="0.2">
      <c r="A57" s="301" t="s">
        <v>248</v>
      </c>
      <c r="B57" s="301"/>
      <c r="C57" s="305">
        <v>4.7699999999999999E-3</v>
      </c>
      <c r="D57" s="30">
        <v>268</v>
      </c>
      <c r="E57" s="30"/>
      <c r="F57" s="30">
        <v>6522600</v>
      </c>
      <c r="G57" s="30"/>
      <c r="H57" s="30">
        <f>$C57*F57</f>
        <v>31112.802</v>
      </c>
    </row>
    <row r="58" spans="1:8" x14ac:dyDescent="0.2">
      <c r="A58" s="301" t="s">
        <v>249</v>
      </c>
      <c r="B58" s="301"/>
      <c r="C58" s="305">
        <v>4.1399999999999996E-3</v>
      </c>
      <c r="D58" s="30">
        <v>176</v>
      </c>
      <c r="E58" s="30"/>
      <c r="F58" s="30">
        <v>14144800</v>
      </c>
      <c r="G58" s="30"/>
      <c r="H58" s="30">
        <f t="shared" ref="H58" si="14">$C58*F58</f>
        <v>58559.471999999994</v>
      </c>
    </row>
    <row r="59" spans="1:8" x14ac:dyDescent="0.2">
      <c r="D59" s="30">
        <f>SUM(D56:D58)</f>
        <v>1127</v>
      </c>
      <c r="E59" s="30"/>
      <c r="F59" s="30">
        <f>SUM(F56:F58)</f>
        <v>28254200</v>
      </c>
      <c r="G59" s="30"/>
      <c r="H59" s="30">
        <f t="shared" ref="H59" si="15">SUM(H56:H58)</f>
        <v>170047.71399999998</v>
      </c>
    </row>
    <row r="60" spans="1:8" x14ac:dyDescent="0.2">
      <c r="D60" s="30"/>
      <c r="E60" s="30"/>
      <c r="F60" s="30"/>
      <c r="G60" s="30"/>
    </row>
    <row r="61" spans="1:8" x14ac:dyDescent="0.2">
      <c r="A61" s="307" t="s">
        <v>226</v>
      </c>
      <c r="B61" s="307"/>
      <c r="D61" s="30"/>
      <c r="E61" s="30"/>
      <c r="F61" s="30"/>
      <c r="G61" s="30"/>
    </row>
    <row r="62" spans="1:8" x14ac:dyDescent="0.2">
      <c r="D62" s="30"/>
      <c r="E62" s="30"/>
      <c r="F62" s="30"/>
      <c r="G62" s="30"/>
    </row>
    <row r="63" spans="1:8" x14ac:dyDescent="0.2">
      <c r="A63" s="301" t="s">
        <v>255</v>
      </c>
      <c r="B63" s="301"/>
      <c r="C63" s="304">
        <v>165.38</v>
      </c>
      <c r="D63" s="30">
        <v>33</v>
      </c>
      <c r="E63" s="30"/>
      <c r="F63" s="30">
        <v>163500</v>
      </c>
      <c r="G63" s="30"/>
      <c r="H63" s="30">
        <f>D63*$C63</f>
        <v>5457.54</v>
      </c>
    </row>
    <row r="64" spans="1:8" x14ac:dyDescent="0.2">
      <c r="A64" s="301" t="s">
        <v>256</v>
      </c>
      <c r="B64" s="301"/>
      <c r="C64" s="305">
        <v>4.7699999999999999E-3</v>
      </c>
      <c r="D64" s="30">
        <v>3</v>
      </c>
      <c r="E64" s="30"/>
      <c r="F64" s="30">
        <v>41900</v>
      </c>
      <c r="G64" s="30"/>
      <c r="H64" s="30">
        <f>$C64*F64</f>
        <v>199.863</v>
      </c>
    </row>
    <row r="65" spans="1:8" x14ac:dyDescent="0.2">
      <c r="A65" s="301" t="s">
        <v>249</v>
      </c>
      <c r="B65" s="301"/>
      <c r="C65" s="305">
        <v>4.1399999999999996E-3</v>
      </c>
      <c r="D65" s="30">
        <v>1</v>
      </c>
      <c r="E65" s="30"/>
      <c r="F65" s="30">
        <v>69100</v>
      </c>
      <c r="G65" s="30"/>
      <c r="H65" s="30">
        <f t="shared" ref="H65" si="16">$C65*F65</f>
        <v>286.07399999999996</v>
      </c>
    </row>
    <row r="66" spans="1:8" x14ac:dyDescent="0.2">
      <c r="D66" s="30">
        <f>SUM(D63:D65)</f>
        <v>37</v>
      </c>
      <c r="E66" s="30"/>
      <c r="F66" s="30">
        <f>SUM(F63:F65)</f>
        <v>274500</v>
      </c>
      <c r="G66" s="30"/>
      <c r="H66" s="30">
        <f t="shared" ref="H66" si="17">SUM(H63:H65)</f>
        <v>5943.4769999999999</v>
      </c>
    </row>
    <row r="67" spans="1:8" x14ac:dyDescent="0.2">
      <c r="D67" s="30"/>
      <c r="E67" s="30"/>
      <c r="F67" s="30"/>
      <c r="G67" s="30"/>
    </row>
    <row r="68" spans="1:8" x14ac:dyDescent="0.2">
      <c r="A68" s="307" t="s">
        <v>227</v>
      </c>
      <c r="B68" s="307"/>
      <c r="D68" s="30"/>
      <c r="E68" s="30"/>
      <c r="F68" s="30"/>
      <c r="G68" s="30"/>
    </row>
    <row r="69" spans="1:8" x14ac:dyDescent="0.2">
      <c r="D69" s="30"/>
      <c r="E69" s="30"/>
      <c r="F69" s="30"/>
      <c r="G69" s="30"/>
    </row>
    <row r="70" spans="1:8" x14ac:dyDescent="0.2">
      <c r="A70" s="301" t="s">
        <v>257</v>
      </c>
      <c r="B70" s="301"/>
      <c r="C70" s="304">
        <v>260.85000000000002</v>
      </c>
      <c r="D70" s="30">
        <v>12</v>
      </c>
      <c r="E70" s="30"/>
      <c r="F70" s="30">
        <v>600000</v>
      </c>
      <c r="G70" s="30"/>
      <c r="H70" s="30">
        <f>D70*$C70</f>
        <v>3130.2000000000003</v>
      </c>
    </row>
    <row r="71" spans="1:8" x14ac:dyDescent="0.2">
      <c r="A71" s="301" t="s">
        <v>249</v>
      </c>
      <c r="B71" s="301"/>
      <c r="C71" s="305">
        <v>4.1399999999999996E-3</v>
      </c>
      <c r="D71" s="30">
        <v>12</v>
      </c>
      <c r="E71" s="30"/>
      <c r="F71" s="30">
        <v>2328200</v>
      </c>
      <c r="G71" s="30"/>
      <c r="H71" s="30">
        <f>$C71*F71</f>
        <v>9638.7479999999996</v>
      </c>
    </row>
    <row r="72" spans="1:8" x14ac:dyDescent="0.2">
      <c r="A72" s="301"/>
      <c r="B72" s="301"/>
      <c r="C72" s="305"/>
      <c r="D72" s="30">
        <f>SUM(D70:D71)</f>
        <v>24</v>
      </c>
      <c r="E72" s="30"/>
      <c r="F72" s="30">
        <f>SUM(F70:F71)</f>
        <v>2928200</v>
      </c>
      <c r="G72" s="30"/>
      <c r="H72" s="30">
        <f t="shared" ref="H72" si="18">SUM(H70:H71)</f>
        <v>12768.948</v>
      </c>
    </row>
    <row r="73" spans="1:8" x14ac:dyDescent="0.2">
      <c r="A73" s="301"/>
      <c r="B73" s="301"/>
      <c r="C73" s="305"/>
      <c r="D73" s="30"/>
      <c r="E73" s="30"/>
      <c r="F73" s="30"/>
      <c r="G73" s="30"/>
    </row>
    <row r="74" spans="1:8" x14ac:dyDescent="0.2">
      <c r="A74" s="301" t="s">
        <v>258</v>
      </c>
      <c r="B74" s="301"/>
      <c r="C74" s="308">
        <v>3.0699999999999998E-3</v>
      </c>
      <c r="D74" s="30">
        <v>12</v>
      </c>
      <c r="E74" s="30"/>
      <c r="F74" s="30">
        <v>7342660</v>
      </c>
      <c r="G74" s="30"/>
      <c r="H74" s="30">
        <f>$C74*F74</f>
        <v>22541.966199999999</v>
      </c>
    </row>
    <row r="75" spans="1:8" x14ac:dyDescent="0.2">
      <c r="A75" s="301"/>
      <c r="B75" s="301"/>
      <c r="C75" s="305"/>
      <c r="D75" s="30"/>
      <c r="E75" s="30"/>
      <c r="F75" s="30"/>
      <c r="G75" s="30"/>
    </row>
    <row r="76" spans="1:8" x14ac:dyDescent="0.2">
      <c r="A76" s="301" t="s">
        <v>29</v>
      </c>
      <c r="B76" s="301"/>
      <c r="D76" s="30">
        <f>SUM(D34,,D43,D52,D59,D66,D72,D74)</f>
        <v>101979</v>
      </c>
      <c r="E76" s="30"/>
      <c r="F76" s="30">
        <f>SUM(F34,,F43,F52,F59,F66,F72,F74)</f>
        <v>263829760</v>
      </c>
      <c r="G76" s="30"/>
      <c r="H76" s="30">
        <f t="shared" ref="H76" si="19">SUM(H34,,H43,H52,H59,H66,H72,H74)</f>
        <v>1876972.6742000002</v>
      </c>
    </row>
    <row r="77" spans="1:8" x14ac:dyDescent="0.2">
      <c r="H77" s="30">
        <v>1668484.3851999997</v>
      </c>
    </row>
  </sheetData>
  <phoneticPr fontId="32" type="noConversion"/>
  <printOptions horizontalCentered="1"/>
  <pageMargins left="0.7" right="0.6" top="1.1499999999999999" bottom="0.85" header="0.3" footer="0.3"/>
  <pageSetup scale="89" fitToHeight="2" orientation="portrait" r:id="rId1"/>
  <headerFooter>
    <oddFooter>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CEAC9-546B-4275-804A-7D8B20FBAA43}">
  <dimension ref="A3:L41"/>
  <sheetViews>
    <sheetView topLeftCell="A39" workbookViewId="0">
      <selection activeCell="A39" sqref="A1:XFD1048576"/>
    </sheetView>
  </sheetViews>
  <sheetFormatPr defaultRowHeight="15" x14ac:dyDescent="0.2"/>
  <cols>
    <col min="1" max="3" width="8.88671875" style="28"/>
    <col min="4" max="4" width="12.77734375" style="28" customWidth="1"/>
    <col min="5" max="5" width="1.77734375" style="28" customWidth="1"/>
    <col min="6" max="6" width="12.77734375" style="28" customWidth="1"/>
    <col min="7" max="7" width="1.77734375" style="28" customWidth="1"/>
    <col min="8" max="8" width="12.77734375" style="28" customWidth="1"/>
    <col min="9" max="9" width="1.77734375" style="28" customWidth="1"/>
    <col min="10" max="10" width="8.88671875" style="28"/>
    <col min="11" max="11" width="1.77734375" style="28" customWidth="1"/>
    <col min="12" max="16384" width="8.88671875" style="28"/>
  </cols>
  <sheetData>
    <row r="3" spans="1:12" x14ac:dyDescent="0.2">
      <c r="J3" s="272"/>
    </row>
    <row r="4" spans="1:12" x14ac:dyDescent="0.2">
      <c r="F4" s="344"/>
      <c r="G4" s="344"/>
      <c r="H4" s="344"/>
      <c r="I4" s="272"/>
      <c r="J4" s="272"/>
      <c r="K4" s="272"/>
      <c r="L4" s="272"/>
    </row>
    <row r="5" spans="1:12" x14ac:dyDescent="0.2">
      <c r="A5" s="273"/>
    </row>
    <row r="6" spans="1:12" x14ac:dyDescent="0.2">
      <c r="A6" s="273"/>
    </row>
    <row r="7" spans="1:12" x14ac:dyDescent="0.2">
      <c r="A7" s="273"/>
    </row>
    <row r="8" spans="1:12" x14ac:dyDescent="0.2">
      <c r="A8" s="273"/>
      <c r="D8" s="272"/>
      <c r="F8" s="272"/>
    </row>
    <row r="9" spans="1:12" x14ac:dyDescent="0.2">
      <c r="A9" s="273"/>
    </row>
    <row r="10" spans="1:12" x14ac:dyDescent="0.2">
      <c r="A10" s="273"/>
      <c r="C10" s="273"/>
    </row>
    <row r="11" spans="1:12" x14ac:dyDescent="0.2">
      <c r="A11" s="273"/>
      <c r="C11" s="273"/>
    </row>
    <row r="12" spans="1:12" x14ac:dyDescent="0.2">
      <c r="A12" s="273"/>
      <c r="C12" s="273"/>
    </row>
    <row r="13" spans="1:12" x14ac:dyDescent="0.2">
      <c r="A13" s="273"/>
      <c r="C13" s="273"/>
    </row>
    <row r="14" spans="1:12" x14ac:dyDescent="0.2">
      <c r="A14" s="273"/>
      <c r="C14" s="273"/>
    </row>
    <row r="15" spans="1:12" x14ac:dyDescent="0.2">
      <c r="A15" s="273"/>
      <c r="C15" s="273"/>
    </row>
    <row r="16" spans="1:12" x14ac:dyDescent="0.2">
      <c r="A16" s="273"/>
    </row>
    <row r="17" spans="1:1" x14ac:dyDescent="0.2">
      <c r="A17" s="273"/>
    </row>
    <row r="18" spans="1:1" x14ac:dyDescent="0.2">
      <c r="A18" s="273"/>
    </row>
    <row r="19" spans="1:1" x14ac:dyDescent="0.2">
      <c r="A19" s="273"/>
    </row>
    <row r="20" spans="1:1" x14ac:dyDescent="0.2">
      <c r="A20" s="273"/>
    </row>
    <row r="22" spans="1:1" x14ac:dyDescent="0.2">
      <c r="A22" s="273"/>
    </row>
    <row r="23" spans="1:1" x14ac:dyDescent="0.2">
      <c r="A23" s="273"/>
    </row>
    <row r="24" spans="1:1" x14ac:dyDescent="0.2">
      <c r="A24" s="273"/>
    </row>
    <row r="25" spans="1:1" x14ac:dyDescent="0.2">
      <c r="A25" s="273"/>
    </row>
    <row r="26" spans="1:1" x14ac:dyDescent="0.2">
      <c r="A26" s="273"/>
    </row>
    <row r="27" spans="1:1" x14ac:dyDescent="0.2">
      <c r="A27" s="273"/>
    </row>
    <row r="28" spans="1:1" x14ac:dyDescent="0.2">
      <c r="A28" s="273"/>
    </row>
    <row r="29" spans="1:1" x14ac:dyDescent="0.2">
      <c r="A29" s="273"/>
    </row>
    <row r="30" spans="1:1" x14ac:dyDescent="0.2">
      <c r="A30" s="273"/>
    </row>
    <row r="31" spans="1:1" x14ac:dyDescent="0.2">
      <c r="A31" s="273"/>
    </row>
    <row r="32" spans="1:1" x14ac:dyDescent="0.2">
      <c r="A32" s="273"/>
    </row>
    <row r="33" spans="1:1" x14ac:dyDescent="0.2">
      <c r="A33" s="273"/>
    </row>
    <row r="34" spans="1:1" x14ac:dyDescent="0.2">
      <c r="A34" s="273"/>
    </row>
    <row r="35" spans="1:1" x14ac:dyDescent="0.2">
      <c r="A35" s="273"/>
    </row>
    <row r="36" spans="1:1" x14ac:dyDescent="0.2">
      <c r="A36" s="273"/>
    </row>
    <row r="37" spans="1:1" x14ac:dyDescent="0.2">
      <c r="A37" s="273"/>
    </row>
    <row r="38" spans="1:1" x14ac:dyDescent="0.2">
      <c r="A38" s="273"/>
    </row>
    <row r="39" spans="1:1" x14ac:dyDescent="0.2">
      <c r="A39" s="273"/>
    </row>
    <row r="40" spans="1:1" x14ac:dyDescent="0.2">
      <c r="A40" s="273"/>
    </row>
    <row r="41" spans="1:1" x14ac:dyDescent="0.2">
      <c r="A41" s="273"/>
    </row>
  </sheetData>
  <sortState xmlns:xlrd2="http://schemas.microsoft.com/office/spreadsheetml/2017/richdata2" ref="F28:H63">
    <sortCondition ref="H28:H63"/>
  </sortState>
  <mergeCells count="1">
    <mergeCell ref="F4:H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CDBE8-0FBD-4A68-B9AC-FBBA5BC7C70C}">
  <dimension ref="A3:N72"/>
  <sheetViews>
    <sheetView topLeftCell="A4" workbookViewId="0">
      <selection activeCell="A4" sqref="A1:XFD1048576"/>
    </sheetView>
  </sheetViews>
  <sheetFormatPr defaultRowHeight="15" x14ac:dyDescent="0.2"/>
  <cols>
    <col min="1" max="1" width="5.6640625" style="12" customWidth="1"/>
    <col min="2" max="2" width="21.5546875" style="12" customWidth="1"/>
    <col min="3" max="3" width="16.21875" style="178" customWidth="1"/>
    <col min="4" max="4" width="14.77734375" style="12" customWidth="1"/>
    <col min="5" max="5" width="1.77734375" style="12" customWidth="1"/>
    <col min="6" max="6" width="14.77734375" style="12" customWidth="1"/>
    <col min="7" max="7" width="1.77734375" style="12" customWidth="1"/>
    <col min="8" max="8" width="14.77734375" style="30" customWidth="1"/>
    <col min="9" max="11" width="8.88671875" style="12"/>
    <col min="12" max="14" width="13.88671875" style="30" customWidth="1"/>
    <col min="15" max="16384" width="8.88671875" style="12"/>
  </cols>
  <sheetData>
    <row r="3" spans="1:13" x14ac:dyDescent="0.2">
      <c r="A3" s="12" t="s">
        <v>238</v>
      </c>
      <c r="D3" s="30">
        <f>D29</f>
        <v>98818</v>
      </c>
      <c r="E3" s="30"/>
      <c r="F3" s="30">
        <f>F29</f>
        <v>215314600</v>
      </c>
      <c r="G3" s="30"/>
      <c r="H3" s="30">
        <f t="shared" ref="H3" si="0">H29</f>
        <v>2112672.4589999998</v>
      </c>
    </row>
    <row r="4" spans="1:13" x14ac:dyDescent="0.2">
      <c r="A4" s="12" t="s">
        <v>90</v>
      </c>
      <c r="D4" s="30">
        <f>D38</f>
        <v>1664</v>
      </c>
      <c r="E4" s="30"/>
      <c r="F4" s="30">
        <f>F38</f>
        <v>5951200</v>
      </c>
      <c r="G4" s="30"/>
      <c r="H4" s="30">
        <f t="shared" ref="H4" si="1">H38</f>
        <v>74269.78</v>
      </c>
    </row>
    <row r="5" spans="1:13" x14ac:dyDescent="0.2">
      <c r="A5" s="12" t="s">
        <v>151</v>
      </c>
      <c r="D5" s="30">
        <f>D47</f>
        <v>297</v>
      </c>
      <c r="E5" s="30"/>
      <c r="F5" s="30">
        <f>F47</f>
        <v>3764400</v>
      </c>
      <c r="G5" s="30"/>
      <c r="H5" s="30">
        <f t="shared" ref="H5" si="2">H47</f>
        <v>26074.585999999999</v>
      </c>
    </row>
    <row r="6" spans="1:13" x14ac:dyDescent="0.2">
      <c r="A6" s="12" t="s">
        <v>225</v>
      </c>
      <c r="D6" s="30">
        <f>D54</f>
        <v>1127</v>
      </c>
      <c r="E6" s="30"/>
      <c r="F6" s="30">
        <f>F54</f>
        <v>28254200</v>
      </c>
      <c r="G6" s="30"/>
      <c r="H6" s="30">
        <f t="shared" ref="H6" si="3">H54</f>
        <v>225945.33800000002</v>
      </c>
    </row>
    <row r="7" spans="1:13" x14ac:dyDescent="0.2">
      <c r="A7" s="12" t="s">
        <v>226</v>
      </c>
      <c r="D7" s="30">
        <f>D61</f>
        <v>37</v>
      </c>
      <c r="E7" s="30"/>
      <c r="F7" s="30">
        <f>F61</f>
        <v>274500</v>
      </c>
      <c r="G7" s="30"/>
      <c r="H7" s="30">
        <f t="shared" ref="H7" si="4">H61</f>
        <v>7892.9459999999999</v>
      </c>
    </row>
    <row r="8" spans="1:13" x14ac:dyDescent="0.2">
      <c r="A8" s="12" t="s">
        <v>227</v>
      </c>
      <c r="D8" s="30">
        <f>D67</f>
        <v>24</v>
      </c>
      <c r="E8" s="30"/>
      <c r="F8" s="30">
        <f>F67</f>
        <v>2928200</v>
      </c>
      <c r="G8" s="30"/>
      <c r="H8" s="30">
        <f t="shared" ref="H8" si="5">H67</f>
        <v>16979.302</v>
      </c>
    </row>
    <row r="9" spans="1:13" x14ac:dyDescent="0.2">
      <c r="A9" s="12" t="s">
        <v>91</v>
      </c>
      <c r="D9" s="31">
        <f>D69</f>
        <v>12</v>
      </c>
      <c r="E9" s="30"/>
      <c r="F9" s="31">
        <f>F69</f>
        <v>7342660</v>
      </c>
      <c r="G9" s="30"/>
      <c r="H9" s="31">
        <f t="shared" ref="H9" si="6">H69</f>
        <v>30031.4794</v>
      </c>
    </row>
    <row r="10" spans="1:13" ht="15.75" thickBot="1" x14ac:dyDescent="0.25">
      <c r="A10" s="12" t="s">
        <v>239</v>
      </c>
      <c r="D10" s="300">
        <f>SUM(D3:D9)</f>
        <v>101979</v>
      </c>
      <c r="E10" s="30"/>
      <c r="F10" s="300">
        <f>SUM(F3:F9)</f>
        <v>263829760</v>
      </c>
      <c r="G10" s="30"/>
      <c r="H10" s="30">
        <f t="shared" ref="H10" si="7">SUM(H3:H9)</f>
        <v>2493865.8903999999</v>
      </c>
    </row>
    <row r="11" spans="1:13" ht="15.75" thickTop="1" x14ac:dyDescent="0.2">
      <c r="A11" s="12" t="s">
        <v>240</v>
      </c>
      <c r="D11" s="30"/>
      <c r="E11" s="30"/>
      <c r="F11" s="30"/>
      <c r="G11" s="30"/>
      <c r="H11" s="31"/>
    </row>
    <row r="12" spans="1:13" x14ac:dyDescent="0.2">
      <c r="A12" s="12" t="s">
        <v>241</v>
      </c>
      <c r="D12" s="30"/>
      <c r="E12" s="30"/>
      <c r="F12" s="30"/>
      <c r="G12" s="30"/>
      <c r="H12" s="30">
        <f>SUM(H10:H11)</f>
        <v>2493865.8903999999</v>
      </c>
    </row>
    <row r="13" spans="1:13" x14ac:dyDescent="0.2">
      <c r="A13" s="12" t="s">
        <v>260</v>
      </c>
      <c r="B13" s="12" t="s">
        <v>259</v>
      </c>
      <c r="H13" s="31">
        <f>-'SAO - Op Ratio'!M15</f>
        <v>-1876972.6742000002</v>
      </c>
      <c r="L13" s="30">
        <f>-H13*'Rates Comp OR'!S4</f>
        <v>828495.73839188018</v>
      </c>
      <c r="M13" s="30">
        <f>-H13+L13</f>
        <v>2705468.4125918802</v>
      </c>
    </row>
    <row r="14" spans="1:13" ht="15.75" thickBot="1" x14ac:dyDescent="0.25">
      <c r="A14" s="12" t="s">
        <v>242</v>
      </c>
      <c r="H14" s="300">
        <f>SUM(H12:H13)</f>
        <v>616893.21619999968</v>
      </c>
    </row>
    <row r="15" spans="1:13" ht="15.75" thickTop="1" x14ac:dyDescent="0.2"/>
    <row r="16" spans="1:13" x14ac:dyDescent="0.2">
      <c r="A16" s="12" t="s">
        <v>259</v>
      </c>
      <c r="H16" s="30">
        <f>H12</f>
        <v>2493865.8903999999</v>
      </c>
    </row>
    <row r="17" spans="1:14" x14ac:dyDescent="0.2">
      <c r="A17" s="12" t="s">
        <v>260</v>
      </c>
      <c r="B17" s="12" t="s">
        <v>261</v>
      </c>
      <c r="H17" s="31">
        <f>-'SAO - DSC'!M55</f>
        <v>-2488805</v>
      </c>
    </row>
    <row r="18" spans="1:14" ht="15.75" thickBot="1" x14ac:dyDescent="0.25">
      <c r="B18" s="12" t="s">
        <v>262</v>
      </c>
      <c r="H18" s="300">
        <f>SUM(H16:H17)</f>
        <v>5060.8903999999166</v>
      </c>
    </row>
    <row r="19" spans="1:14" ht="15.75" thickTop="1" x14ac:dyDescent="0.2"/>
    <row r="20" spans="1:14" x14ac:dyDescent="0.2">
      <c r="A20" s="301"/>
      <c r="B20" s="301"/>
      <c r="C20" s="302"/>
    </row>
    <row r="21" spans="1:14" x14ac:dyDescent="0.2">
      <c r="A21" s="301" t="s">
        <v>243</v>
      </c>
      <c r="B21" s="301"/>
      <c r="C21" s="302" t="s">
        <v>244</v>
      </c>
    </row>
    <row r="22" spans="1:14" x14ac:dyDescent="0.2">
      <c r="A22" s="303" t="s">
        <v>238</v>
      </c>
      <c r="B22" s="301"/>
    </row>
    <row r="24" spans="1:14" x14ac:dyDescent="0.2">
      <c r="A24" s="301" t="s">
        <v>245</v>
      </c>
      <c r="B24" s="301"/>
      <c r="C24" s="304">
        <f>'Rates Comp DSC'!L11</f>
        <v>20.509999999999998</v>
      </c>
      <c r="D24" s="30">
        <v>57228</v>
      </c>
      <c r="E24" s="30"/>
      <c r="F24" s="30">
        <v>95744200</v>
      </c>
      <c r="G24" s="30"/>
      <c r="H24" s="30">
        <f>D24*$C24</f>
        <v>1173746.2799999998</v>
      </c>
      <c r="L24" s="30">
        <f>-ExBA!H29</f>
        <v>-884172.6</v>
      </c>
      <c r="M24" s="30">
        <f>SUM(H24,L24)</f>
        <v>289573.67999999982</v>
      </c>
      <c r="N24" s="309">
        <f>M24/(-L24)</f>
        <v>0.32750809061488656</v>
      </c>
    </row>
    <row r="25" spans="1:14" x14ac:dyDescent="0.2">
      <c r="A25" s="301" t="s">
        <v>246</v>
      </c>
      <c r="B25" s="301"/>
      <c r="C25" s="305">
        <f>'Rates Comp DSC'!L12</f>
        <v>8.0199999999999994E-3</v>
      </c>
      <c r="D25" s="30">
        <v>38227</v>
      </c>
      <c r="E25" s="30"/>
      <c r="F25" s="30">
        <v>102411700</v>
      </c>
      <c r="G25" s="30"/>
      <c r="H25" s="30">
        <f>$C25*F25</f>
        <v>821341.83399999992</v>
      </c>
    </row>
    <row r="26" spans="1:14" x14ac:dyDescent="0.2">
      <c r="A26" s="301" t="s">
        <v>247</v>
      </c>
      <c r="B26" s="301"/>
      <c r="C26" s="305">
        <f>'Rates Comp DSC'!L13</f>
        <v>7.1800000000000006E-3</v>
      </c>
      <c r="D26" s="30">
        <v>2807</v>
      </c>
      <c r="E26" s="30"/>
      <c r="F26" s="30">
        <v>11502800</v>
      </c>
      <c r="G26" s="30"/>
      <c r="H26" s="30">
        <f t="shared" ref="H26:H28" si="8">$C26*F26</f>
        <v>82590.104000000007</v>
      </c>
    </row>
    <row r="27" spans="1:14" x14ac:dyDescent="0.2">
      <c r="A27" s="301" t="s">
        <v>248</v>
      </c>
      <c r="B27" s="301"/>
      <c r="C27" s="305">
        <f>'Rates Comp DSC'!L14</f>
        <v>6.3499999999999997E-3</v>
      </c>
      <c r="D27" s="30">
        <v>510</v>
      </c>
      <c r="E27" s="30"/>
      <c r="F27" s="30">
        <v>4559800</v>
      </c>
      <c r="G27" s="30"/>
      <c r="H27" s="30">
        <f t="shared" si="8"/>
        <v>28954.73</v>
      </c>
    </row>
    <row r="28" spans="1:14" x14ac:dyDescent="0.2">
      <c r="A28" s="301" t="s">
        <v>249</v>
      </c>
      <c r="B28" s="301"/>
      <c r="C28" s="305">
        <f>'Rates Comp DSC'!L15</f>
        <v>5.5100000000000001E-3</v>
      </c>
      <c r="D28" s="30">
        <v>46</v>
      </c>
      <c r="E28" s="30"/>
      <c r="F28" s="30">
        <v>1096100</v>
      </c>
      <c r="G28" s="30"/>
      <c r="H28" s="30">
        <f t="shared" si="8"/>
        <v>6039.5110000000004</v>
      </c>
    </row>
    <row r="29" spans="1:14" x14ac:dyDescent="0.2">
      <c r="A29" s="301"/>
      <c r="B29" s="301"/>
      <c r="C29" s="305"/>
      <c r="D29" s="30">
        <f>SUM(D24:D28)</f>
        <v>98818</v>
      </c>
      <c r="E29" s="30"/>
      <c r="F29" s="30">
        <f>SUM(F24:F28)</f>
        <v>215314600</v>
      </c>
      <c r="G29" s="30"/>
      <c r="H29" s="30">
        <f t="shared" ref="H29" si="9">SUM(H24:H28)</f>
        <v>2112672.4589999998</v>
      </c>
    </row>
    <row r="30" spans="1:14" x14ac:dyDescent="0.2">
      <c r="A30" s="301"/>
      <c r="B30" s="301"/>
      <c r="C30" s="305"/>
      <c r="D30" s="30"/>
      <c r="E30" s="30"/>
      <c r="F30" s="30"/>
      <c r="G30" s="30"/>
    </row>
    <row r="31" spans="1:14" x14ac:dyDescent="0.2">
      <c r="A31" s="303" t="s">
        <v>90</v>
      </c>
      <c r="B31" s="301"/>
      <c r="C31" s="305"/>
      <c r="D31" s="30"/>
      <c r="E31" s="30"/>
      <c r="F31" s="30"/>
      <c r="G31" s="30"/>
    </row>
    <row r="32" spans="1:14" x14ac:dyDescent="0.2">
      <c r="A32" s="301"/>
      <c r="B32" s="301"/>
      <c r="C32" s="305"/>
      <c r="D32" s="30"/>
      <c r="E32" s="30"/>
      <c r="F32" s="30"/>
      <c r="G32" s="30"/>
    </row>
    <row r="33" spans="1:8" x14ac:dyDescent="0.2">
      <c r="A33" s="301" t="s">
        <v>250</v>
      </c>
      <c r="B33" s="301"/>
      <c r="C33" s="304">
        <f>'Rates Comp DSC'!L18</f>
        <v>44.480000000000004</v>
      </c>
      <c r="D33" s="30">
        <v>1212</v>
      </c>
      <c r="E33" s="30"/>
      <c r="F33" s="30">
        <v>3033400</v>
      </c>
      <c r="G33" s="30"/>
      <c r="H33" s="30">
        <f>D33*$C33</f>
        <v>53909.760000000002</v>
      </c>
    </row>
    <row r="34" spans="1:8" x14ac:dyDescent="0.2">
      <c r="A34" s="301" t="s">
        <v>251</v>
      </c>
      <c r="B34" s="301"/>
      <c r="C34" s="305">
        <f>C25</f>
        <v>8.0199999999999994E-3</v>
      </c>
      <c r="D34" s="30">
        <v>267</v>
      </c>
      <c r="E34" s="30"/>
      <c r="F34" s="30">
        <v>870400</v>
      </c>
      <c r="G34" s="30"/>
      <c r="H34" s="30">
        <f>$C34*F34</f>
        <v>6980.6079999999993</v>
      </c>
    </row>
    <row r="35" spans="1:8" x14ac:dyDescent="0.2">
      <c r="A35" s="301" t="s">
        <v>247</v>
      </c>
      <c r="B35" s="301"/>
      <c r="C35" s="305">
        <f t="shared" ref="C35:C37" si="10">C26</f>
        <v>7.1800000000000006E-3</v>
      </c>
      <c r="D35" s="30">
        <v>108</v>
      </c>
      <c r="E35" s="30"/>
      <c r="F35" s="30">
        <v>806200</v>
      </c>
      <c r="G35" s="30"/>
      <c r="H35" s="30">
        <f t="shared" ref="H35:H37" si="11">$C35*F35</f>
        <v>5788.5160000000005</v>
      </c>
    </row>
    <row r="36" spans="1:8" x14ac:dyDescent="0.2">
      <c r="A36" s="301" t="s">
        <v>248</v>
      </c>
      <c r="B36" s="301"/>
      <c r="C36" s="305">
        <f t="shared" si="10"/>
        <v>6.3499999999999997E-3</v>
      </c>
      <c r="D36" s="30">
        <v>59</v>
      </c>
      <c r="E36" s="30"/>
      <c r="F36" s="30">
        <v>895100</v>
      </c>
      <c r="G36" s="30"/>
      <c r="H36" s="30">
        <f t="shared" si="11"/>
        <v>5683.8850000000002</v>
      </c>
    </row>
    <row r="37" spans="1:8" x14ac:dyDescent="0.2">
      <c r="A37" s="301" t="s">
        <v>249</v>
      </c>
      <c r="B37" s="301"/>
      <c r="C37" s="305">
        <f t="shared" si="10"/>
        <v>5.5100000000000001E-3</v>
      </c>
      <c r="D37" s="30">
        <v>18</v>
      </c>
      <c r="E37" s="30"/>
      <c r="F37" s="30">
        <v>346100</v>
      </c>
      <c r="G37" s="30"/>
      <c r="H37" s="30">
        <f t="shared" si="11"/>
        <v>1907.011</v>
      </c>
    </row>
    <row r="38" spans="1:8" x14ac:dyDescent="0.2">
      <c r="A38" s="301"/>
      <c r="B38" s="301"/>
      <c r="C38" s="305"/>
      <c r="D38" s="30">
        <f>SUM(D33:D37)</f>
        <v>1664</v>
      </c>
      <c r="E38" s="30"/>
      <c r="F38" s="30">
        <f>SUM(F33:F37)</f>
        <v>5951200</v>
      </c>
      <c r="G38" s="30"/>
      <c r="H38" s="30">
        <f t="shared" ref="H38" si="12">SUM(H33:H37)</f>
        <v>74269.78</v>
      </c>
    </row>
    <row r="39" spans="1:8" x14ac:dyDescent="0.2">
      <c r="A39" s="301"/>
      <c r="B39" s="301"/>
      <c r="C39" s="305"/>
      <c r="D39" s="30"/>
      <c r="E39" s="30"/>
      <c r="F39" s="30"/>
      <c r="G39" s="30"/>
    </row>
    <row r="40" spans="1:8" x14ac:dyDescent="0.2">
      <c r="A40" s="303" t="s">
        <v>151</v>
      </c>
      <c r="B40" s="301"/>
      <c r="C40" s="305"/>
      <c r="D40" s="30"/>
      <c r="E40" s="30"/>
      <c r="F40" s="30"/>
      <c r="G40" s="30"/>
    </row>
    <row r="41" spans="1:8" x14ac:dyDescent="0.2">
      <c r="A41" s="301"/>
      <c r="B41" s="301"/>
      <c r="C41" s="305"/>
      <c r="D41" s="30"/>
      <c r="E41" s="30"/>
      <c r="F41" s="30"/>
      <c r="G41" s="30"/>
    </row>
    <row r="42" spans="1:8" x14ac:dyDescent="0.2">
      <c r="A42" s="301" t="s">
        <v>252</v>
      </c>
      <c r="B42" s="301"/>
      <c r="C42" s="304">
        <f>'Rates Comp DSC'!L25</f>
        <v>64.489999999999995</v>
      </c>
      <c r="D42" s="30">
        <v>96</v>
      </c>
      <c r="E42" s="30"/>
      <c r="F42" s="30">
        <v>536500</v>
      </c>
      <c r="G42" s="30"/>
      <c r="H42" s="30">
        <f>D42*$C42</f>
        <v>6191.0399999999991</v>
      </c>
    </row>
    <row r="43" spans="1:8" x14ac:dyDescent="0.2">
      <c r="A43" s="301" t="s">
        <v>253</v>
      </c>
      <c r="B43" s="301"/>
      <c r="C43" s="305">
        <f>C34</f>
        <v>8.0199999999999994E-3</v>
      </c>
      <c r="D43" s="30">
        <v>67</v>
      </c>
      <c r="E43" s="30"/>
      <c r="F43" s="30">
        <v>163000</v>
      </c>
      <c r="G43" s="30"/>
      <c r="H43" s="30">
        <f>$C43*F43</f>
        <v>1307.26</v>
      </c>
    </row>
    <row r="44" spans="1:8" x14ac:dyDescent="0.2">
      <c r="A44" s="301" t="s">
        <v>247</v>
      </c>
      <c r="B44" s="301"/>
      <c r="C44" s="305">
        <f t="shared" ref="C44:C46" si="13">C35</f>
        <v>7.1800000000000006E-3</v>
      </c>
      <c r="D44" s="30">
        <v>61</v>
      </c>
      <c r="E44" s="30"/>
      <c r="F44" s="30">
        <v>500500</v>
      </c>
      <c r="G44" s="30"/>
      <c r="H44" s="30">
        <f t="shared" ref="H44:H46" si="14">$C44*F44</f>
        <v>3593.59</v>
      </c>
    </row>
    <row r="45" spans="1:8" x14ac:dyDescent="0.2">
      <c r="A45" s="301" t="s">
        <v>248</v>
      </c>
      <c r="B45" s="301"/>
      <c r="C45" s="305">
        <f t="shared" si="13"/>
        <v>6.3499999999999997E-3</v>
      </c>
      <c r="D45" s="30">
        <v>44</v>
      </c>
      <c r="E45" s="30"/>
      <c r="F45" s="30">
        <v>1015300</v>
      </c>
      <c r="G45" s="30"/>
      <c r="H45" s="30">
        <f t="shared" si="14"/>
        <v>6447.1549999999997</v>
      </c>
    </row>
    <row r="46" spans="1:8" x14ac:dyDescent="0.2">
      <c r="A46" s="301" t="s">
        <v>249</v>
      </c>
      <c r="B46" s="301"/>
      <c r="C46" s="305">
        <f t="shared" si="13"/>
        <v>5.5100000000000001E-3</v>
      </c>
      <c r="D46" s="30">
        <v>29</v>
      </c>
      <c r="E46" s="30"/>
      <c r="F46" s="30">
        <v>1549100</v>
      </c>
      <c r="G46" s="30"/>
      <c r="H46" s="30">
        <f t="shared" si="14"/>
        <v>8535.5410000000011</v>
      </c>
    </row>
    <row r="47" spans="1:8" x14ac:dyDescent="0.2">
      <c r="A47" s="301"/>
      <c r="B47" s="301"/>
      <c r="C47" s="305"/>
      <c r="D47" s="30">
        <f>SUM(D42:D46)</f>
        <v>297</v>
      </c>
      <c r="E47" s="30"/>
      <c r="F47" s="30">
        <f>SUM(F42:F46)</f>
        <v>3764400</v>
      </c>
      <c r="G47" s="30"/>
      <c r="H47" s="30">
        <f t="shared" ref="H47" si="15">SUM(H42:H46)</f>
        <v>26074.585999999999</v>
      </c>
    </row>
    <row r="48" spans="1:8" x14ac:dyDescent="0.2">
      <c r="A48" s="301"/>
      <c r="B48" s="301"/>
      <c r="C48" s="305"/>
      <c r="D48" s="30"/>
      <c r="E48" s="30"/>
      <c r="F48" s="30"/>
      <c r="G48" s="30"/>
    </row>
    <row r="49" spans="1:8" x14ac:dyDescent="0.2">
      <c r="A49" s="303" t="s">
        <v>225</v>
      </c>
      <c r="B49" s="301"/>
      <c r="C49" s="305"/>
      <c r="D49" s="30"/>
      <c r="E49" s="30"/>
      <c r="F49" s="30"/>
      <c r="G49" s="30"/>
    </row>
    <row r="50" spans="1:8" x14ac:dyDescent="0.2">
      <c r="A50" s="301"/>
      <c r="B50" s="301"/>
      <c r="C50" s="305"/>
      <c r="D50" s="30"/>
      <c r="E50" s="30"/>
      <c r="F50" s="30"/>
      <c r="G50" s="30"/>
    </row>
    <row r="51" spans="1:8" x14ac:dyDescent="0.2">
      <c r="A51" s="301" t="s">
        <v>254</v>
      </c>
      <c r="B51" s="301"/>
      <c r="C51" s="306">
        <f>'Rates Comp DSC'!L32</f>
        <v>156.06000000000003</v>
      </c>
      <c r="D51" s="30">
        <v>683</v>
      </c>
      <c r="E51" s="30"/>
      <c r="F51" s="30">
        <v>7586800</v>
      </c>
      <c r="G51" s="30"/>
      <c r="H51" s="30">
        <f>D51*$C51</f>
        <v>106588.98000000003</v>
      </c>
    </row>
    <row r="52" spans="1:8" x14ac:dyDescent="0.2">
      <c r="A52" s="301" t="s">
        <v>248</v>
      </c>
      <c r="B52" s="301"/>
      <c r="C52" s="305">
        <f>C45</f>
        <v>6.3499999999999997E-3</v>
      </c>
      <c r="D52" s="30">
        <v>268</v>
      </c>
      <c r="E52" s="30"/>
      <c r="F52" s="30">
        <v>6522600</v>
      </c>
      <c r="G52" s="30"/>
      <c r="H52" s="30">
        <f>$C52*F52</f>
        <v>41418.509999999995</v>
      </c>
    </row>
    <row r="53" spans="1:8" x14ac:dyDescent="0.2">
      <c r="A53" s="301" t="s">
        <v>249</v>
      </c>
      <c r="B53" s="301"/>
      <c r="C53" s="305">
        <f>C46</f>
        <v>5.5100000000000001E-3</v>
      </c>
      <c r="D53" s="30">
        <v>176</v>
      </c>
      <c r="E53" s="30"/>
      <c r="F53" s="30">
        <v>14144800</v>
      </c>
      <c r="G53" s="30"/>
      <c r="H53" s="30">
        <f t="shared" ref="H53" si="16">$C53*F53</f>
        <v>77937.847999999998</v>
      </c>
    </row>
    <row r="54" spans="1:8" x14ac:dyDescent="0.2">
      <c r="D54" s="30">
        <f>SUM(D51:D53)</f>
        <v>1127</v>
      </c>
      <c r="E54" s="30"/>
      <c r="F54" s="30">
        <f>SUM(F51:F53)</f>
        <v>28254200</v>
      </c>
      <c r="G54" s="30"/>
      <c r="H54" s="30">
        <f t="shared" ref="H54" si="17">SUM(H51:H53)</f>
        <v>225945.33800000002</v>
      </c>
    </row>
    <row r="55" spans="1:8" x14ac:dyDescent="0.2">
      <c r="D55" s="30"/>
      <c r="E55" s="30"/>
      <c r="F55" s="30"/>
      <c r="G55" s="30"/>
    </row>
    <row r="56" spans="1:8" x14ac:dyDescent="0.2">
      <c r="A56" s="307" t="s">
        <v>226</v>
      </c>
      <c r="B56" s="307"/>
      <c r="D56" s="30"/>
      <c r="E56" s="30"/>
      <c r="F56" s="30"/>
      <c r="G56" s="30"/>
    </row>
    <row r="57" spans="1:8" x14ac:dyDescent="0.2">
      <c r="D57" s="30"/>
      <c r="E57" s="30"/>
      <c r="F57" s="30"/>
      <c r="G57" s="30"/>
    </row>
    <row r="58" spans="1:8" x14ac:dyDescent="0.2">
      <c r="A58" s="301" t="s">
        <v>255</v>
      </c>
      <c r="B58" s="301"/>
      <c r="C58" s="304">
        <f>'Rates Comp DSC'!L37</f>
        <v>219.58</v>
      </c>
      <c r="D58" s="30">
        <v>33</v>
      </c>
      <c r="E58" s="30"/>
      <c r="F58" s="30">
        <v>163500</v>
      </c>
      <c r="G58" s="30"/>
      <c r="H58" s="30">
        <f>D58*$C58</f>
        <v>7246.14</v>
      </c>
    </row>
    <row r="59" spans="1:8" x14ac:dyDescent="0.2">
      <c r="A59" s="301" t="s">
        <v>256</v>
      </c>
      <c r="B59" s="301"/>
      <c r="C59" s="305">
        <f>C52</f>
        <v>6.3499999999999997E-3</v>
      </c>
      <c r="D59" s="30">
        <v>3</v>
      </c>
      <c r="E59" s="30"/>
      <c r="F59" s="30">
        <v>41900</v>
      </c>
      <c r="G59" s="30"/>
      <c r="H59" s="30">
        <f>$C59*F59</f>
        <v>266.065</v>
      </c>
    </row>
    <row r="60" spans="1:8" x14ac:dyDescent="0.2">
      <c r="A60" s="301" t="s">
        <v>249</v>
      </c>
      <c r="B60" s="301"/>
      <c r="C60" s="305">
        <f>C53</f>
        <v>5.5100000000000001E-3</v>
      </c>
      <c r="D60" s="30">
        <v>1</v>
      </c>
      <c r="E60" s="30"/>
      <c r="F60" s="30">
        <v>69100</v>
      </c>
      <c r="G60" s="30"/>
      <c r="H60" s="30">
        <f t="shared" ref="H60" si="18">$C60*F60</f>
        <v>380.74099999999999</v>
      </c>
    </row>
    <row r="61" spans="1:8" x14ac:dyDescent="0.2">
      <c r="D61" s="30">
        <f>SUM(D58:D60)</f>
        <v>37</v>
      </c>
      <c r="E61" s="30"/>
      <c r="F61" s="30">
        <f>SUM(F58:F60)</f>
        <v>274500</v>
      </c>
      <c r="G61" s="30"/>
      <c r="H61" s="30">
        <f t="shared" ref="H61" si="19">SUM(H58:H60)</f>
        <v>7892.9459999999999</v>
      </c>
    </row>
    <row r="62" spans="1:8" x14ac:dyDescent="0.2">
      <c r="D62" s="30"/>
      <c r="E62" s="30"/>
      <c r="F62" s="30"/>
      <c r="G62" s="30"/>
    </row>
    <row r="63" spans="1:8" x14ac:dyDescent="0.2">
      <c r="A63" s="307" t="s">
        <v>227</v>
      </c>
      <c r="B63" s="307"/>
      <c r="D63" s="30"/>
      <c r="E63" s="30"/>
      <c r="F63" s="30"/>
      <c r="G63" s="30"/>
    </row>
    <row r="64" spans="1:8" x14ac:dyDescent="0.2">
      <c r="D64" s="30"/>
      <c r="E64" s="30"/>
      <c r="F64" s="30"/>
      <c r="G64" s="30"/>
    </row>
    <row r="65" spans="1:8" x14ac:dyDescent="0.2">
      <c r="A65" s="301" t="s">
        <v>257</v>
      </c>
      <c r="B65" s="301"/>
      <c r="C65" s="304">
        <f>'Rates Comp DSC'!L42</f>
        <v>345.91</v>
      </c>
      <c r="D65" s="30">
        <v>12</v>
      </c>
      <c r="E65" s="30"/>
      <c r="F65" s="30">
        <v>600000</v>
      </c>
      <c r="G65" s="30"/>
      <c r="H65" s="30">
        <f>D65*$C65</f>
        <v>4150.92</v>
      </c>
    </row>
    <row r="66" spans="1:8" x14ac:dyDescent="0.2">
      <c r="A66" s="301" t="s">
        <v>249</v>
      </c>
      <c r="B66" s="301"/>
      <c r="C66" s="305">
        <f>C60</f>
        <v>5.5100000000000001E-3</v>
      </c>
      <c r="D66" s="30">
        <v>12</v>
      </c>
      <c r="E66" s="30"/>
      <c r="F66" s="30">
        <v>2328200</v>
      </c>
      <c r="G66" s="30"/>
      <c r="H66" s="30">
        <f>$C66*F66</f>
        <v>12828.382</v>
      </c>
    </row>
    <row r="67" spans="1:8" x14ac:dyDescent="0.2">
      <c r="A67" s="301"/>
      <c r="B67" s="301"/>
      <c r="C67" s="305"/>
      <c r="D67" s="30">
        <f>SUM(D65:D66)</f>
        <v>24</v>
      </c>
      <c r="E67" s="30"/>
      <c r="F67" s="30">
        <f>SUM(F65:F66)</f>
        <v>2928200</v>
      </c>
      <c r="G67" s="30"/>
      <c r="H67" s="30">
        <f t="shared" ref="H67" si="20">SUM(H65:H66)</f>
        <v>16979.302</v>
      </c>
    </row>
    <row r="68" spans="1:8" x14ac:dyDescent="0.2">
      <c r="A68" s="301"/>
      <c r="B68" s="301"/>
      <c r="C68" s="305"/>
      <c r="D68" s="30"/>
      <c r="E68" s="30"/>
      <c r="F68" s="30"/>
      <c r="G68" s="30"/>
    </row>
    <row r="69" spans="1:8" x14ac:dyDescent="0.2">
      <c r="A69" s="301" t="s">
        <v>258</v>
      </c>
      <c r="B69" s="301"/>
      <c r="C69" s="308">
        <f>'Rates Comp DSC'!L45</f>
        <v>4.0899999999999999E-3</v>
      </c>
      <c r="D69" s="30">
        <v>12</v>
      </c>
      <c r="E69" s="30"/>
      <c r="F69" s="30">
        <v>7342660</v>
      </c>
      <c r="G69" s="30"/>
      <c r="H69" s="30">
        <f>$C69*F69</f>
        <v>30031.4794</v>
      </c>
    </row>
    <row r="70" spans="1:8" x14ac:dyDescent="0.2">
      <c r="A70" s="301"/>
      <c r="B70" s="301"/>
      <c r="C70" s="305"/>
      <c r="D70" s="30"/>
      <c r="E70" s="30"/>
      <c r="F70" s="30"/>
      <c r="G70" s="30"/>
    </row>
    <row r="71" spans="1:8" x14ac:dyDescent="0.2">
      <c r="A71" s="301" t="s">
        <v>29</v>
      </c>
      <c r="B71" s="301"/>
      <c r="D71" s="30">
        <f>SUM(D29,,D38,D47,D54,D61,D67,D69)</f>
        <v>101979</v>
      </c>
      <c r="E71" s="30"/>
      <c r="F71" s="30">
        <f>SUM(F29,,F38,F47,F54,F61,F67,F69)</f>
        <v>263829760</v>
      </c>
      <c r="G71" s="30"/>
      <c r="H71" s="30">
        <f t="shared" ref="H71" si="21">SUM(H29,,H38,H47,H54,H61,H67,H69)</f>
        <v>2493865.8903999999</v>
      </c>
    </row>
    <row r="72" spans="1:8" x14ac:dyDescent="0.2">
      <c r="H72" s="30">
        <v>1668484.3851999997</v>
      </c>
    </row>
  </sheetData>
  <pageMargins left="0.7" right="0.7" top="0.75" bottom="0.75" header="0.3" footer="0.3"/>
  <ignoredErrors>
    <ignoredError sqref="H1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376BF-16C7-433E-9544-074F54E9BB26}">
  <dimension ref="B5:IZ70"/>
  <sheetViews>
    <sheetView showGridLines="0" topLeftCell="A22" zoomScale="148" zoomScaleNormal="148" workbookViewId="0">
      <selection activeCell="I27" sqref="I27"/>
    </sheetView>
  </sheetViews>
  <sheetFormatPr defaultColWidth="8.88671875" defaultRowHeight="15" x14ac:dyDescent="0.2"/>
  <cols>
    <col min="1" max="1" width="3.5546875" style="12" customWidth="1"/>
    <col min="2" max="2" width="1.77734375" style="12" customWidth="1"/>
    <col min="3" max="3" width="3.6640625" style="54" customWidth="1"/>
    <col min="4" max="5" width="2.6640625" style="54" customWidth="1"/>
    <col min="6" max="6" width="32.77734375" style="54" customWidth="1"/>
    <col min="7" max="7" width="14.77734375" style="54" customWidth="1"/>
    <col min="8" max="8" width="1.77734375" style="54" customWidth="1"/>
    <col min="9" max="9" width="14.77734375" style="54" customWidth="1"/>
    <col min="10" max="10" width="1.77734375" style="54" customWidth="1"/>
    <col min="11" max="11" width="4.88671875" style="50" customWidth="1"/>
    <col min="12" max="12" width="1.77734375" style="50" customWidth="1"/>
    <col min="13" max="13" width="14.77734375" style="54" customWidth="1"/>
    <col min="14" max="14" width="1.5546875" style="54" customWidth="1"/>
    <col min="15" max="15" width="5" style="315" customWidth="1"/>
    <col min="16" max="16" width="9.6640625" style="71" customWidth="1"/>
    <col min="17" max="17" width="9.6640625" style="217" customWidth="1"/>
    <col min="18" max="18" width="18" style="54" customWidth="1"/>
    <col min="19" max="19" width="8.21875" style="54" customWidth="1"/>
    <col min="20" max="260" width="9.6640625" style="54" customWidth="1"/>
    <col min="261" max="262" width="9.6640625" style="12" customWidth="1"/>
    <col min="263" max="16384" width="8.88671875" style="12"/>
  </cols>
  <sheetData>
    <row r="5" spans="2:24" ht="6.95" customHeight="1" x14ac:dyDescent="0.2">
      <c r="B5" s="33"/>
      <c r="C5" s="51"/>
      <c r="D5" s="51"/>
      <c r="E5" s="51"/>
      <c r="F5" s="51"/>
      <c r="G5" s="51"/>
      <c r="H5" s="51"/>
      <c r="I5" s="51"/>
      <c r="J5" s="51"/>
      <c r="K5" s="52"/>
      <c r="L5" s="52"/>
      <c r="M5" s="51"/>
      <c r="N5" s="53"/>
    </row>
    <row r="6" spans="2:24" ht="15.75" x14ac:dyDescent="0.2">
      <c r="B6" s="34"/>
      <c r="C6" s="323" t="s">
        <v>16</v>
      </c>
      <c r="D6" s="323"/>
      <c r="E6" s="323"/>
      <c r="F6" s="323"/>
      <c r="G6" s="323"/>
      <c r="H6" s="323"/>
      <c r="I6" s="323"/>
      <c r="J6" s="323"/>
      <c r="K6" s="323"/>
      <c r="L6" s="323"/>
      <c r="M6" s="323"/>
      <c r="N6" s="57"/>
      <c r="O6" s="310"/>
      <c r="Q6" s="218"/>
      <c r="R6" s="58"/>
      <c r="S6" s="58"/>
      <c r="T6" s="58"/>
      <c r="U6" s="58"/>
    </row>
    <row r="7" spans="2:24" ht="18.75" customHeight="1" x14ac:dyDescent="0.2">
      <c r="B7" s="34"/>
      <c r="C7" s="323" t="str">
        <f>'SAO - DSC'!F1</f>
        <v>Graves County Water District</v>
      </c>
      <c r="D7" s="323"/>
      <c r="E7" s="323"/>
      <c r="F7" s="323"/>
      <c r="G7" s="323"/>
      <c r="H7" s="323"/>
      <c r="I7" s="323"/>
      <c r="J7" s="323"/>
      <c r="K7" s="323"/>
      <c r="L7" s="323"/>
      <c r="M7" s="323"/>
      <c r="N7" s="60"/>
      <c r="O7" s="311"/>
      <c r="Q7" s="218"/>
      <c r="R7" s="56"/>
      <c r="S7" s="56"/>
      <c r="T7" s="56"/>
      <c r="U7" s="56"/>
      <c r="V7" s="56"/>
      <c r="W7" s="56"/>
      <c r="X7" s="56"/>
    </row>
    <row r="8" spans="2:24" ht="6.95" customHeight="1" x14ac:dyDescent="0.2">
      <c r="B8" s="35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2"/>
      <c r="O8" s="311"/>
      <c r="Q8" s="218"/>
      <c r="R8" s="56"/>
      <c r="S8" s="56"/>
      <c r="T8" s="56"/>
      <c r="U8" s="56"/>
      <c r="V8" s="56"/>
      <c r="W8" s="56"/>
      <c r="X8" s="56"/>
    </row>
    <row r="9" spans="2:24" ht="6.95" customHeight="1" x14ac:dyDescent="0.2">
      <c r="B9" s="34"/>
      <c r="C9" s="58"/>
      <c r="D9" s="58"/>
      <c r="E9" s="58"/>
      <c r="F9" s="58"/>
      <c r="G9" s="63"/>
      <c r="H9" s="63"/>
      <c r="I9" s="63"/>
      <c r="J9" s="63"/>
      <c r="K9" s="63"/>
      <c r="L9" s="63"/>
      <c r="M9" s="63"/>
      <c r="N9" s="64"/>
      <c r="O9" s="310"/>
      <c r="Q9" s="218"/>
      <c r="R9" s="58"/>
      <c r="S9" s="58"/>
      <c r="T9" s="58"/>
      <c r="U9" s="58"/>
    </row>
    <row r="10" spans="2:24" ht="15.75" x14ac:dyDescent="0.2">
      <c r="B10" s="34"/>
      <c r="C10" s="58"/>
      <c r="D10" s="58"/>
      <c r="E10" s="58"/>
      <c r="F10" s="58"/>
      <c r="G10" s="61" t="s">
        <v>36</v>
      </c>
      <c r="H10" s="63"/>
      <c r="I10" s="61" t="s">
        <v>15</v>
      </c>
      <c r="J10" s="63"/>
      <c r="K10" s="61" t="s">
        <v>27</v>
      </c>
      <c r="L10" s="63"/>
      <c r="M10" s="61" t="s">
        <v>35</v>
      </c>
      <c r="N10" s="64"/>
      <c r="O10" s="316"/>
      <c r="Q10" s="218"/>
      <c r="R10" s="218"/>
      <c r="S10" s="58"/>
      <c r="T10" s="58"/>
      <c r="U10" s="58"/>
    </row>
    <row r="11" spans="2:24" x14ac:dyDescent="0.2">
      <c r="B11" s="34"/>
      <c r="C11" s="65" t="s">
        <v>2</v>
      </c>
      <c r="D11" s="58"/>
      <c r="E11" s="58"/>
      <c r="F11" s="58"/>
      <c r="G11" s="58"/>
      <c r="H11" s="58"/>
      <c r="I11" s="58"/>
      <c r="J11" s="58"/>
      <c r="K11" s="66"/>
      <c r="L11" s="66"/>
      <c r="M11" s="58"/>
      <c r="N11" s="67"/>
      <c r="O11" s="316"/>
      <c r="Q11" s="218"/>
      <c r="R11" s="218"/>
      <c r="S11" s="58"/>
      <c r="T11" s="58"/>
      <c r="U11" s="58"/>
    </row>
    <row r="12" spans="2:24" x14ac:dyDescent="0.2">
      <c r="B12" s="34"/>
      <c r="C12" s="58"/>
      <c r="D12" s="58" t="s">
        <v>168</v>
      </c>
      <c r="E12" s="58"/>
      <c r="F12" s="58"/>
      <c r="G12" s="125">
        <f>'SAO - DSC'!G12</f>
        <v>2171725</v>
      </c>
      <c r="H12" s="68"/>
      <c r="I12" s="125">
        <f>'SAO - DSC'!I12</f>
        <v>-284700</v>
      </c>
      <c r="J12" s="68"/>
      <c r="K12" s="69" t="s">
        <v>234</v>
      </c>
      <c r="L12" s="69"/>
      <c r="M12" s="125"/>
      <c r="N12" s="70"/>
      <c r="O12" s="314" t="s">
        <v>268</v>
      </c>
      <c r="P12" s="173" t="s">
        <v>267</v>
      </c>
      <c r="Q12" s="218"/>
      <c r="R12" s="218"/>
      <c r="S12" s="58"/>
      <c r="T12" s="58"/>
      <c r="U12" s="58"/>
    </row>
    <row r="13" spans="2:24" x14ac:dyDescent="0.2">
      <c r="B13" s="34"/>
      <c r="C13" s="58"/>
      <c r="D13" s="58"/>
      <c r="E13" s="58"/>
      <c r="F13" s="58"/>
      <c r="G13" s="125"/>
      <c r="H13" s="68"/>
      <c r="I13" s="74">
        <f>'SAO - DSC'!I13</f>
        <v>-7225</v>
      </c>
      <c r="J13" s="68"/>
      <c r="K13" s="69" t="s">
        <v>235</v>
      </c>
      <c r="L13" s="69"/>
      <c r="M13" s="125"/>
      <c r="N13" s="70"/>
      <c r="O13" s="314" t="s">
        <v>269</v>
      </c>
      <c r="P13" s="71" t="s">
        <v>270</v>
      </c>
      <c r="Q13" s="218"/>
      <c r="R13" s="218"/>
      <c r="S13" s="58"/>
      <c r="T13" s="58"/>
      <c r="U13" s="58"/>
    </row>
    <row r="14" spans="2:24" x14ac:dyDescent="0.2">
      <c r="B14" s="34"/>
      <c r="C14" s="58"/>
      <c r="D14" s="58"/>
      <c r="E14" s="58"/>
      <c r="F14" s="58"/>
      <c r="G14" s="125"/>
      <c r="H14" s="68"/>
      <c r="I14" s="30">
        <f>'SAO - DSC'!I14</f>
        <v>-2729</v>
      </c>
      <c r="J14" s="68"/>
      <c r="K14" s="69" t="s">
        <v>236</v>
      </c>
      <c r="L14" s="69"/>
      <c r="M14" s="125"/>
      <c r="N14" s="70"/>
      <c r="O14" s="314" t="s">
        <v>236</v>
      </c>
      <c r="P14" s="71" t="s">
        <v>167</v>
      </c>
      <c r="Q14" s="218"/>
      <c r="R14" s="218"/>
      <c r="S14" s="58"/>
      <c r="T14" s="58"/>
      <c r="U14" s="58"/>
    </row>
    <row r="15" spans="2:24" x14ac:dyDescent="0.2">
      <c r="B15" s="34"/>
      <c r="C15" s="58"/>
      <c r="D15" s="58"/>
      <c r="E15" s="58"/>
      <c r="F15" s="58"/>
      <c r="G15" s="125"/>
      <c r="H15" s="68"/>
      <c r="I15" s="74">
        <f>'SAO - DSC'!I15</f>
        <v>-98.325799999758601</v>
      </c>
      <c r="J15" s="68"/>
      <c r="K15" s="69" t="s">
        <v>237</v>
      </c>
      <c r="L15" s="69"/>
      <c r="M15" s="125">
        <f>SUM(G12,I12,I13,I14,I15)</f>
        <v>1876972.6742000002</v>
      </c>
      <c r="N15" s="70"/>
      <c r="O15" s="314" t="s">
        <v>237</v>
      </c>
      <c r="P15" s="71" t="s">
        <v>152</v>
      </c>
      <c r="Q15" s="218"/>
      <c r="R15" s="218"/>
      <c r="S15" s="58"/>
      <c r="T15" s="58"/>
      <c r="U15" s="58"/>
    </row>
    <row r="16" spans="2:24" x14ac:dyDescent="0.2">
      <c r="B16" s="34"/>
      <c r="C16" s="58"/>
      <c r="D16" s="58" t="s">
        <v>21</v>
      </c>
      <c r="E16" s="58"/>
      <c r="F16" s="58"/>
      <c r="G16" s="74"/>
      <c r="H16" s="74"/>
      <c r="I16" s="30"/>
      <c r="J16" s="219"/>
      <c r="K16" s="75"/>
      <c r="L16" s="75"/>
      <c r="M16" s="30"/>
      <c r="N16" s="70"/>
      <c r="O16" s="314"/>
      <c r="Q16" s="218"/>
      <c r="R16" s="218"/>
      <c r="S16" s="58"/>
      <c r="T16" s="58"/>
      <c r="U16" s="58"/>
    </row>
    <row r="17" spans="2:21" x14ac:dyDescent="0.2">
      <c r="B17" s="34"/>
      <c r="C17" s="58"/>
      <c r="D17" s="58"/>
      <c r="E17" s="58" t="s">
        <v>19</v>
      </c>
      <c r="G17" s="219">
        <f>'SAO - DSC'!G17</f>
        <v>0</v>
      </c>
      <c r="H17" s="219"/>
      <c r="I17" s="30">
        <f>'SAO - DSC'!I17</f>
        <v>622</v>
      </c>
      <c r="J17" s="219"/>
      <c r="K17" s="75" t="s">
        <v>236</v>
      </c>
      <c r="L17" s="75"/>
      <c r="M17" s="74">
        <f t="shared" ref="M17:M20" si="0">G17+I17</f>
        <v>622</v>
      </c>
      <c r="N17" s="220"/>
      <c r="O17" s="314" t="s">
        <v>236</v>
      </c>
      <c r="P17" s="71" t="s">
        <v>167</v>
      </c>
      <c r="Q17" s="218"/>
      <c r="R17" s="221"/>
      <c r="S17" s="58"/>
      <c r="T17" s="58"/>
      <c r="U17" s="58"/>
    </row>
    <row r="18" spans="2:21" x14ac:dyDescent="0.2">
      <c r="B18" s="34"/>
      <c r="C18" s="58"/>
      <c r="D18" s="58"/>
      <c r="E18" s="58" t="s">
        <v>20</v>
      </c>
      <c r="G18" s="219">
        <f>'SAO - DSC'!G18</f>
        <v>104961</v>
      </c>
      <c r="H18" s="219"/>
      <c r="I18" s="30">
        <f>'SAO - DSC'!I18</f>
        <v>0</v>
      </c>
      <c r="J18" s="219"/>
      <c r="K18" s="75"/>
      <c r="L18" s="75"/>
      <c r="M18" s="74">
        <f t="shared" si="0"/>
        <v>104961</v>
      </c>
      <c r="N18" s="220"/>
      <c r="O18" s="317"/>
      <c r="R18" s="221"/>
      <c r="S18" s="222"/>
      <c r="T18" s="58"/>
      <c r="U18" s="58"/>
    </row>
    <row r="19" spans="2:21" x14ac:dyDescent="0.2">
      <c r="B19" s="34"/>
      <c r="C19" s="58"/>
      <c r="D19" s="58"/>
      <c r="E19" s="12" t="s">
        <v>265</v>
      </c>
      <c r="G19" s="219">
        <f>'SAO - DSC'!G19</f>
        <v>0</v>
      </c>
      <c r="H19" s="219"/>
      <c r="I19" s="30">
        <f>'SAO - DSC'!I19</f>
        <v>1400</v>
      </c>
      <c r="J19" s="219"/>
      <c r="K19" s="75" t="s">
        <v>236</v>
      </c>
      <c r="L19" s="75"/>
      <c r="M19" s="74">
        <f t="shared" si="0"/>
        <v>1400</v>
      </c>
      <c r="N19" s="220"/>
      <c r="O19" s="314" t="s">
        <v>236</v>
      </c>
      <c r="P19" s="71" t="s">
        <v>167</v>
      </c>
      <c r="R19" s="221"/>
      <c r="S19" s="222"/>
      <c r="T19" s="58"/>
      <c r="U19" s="58"/>
    </row>
    <row r="20" spans="2:21" ht="17.25" x14ac:dyDescent="0.2">
      <c r="B20" s="34"/>
      <c r="C20" s="58"/>
      <c r="D20" s="58"/>
      <c r="E20" s="12" t="s">
        <v>43</v>
      </c>
      <c r="G20" s="219">
        <f>'SAO - DSC'!G20</f>
        <v>0</v>
      </c>
      <c r="H20" s="219"/>
      <c r="I20" s="30">
        <f>'SAO - DSC'!I20</f>
        <v>707</v>
      </c>
      <c r="J20" s="219"/>
      <c r="K20" s="75" t="s">
        <v>236</v>
      </c>
      <c r="L20" s="75"/>
      <c r="M20" s="74">
        <f t="shared" si="0"/>
        <v>707</v>
      </c>
      <c r="N20" s="224"/>
      <c r="O20" s="314" t="s">
        <v>236</v>
      </c>
      <c r="P20" s="71" t="s">
        <v>167</v>
      </c>
      <c r="R20" s="221"/>
      <c r="S20" s="218"/>
      <c r="T20" s="58"/>
      <c r="U20" s="58"/>
    </row>
    <row r="21" spans="2:21" ht="15.75" x14ac:dyDescent="0.2">
      <c r="B21" s="34"/>
      <c r="D21" s="82"/>
      <c r="E21" s="58"/>
      <c r="F21" s="82" t="s">
        <v>3</v>
      </c>
      <c r="G21" s="132">
        <f>SUM(G12:G20)</f>
        <v>2276686</v>
      </c>
      <c r="H21" s="74"/>
      <c r="I21" s="132">
        <f>SUM(I12:I20)</f>
        <v>-292023.32579999976</v>
      </c>
      <c r="J21" s="74"/>
      <c r="K21" s="75"/>
      <c r="L21" s="75"/>
      <c r="M21" s="132">
        <f>SUM(M12:M20)</f>
        <v>1984662.6742000002</v>
      </c>
      <c r="N21" s="70"/>
      <c r="O21" s="316"/>
      <c r="R21" s="221"/>
      <c r="S21" s="218"/>
      <c r="T21" s="58"/>
      <c r="U21" s="58"/>
    </row>
    <row r="22" spans="2:21" x14ac:dyDescent="0.2">
      <c r="B22" s="34"/>
      <c r="C22" s="58"/>
      <c r="D22" s="58"/>
      <c r="E22" s="58"/>
      <c r="F22" s="58"/>
      <c r="G22" s="74"/>
      <c r="H22" s="74"/>
      <c r="I22" s="74"/>
      <c r="J22" s="219"/>
      <c r="K22" s="75"/>
      <c r="L22" s="75"/>
      <c r="M22" s="74"/>
      <c r="N22" s="83"/>
      <c r="O22" s="316"/>
      <c r="R22" s="221"/>
      <c r="S22" s="218"/>
      <c r="T22" s="58"/>
      <c r="U22" s="58"/>
    </row>
    <row r="23" spans="2:21" ht="17.25" x14ac:dyDescent="0.2">
      <c r="B23" s="34"/>
      <c r="C23" s="65" t="s">
        <v>4</v>
      </c>
      <c r="D23" s="58"/>
      <c r="E23" s="58"/>
      <c r="F23" s="58"/>
      <c r="G23" s="74"/>
      <c r="H23" s="74"/>
      <c r="I23" s="74"/>
      <c r="J23" s="219"/>
      <c r="K23" s="75"/>
      <c r="L23" s="75"/>
      <c r="M23" s="74"/>
      <c r="N23" s="83"/>
      <c r="O23" s="316"/>
      <c r="R23" s="221"/>
      <c r="S23" s="225"/>
      <c r="T23" s="58"/>
      <c r="U23" s="58"/>
    </row>
    <row r="24" spans="2:21" x14ac:dyDescent="0.2">
      <c r="B24" s="34"/>
      <c r="C24" s="58"/>
      <c r="D24" s="58" t="s">
        <v>7</v>
      </c>
      <c r="E24" s="58"/>
      <c r="F24" s="104"/>
      <c r="G24" s="219"/>
      <c r="H24" s="219"/>
      <c r="I24" s="219"/>
      <c r="J24" s="219"/>
      <c r="K24" s="75"/>
      <c r="L24" s="75"/>
      <c r="M24" s="74"/>
      <c r="N24" s="83"/>
      <c r="O24" s="316"/>
      <c r="R24" s="221"/>
      <c r="S24" s="222"/>
      <c r="T24" s="58"/>
      <c r="U24" s="58"/>
    </row>
    <row r="25" spans="2:21" x14ac:dyDescent="0.2">
      <c r="B25" s="34"/>
      <c r="C25" s="58"/>
      <c r="D25" s="58"/>
      <c r="E25" s="58" t="s">
        <v>11</v>
      </c>
      <c r="F25" s="12"/>
      <c r="G25" s="219">
        <f>'SAO - DSC'!G25</f>
        <v>0</v>
      </c>
      <c r="H25" s="219"/>
      <c r="I25" s="219"/>
      <c r="J25" s="219"/>
      <c r="K25" s="75"/>
      <c r="L25" s="75"/>
      <c r="M25" s="74">
        <f>SUM(G25,I25)</f>
        <v>0</v>
      </c>
      <c r="N25" s="83"/>
      <c r="O25" s="316"/>
      <c r="R25" s="221"/>
      <c r="S25" s="58"/>
      <c r="T25" s="58"/>
      <c r="U25" s="58"/>
    </row>
    <row r="26" spans="2:21" x14ac:dyDescent="0.2">
      <c r="B26" s="34"/>
      <c r="C26" s="58"/>
      <c r="D26" s="58"/>
      <c r="E26" s="58" t="s">
        <v>172</v>
      </c>
      <c r="F26" s="12"/>
      <c r="G26" s="219">
        <f>'SAO - DSC'!G26</f>
        <v>22225</v>
      </c>
      <c r="H26" s="219"/>
      <c r="I26" s="219"/>
      <c r="J26" s="219"/>
      <c r="K26" s="75"/>
      <c r="L26" s="75"/>
      <c r="M26" s="74">
        <f t="shared" ref="M26:M38" si="1">SUM(G26,I26)</f>
        <v>22225</v>
      </c>
      <c r="N26" s="83"/>
      <c r="O26" s="316"/>
      <c r="R26" s="221"/>
      <c r="S26" s="58"/>
      <c r="T26" s="58"/>
      <c r="U26" s="58"/>
    </row>
    <row r="27" spans="2:21" x14ac:dyDescent="0.2">
      <c r="B27" s="34"/>
      <c r="C27" s="58"/>
      <c r="D27" s="58"/>
      <c r="E27" s="58" t="s">
        <v>12</v>
      </c>
      <c r="F27" s="12"/>
      <c r="G27" s="219">
        <f>'SAO - DSC'!G27</f>
        <v>312335</v>
      </c>
      <c r="H27" s="219"/>
      <c r="I27" s="219">
        <f>'SAO - DSC'!I27</f>
        <v>12505</v>
      </c>
      <c r="J27" s="219"/>
      <c r="K27" s="75" t="s">
        <v>272</v>
      </c>
      <c r="L27" s="75"/>
      <c r="M27" s="74"/>
      <c r="N27" s="83"/>
      <c r="O27" s="314" t="s">
        <v>272</v>
      </c>
      <c r="P27" s="71" t="s">
        <v>224</v>
      </c>
      <c r="R27" s="221"/>
      <c r="S27" s="58"/>
      <c r="T27" s="58"/>
      <c r="U27" s="58"/>
    </row>
    <row r="28" spans="2:21" x14ac:dyDescent="0.2">
      <c r="B28" s="34"/>
      <c r="C28" s="58"/>
      <c r="D28" s="58"/>
      <c r="E28" s="58"/>
      <c r="F28" s="12"/>
      <c r="G28" s="219"/>
      <c r="H28" s="219"/>
      <c r="I28" s="219">
        <f>'SAO - DSC'!I28</f>
        <v>-55036</v>
      </c>
      <c r="J28" s="219"/>
      <c r="K28" s="75" t="s">
        <v>273</v>
      </c>
      <c r="L28" s="75"/>
      <c r="M28" s="74">
        <f>SUM(G27,I27,I28)</f>
        <v>269804</v>
      </c>
      <c r="N28" s="83"/>
      <c r="O28" s="314" t="s">
        <v>273</v>
      </c>
      <c r="P28" s="71" t="s">
        <v>153</v>
      </c>
      <c r="R28" s="221"/>
      <c r="S28" s="58"/>
      <c r="T28" s="58"/>
      <c r="U28" s="58"/>
    </row>
    <row r="29" spans="2:21" x14ac:dyDescent="0.2">
      <c r="B29" s="34"/>
      <c r="C29" s="58"/>
      <c r="D29" s="58"/>
      <c r="E29" s="58" t="s">
        <v>13</v>
      </c>
      <c r="F29" s="12"/>
      <c r="G29" s="219">
        <f>'SAO - DSC'!G29</f>
        <v>103380</v>
      </c>
      <c r="H29" s="219"/>
      <c r="I29" s="219">
        <f>'SAO - DSC'!I29</f>
        <v>-17516</v>
      </c>
      <c r="J29" s="219"/>
      <c r="K29" s="75" t="s">
        <v>273</v>
      </c>
      <c r="L29" s="75"/>
      <c r="M29" s="74">
        <f t="shared" si="1"/>
        <v>85864</v>
      </c>
      <c r="N29" s="83"/>
      <c r="O29" s="314" t="s">
        <v>273</v>
      </c>
      <c r="P29" s="71" t="s">
        <v>153</v>
      </c>
      <c r="R29" s="221"/>
      <c r="S29" s="58"/>
      <c r="T29" s="58"/>
      <c r="U29" s="58"/>
    </row>
    <row r="30" spans="2:21" x14ac:dyDescent="0.2">
      <c r="B30" s="34"/>
      <c r="C30" s="58"/>
      <c r="D30" s="58"/>
      <c r="E30" s="58" t="s">
        <v>176</v>
      </c>
      <c r="F30" s="12"/>
      <c r="G30" s="219">
        <f>'SAO - DSC'!G30</f>
        <v>145723</v>
      </c>
      <c r="H30" s="219"/>
      <c r="I30" s="219">
        <f>'SAO - DSC'!I30</f>
        <v>-24690</v>
      </c>
      <c r="J30" s="219"/>
      <c r="K30" s="75" t="s">
        <v>273</v>
      </c>
      <c r="L30" s="86"/>
      <c r="M30" s="74">
        <f t="shared" si="1"/>
        <v>121033</v>
      </c>
      <c r="N30" s="83"/>
      <c r="O30" s="314" t="s">
        <v>273</v>
      </c>
      <c r="P30" s="71" t="s">
        <v>153</v>
      </c>
      <c r="Q30" s="218"/>
      <c r="T30" s="58"/>
      <c r="U30" s="58"/>
    </row>
    <row r="31" spans="2:21" x14ac:dyDescent="0.2">
      <c r="B31" s="34"/>
      <c r="C31" s="58"/>
      <c r="D31" s="58"/>
      <c r="E31" s="58" t="s">
        <v>31</v>
      </c>
      <c r="F31" s="12"/>
      <c r="G31" s="219">
        <f>'SAO - DSC'!G31</f>
        <v>198131</v>
      </c>
      <c r="H31" s="219"/>
      <c r="I31" s="219"/>
      <c r="J31" s="219"/>
      <c r="K31" s="86"/>
      <c r="L31" s="86"/>
      <c r="M31" s="74">
        <f t="shared" si="1"/>
        <v>198131</v>
      </c>
      <c r="N31" s="83"/>
      <c r="O31" s="314"/>
      <c r="Q31" s="218"/>
      <c r="T31" s="58"/>
      <c r="U31" s="58"/>
    </row>
    <row r="32" spans="2:21" x14ac:dyDescent="0.2">
      <c r="B32" s="34"/>
      <c r="C32" s="58"/>
      <c r="D32" s="58"/>
      <c r="E32" s="58" t="s">
        <v>87</v>
      </c>
      <c r="F32" s="12"/>
      <c r="G32" s="219">
        <f>'SAO - DSC'!G32</f>
        <v>0</v>
      </c>
      <c r="H32" s="219"/>
      <c r="I32" s="219"/>
      <c r="J32" s="219"/>
      <c r="K32" s="75"/>
      <c r="L32" s="75"/>
      <c r="M32" s="74">
        <f t="shared" si="1"/>
        <v>0</v>
      </c>
      <c r="N32" s="83"/>
      <c r="O32" s="314"/>
      <c r="Q32" s="218"/>
      <c r="R32" s="218"/>
      <c r="S32" s="58"/>
      <c r="T32" s="58"/>
      <c r="U32" s="58"/>
    </row>
    <row r="33" spans="2:21" x14ac:dyDescent="0.2">
      <c r="B33" s="34"/>
      <c r="C33" s="58"/>
      <c r="D33" s="58"/>
      <c r="E33" s="58" t="s">
        <v>88</v>
      </c>
      <c r="F33" s="12"/>
      <c r="G33" s="219">
        <f>'SAO - DSC'!G33</f>
        <v>0</v>
      </c>
      <c r="H33" s="219"/>
      <c r="I33" s="219"/>
      <c r="J33" s="219"/>
      <c r="K33" s="75"/>
      <c r="L33" s="75"/>
      <c r="M33" s="74">
        <f t="shared" si="1"/>
        <v>0</v>
      </c>
      <c r="N33" s="83"/>
      <c r="O33" s="314"/>
      <c r="Q33" s="226"/>
      <c r="R33" s="218"/>
      <c r="S33" s="58"/>
      <c r="T33" s="58"/>
      <c r="U33" s="58"/>
    </row>
    <row r="34" spans="2:21" x14ac:dyDescent="0.2">
      <c r="B34" s="34"/>
      <c r="C34" s="58"/>
      <c r="D34" s="58"/>
      <c r="E34" s="58" t="s">
        <v>173</v>
      </c>
      <c r="F34" s="12"/>
      <c r="G34" s="219">
        <f>'SAO - DSC'!G34</f>
        <v>1112225</v>
      </c>
      <c r="H34" s="219"/>
      <c r="I34" s="219">
        <f>'SAO - DSC'!I34</f>
        <v>111223</v>
      </c>
      <c r="J34" s="219"/>
      <c r="K34" s="75" t="s">
        <v>165</v>
      </c>
      <c r="L34" s="75"/>
      <c r="M34" s="74">
        <f t="shared" si="1"/>
        <v>1223448</v>
      </c>
      <c r="N34" s="83"/>
      <c r="O34" s="314" t="s">
        <v>165</v>
      </c>
      <c r="P34" s="71" t="s">
        <v>284</v>
      </c>
      <c r="Q34" s="226"/>
      <c r="R34" s="218"/>
      <c r="S34" s="58"/>
      <c r="T34" s="58"/>
      <c r="U34" s="58"/>
    </row>
    <row r="35" spans="2:21" x14ac:dyDescent="0.2">
      <c r="B35" s="34"/>
      <c r="C35" s="58"/>
      <c r="D35" s="58"/>
      <c r="E35" s="58" t="s">
        <v>175</v>
      </c>
      <c r="F35" s="12"/>
      <c r="G35" s="219">
        <f>'SAO - DSC'!G35</f>
        <v>127750</v>
      </c>
      <c r="H35" s="219"/>
      <c r="I35" s="219"/>
      <c r="J35" s="219"/>
      <c r="K35" s="75"/>
      <c r="L35" s="75"/>
      <c r="M35" s="74">
        <f t="shared" si="1"/>
        <v>127750</v>
      </c>
      <c r="N35" s="83"/>
      <c r="O35" s="316"/>
      <c r="Q35" s="226"/>
      <c r="R35" s="218"/>
      <c r="S35" s="58"/>
      <c r="T35" s="58"/>
      <c r="U35" s="58"/>
    </row>
    <row r="36" spans="2:21" x14ac:dyDescent="0.2">
      <c r="B36" s="34"/>
      <c r="C36" s="58"/>
      <c r="D36" s="58"/>
      <c r="E36" s="58" t="s">
        <v>72</v>
      </c>
      <c r="F36" s="12"/>
      <c r="G36" s="219">
        <f>'SAO - DSC'!G36</f>
        <v>25440</v>
      </c>
      <c r="H36" s="219"/>
      <c r="I36" s="219"/>
      <c r="J36" s="219"/>
      <c r="K36" s="75"/>
      <c r="L36" s="75"/>
      <c r="M36" s="74">
        <f t="shared" si="1"/>
        <v>25440</v>
      </c>
      <c r="N36" s="83"/>
      <c r="O36" s="316"/>
      <c r="Q36" s="226"/>
      <c r="R36" s="218"/>
      <c r="S36" s="58"/>
      <c r="T36" s="58"/>
      <c r="U36" s="58"/>
    </row>
    <row r="37" spans="2:21" x14ac:dyDescent="0.2">
      <c r="B37" s="34"/>
      <c r="C37" s="58"/>
      <c r="D37" s="58"/>
      <c r="E37" s="58" t="s">
        <v>174</v>
      </c>
      <c r="F37" s="12"/>
      <c r="G37" s="219">
        <f>'SAO - DSC'!G37</f>
        <v>23233</v>
      </c>
      <c r="H37" s="219"/>
      <c r="I37" s="219"/>
      <c r="J37" s="219"/>
      <c r="K37" s="75"/>
      <c r="L37" s="75"/>
      <c r="M37" s="74">
        <f t="shared" si="1"/>
        <v>23233</v>
      </c>
      <c r="N37" s="83"/>
      <c r="O37" s="316"/>
      <c r="Q37" s="226"/>
      <c r="R37" s="218"/>
      <c r="S37" s="58"/>
      <c r="T37" s="58"/>
      <c r="U37" s="58"/>
    </row>
    <row r="38" spans="2:21" ht="17.25" x14ac:dyDescent="0.2">
      <c r="B38" s="34"/>
      <c r="C38" s="58"/>
      <c r="E38" s="58" t="s">
        <v>14</v>
      </c>
      <c r="F38" s="12"/>
      <c r="G38" s="223">
        <f>'SAO - DSC'!G38</f>
        <v>39189</v>
      </c>
      <c r="H38" s="219"/>
      <c r="I38" s="223"/>
      <c r="J38" s="227"/>
      <c r="K38" s="86"/>
      <c r="L38" s="86"/>
      <c r="M38" s="90">
        <f t="shared" si="1"/>
        <v>39189</v>
      </c>
      <c r="N38" s="224"/>
      <c r="O38" s="316"/>
      <c r="Q38" s="226"/>
      <c r="R38" s="218"/>
      <c r="S38" s="58"/>
      <c r="T38" s="58"/>
      <c r="U38" s="58"/>
    </row>
    <row r="39" spans="2:21" ht="15.75" x14ac:dyDescent="0.2">
      <c r="B39" s="34"/>
      <c r="C39" s="58"/>
      <c r="E39" s="58"/>
      <c r="F39" s="82" t="s">
        <v>8</v>
      </c>
      <c r="G39" s="219">
        <f>SUM(G25:G38)</f>
        <v>2109631</v>
      </c>
      <c r="H39" s="219"/>
      <c r="I39" s="219">
        <f>SUM(I25:I38)</f>
        <v>26486</v>
      </c>
      <c r="J39" s="219"/>
      <c r="K39" s="75"/>
      <c r="L39" s="75"/>
      <c r="M39" s="219">
        <f>SUM(M25:M38)</f>
        <v>2136117</v>
      </c>
      <c r="N39" s="83"/>
      <c r="O39" s="316"/>
      <c r="Q39" s="226"/>
      <c r="R39" s="218"/>
      <c r="S39" s="58"/>
      <c r="T39" s="58"/>
      <c r="U39" s="58"/>
    </row>
    <row r="40" spans="2:21" x14ac:dyDescent="0.2">
      <c r="B40" s="34"/>
      <c r="C40" s="58"/>
      <c r="D40" s="58" t="s">
        <v>9</v>
      </c>
      <c r="E40" s="58"/>
      <c r="G40" s="74">
        <f>'SAO - DSC'!G40</f>
        <v>341954</v>
      </c>
      <c r="H40" s="219"/>
      <c r="I40" s="74">
        <f>'SAO - DSC'!I40</f>
        <v>0</v>
      </c>
      <c r="J40" s="219"/>
      <c r="K40" s="86"/>
      <c r="L40" s="86"/>
      <c r="M40" s="74">
        <f t="shared" ref="M40:M41" si="2">SUM(G40,I40)</f>
        <v>341954</v>
      </c>
      <c r="N40" s="83"/>
      <c r="O40" s="316"/>
      <c r="Q40" s="226"/>
      <c r="R40" s="218"/>
      <c r="S40" s="58"/>
      <c r="T40" s="58"/>
      <c r="U40" s="58"/>
    </row>
    <row r="41" spans="2:21" ht="17.25" x14ac:dyDescent="0.2">
      <c r="B41" s="34"/>
      <c r="C41" s="58"/>
      <c r="D41" s="58" t="s">
        <v>10</v>
      </c>
      <c r="E41" s="58"/>
      <c r="F41" s="58"/>
      <c r="G41" s="90">
        <f>'SAO - DSC'!G41</f>
        <v>5249</v>
      </c>
      <c r="H41" s="74"/>
      <c r="I41" s="90">
        <f>'SAO - DSC'!I41</f>
        <v>0</v>
      </c>
      <c r="J41" s="74"/>
      <c r="K41" s="75"/>
      <c r="L41" s="75"/>
      <c r="M41" s="90">
        <f t="shared" si="2"/>
        <v>5249</v>
      </c>
      <c r="N41" s="224"/>
      <c r="O41" s="316"/>
      <c r="Q41" s="226"/>
      <c r="R41" s="218"/>
      <c r="S41" s="58"/>
      <c r="T41" s="58"/>
      <c r="U41" s="58"/>
    </row>
    <row r="42" spans="2:21" ht="15.75" x14ac:dyDescent="0.2">
      <c r="B42" s="34"/>
      <c r="D42" s="82"/>
      <c r="E42" s="82" t="s">
        <v>5</v>
      </c>
      <c r="F42" s="58"/>
      <c r="G42" s="223">
        <f>SUM(G39:G41)</f>
        <v>2456834</v>
      </c>
      <c r="H42" s="219"/>
      <c r="I42" s="223">
        <f>SUM(I39:I41)</f>
        <v>26486</v>
      </c>
      <c r="J42" s="227"/>
      <c r="K42" s="86"/>
      <c r="L42" s="86"/>
      <c r="M42" s="223">
        <f>SUM(M39:M41)</f>
        <v>2483320</v>
      </c>
      <c r="N42" s="70"/>
      <c r="O42" s="316"/>
      <c r="Q42" s="226"/>
      <c r="R42" s="218"/>
      <c r="S42" s="58"/>
      <c r="T42" s="58"/>
      <c r="U42" s="58"/>
    </row>
    <row r="43" spans="2:21" ht="16.5" thickBot="1" x14ac:dyDescent="0.25">
      <c r="B43" s="34"/>
      <c r="C43" s="82" t="s">
        <v>17</v>
      </c>
      <c r="D43" s="58"/>
      <c r="E43" s="58"/>
      <c r="F43" s="58"/>
      <c r="G43" s="91">
        <f>G21-G42</f>
        <v>-180148</v>
      </c>
      <c r="H43" s="92"/>
      <c r="I43" s="91">
        <f>I21-I42</f>
        <v>-318509.32579999976</v>
      </c>
      <c r="J43" s="92"/>
      <c r="K43" s="66"/>
      <c r="L43" s="66"/>
      <c r="M43" s="91">
        <f>M21-M42</f>
        <v>-498657.32579999976</v>
      </c>
      <c r="N43" s="70"/>
      <c r="O43" s="316"/>
      <c r="Q43" s="226"/>
      <c r="R43" s="218"/>
      <c r="S43" s="58"/>
      <c r="T43" s="58"/>
      <c r="U43" s="58"/>
    </row>
    <row r="44" spans="2:21" ht="15.75" thickTop="1" x14ac:dyDescent="0.2">
      <c r="B44" s="35"/>
      <c r="C44" s="104"/>
      <c r="D44" s="104"/>
      <c r="E44" s="104"/>
      <c r="F44" s="104"/>
      <c r="G44" s="105"/>
      <c r="H44" s="105"/>
      <c r="I44" s="104"/>
      <c r="J44" s="104"/>
      <c r="K44" s="106"/>
      <c r="L44" s="106"/>
      <c r="M44" s="105"/>
      <c r="N44" s="107"/>
      <c r="O44" s="316"/>
      <c r="Q44" s="226"/>
      <c r="R44" s="218"/>
      <c r="S44" s="58"/>
      <c r="T44" s="58"/>
      <c r="U44" s="58"/>
    </row>
    <row r="45" spans="2:21" ht="20.25" x14ac:dyDescent="0.2">
      <c r="B45" s="34"/>
      <c r="C45" s="326" t="s">
        <v>26</v>
      </c>
      <c r="D45" s="326"/>
      <c r="E45" s="326"/>
      <c r="F45" s="326"/>
      <c r="G45" s="326"/>
      <c r="H45" s="326"/>
      <c r="I45" s="326"/>
      <c r="J45" s="326"/>
      <c r="K45" s="326"/>
      <c r="L45" s="326"/>
      <c r="M45" s="326"/>
      <c r="N45" s="60"/>
      <c r="O45" s="316"/>
      <c r="Q45" s="226"/>
      <c r="R45" s="218"/>
      <c r="S45" s="58"/>
      <c r="T45" s="58"/>
      <c r="U45" s="58"/>
    </row>
    <row r="46" spans="2:21" ht="15.75" x14ac:dyDescent="0.25">
      <c r="B46" s="34"/>
      <c r="C46" s="30" t="s">
        <v>6</v>
      </c>
      <c r="D46" s="30"/>
      <c r="E46" s="30"/>
      <c r="F46" s="228"/>
      <c r="G46" s="229"/>
      <c r="H46" s="230"/>
      <c r="I46" s="228"/>
      <c r="J46" s="228"/>
      <c r="K46" s="231"/>
      <c r="L46" s="231"/>
      <c r="M46" s="229">
        <f>M42</f>
        <v>2483320</v>
      </c>
      <c r="N46" s="70"/>
      <c r="O46" s="316"/>
      <c r="Q46" s="226"/>
      <c r="R46" s="218"/>
      <c r="S46" s="58"/>
      <c r="T46" s="58"/>
      <c r="U46" s="58"/>
    </row>
    <row r="47" spans="2:21" ht="15.75" x14ac:dyDescent="0.25">
      <c r="B47" s="34"/>
      <c r="C47" s="30" t="s">
        <v>57</v>
      </c>
      <c r="D47" s="3"/>
      <c r="E47" s="3"/>
      <c r="F47" s="30" t="s">
        <v>58</v>
      </c>
      <c r="G47" s="133"/>
      <c r="H47" s="230"/>
      <c r="I47" s="228"/>
      <c r="J47" s="228"/>
      <c r="K47" s="232"/>
      <c r="L47" s="232"/>
      <c r="M47" s="233">
        <v>0.88</v>
      </c>
      <c r="N47" s="234"/>
      <c r="O47" s="316"/>
      <c r="P47" s="12"/>
      <c r="Q47" s="226"/>
      <c r="R47" s="218"/>
      <c r="S47" s="58"/>
      <c r="T47" s="58"/>
      <c r="U47" s="58"/>
    </row>
    <row r="48" spans="2:21" ht="17.25" x14ac:dyDescent="0.25">
      <c r="B48" s="34"/>
      <c r="C48" s="235" t="s">
        <v>59</v>
      </c>
      <c r="D48" s="235"/>
      <c r="E48" s="235"/>
      <c r="F48" s="228"/>
      <c r="G48" s="30"/>
      <c r="H48" s="230"/>
      <c r="I48" s="228"/>
      <c r="J48" s="228"/>
      <c r="K48" s="232"/>
      <c r="L48" s="232"/>
      <c r="M48" s="30">
        <f>ROUND(M46/M47,0)</f>
        <v>2821955</v>
      </c>
      <c r="N48" s="224"/>
      <c r="O48" s="316"/>
      <c r="Q48" s="226"/>
      <c r="R48" s="218"/>
      <c r="S48" s="58"/>
      <c r="T48" s="58"/>
      <c r="U48" s="58"/>
    </row>
    <row r="49" spans="2:21" ht="15.75" x14ac:dyDescent="0.25">
      <c r="B49" s="34"/>
      <c r="C49" s="235" t="s">
        <v>60</v>
      </c>
      <c r="D49" s="235"/>
      <c r="E49" s="235"/>
      <c r="F49" s="235"/>
      <c r="G49" s="30"/>
      <c r="H49" s="230"/>
      <c r="I49" s="228"/>
      <c r="J49" s="228"/>
      <c r="K49" s="231" t="s">
        <v>166</v>
      </c>
      <c r="L49" s="231"/>
      <c r="M49" s="31">
        <f>'Debt Sch'!G17</f>
        <v>6312</v>
      </c>
      <c r="N49" s="70"/>
      <c r="O49" s="316" t="s">
        <v>166</v>
      </c>
      <c r="P49" s="71" t="s">
        <v>170</v>
      </c>
      <c r="Q49" s="218"/>
      <c r="R49" s="218"/>
      <c r="S49" s="58"/>
      <c r="T49" s="58"/>
      <c r="U49" s="58"/>
    </row>
    <row r="50" spans="2:21" ht="15.75" x14ac:dyDescent="0.25">
      <c r="B50" s="34"/>
      <c r="C50" s="235" t="s">
        <v>18</v>
      </c>
      <c r="D50" s="235"/>
      <c r="E50" s="235"/>
      <c r="F50" s="228"/>
      <c r="G50" s="30"/>
      <c r="H50" s="230"/>
      <c r="I50" s="228"/>
      <c r="J50" s="228"/>
      <c r="K50" s="231"/>
      <c r="L50" s="231"/>
      <c r="M50" s="30">
        <f>SUM(M48:M49)</f>
        <v>2828267</v>
      </c>
      <c r="N50" s="236"/>
      <c r="O50" s="316"/>
      <c r="P50" s="12"/>
      <c r="Q50" s="218"/>
      <c r="R50" s="218"/>
      <c r="S50" s="58"/>
      <c r="T50" s="58"/>
      <c r="U50" s="58"/>
    </row>
    <row r="51" spans="2:21" ht="15.75" x14ac:dyDescent="0.25">
      <c r="B51" s="34"/>
      <c r="C51" s="30" t="s">
        <v>61</v>
      </c>
      <c r="D51" s="230"/>
      <c r="E51" s="230"/>
      <c r="F51" s="58" t="s">
        <v>19</v>
      </c>
      <c r="G51" s="30"/>
      <c r="H51" s="237"/>
      <c r="I51" s="238"/>
      <c r="J51" s="238"/>
      <c r="K51" s="231"/>
      <c r="L51" s="231"/>
      <c r="M51" s="219">
        <f>-M17</f>
        <v>-622</v>
      </c>
      <c r="N51" s="236"/>
      <c r="O51" s="316"/>
      <c r="P51" s="12"/>
      <c r="Q51" s="218"/>
      <c r="R51" s="218"/>
      <c r="S51" s="58"/>
      <c r="T51" s="58"/>
      <c r="U51" s="58"/>
    </row>
    <row r="52" spans="2:21" ht="15.75" x14ac:dyDescent="0.25">
      <c r="B52" s="34"/>
      <c r="C52" s="30"/>
      <c r="D52" s="230"/>
      <c r="E52" s="230"/>
      <c r="F52" s="58" t="s">
        <v>20</v>
      </c>
      <c r="G52" s="30"/>
      <c r="H52" s="237"/>
      <c r="I52" s="238"/>
      <c r="J52" s="238"/>
      <c r="K52" s="231"/>
      <c r="L52" s="231"/>
      <c r="M52" s="219">
        <f>-M18</f>
        <v>-104961</v>
      </c>
      <c r="N52" s="236"/>
      <c r="O52" s="316"/>
      <c r="P52" s="12"/>
      <c r="Q52" s="218"/>
      <c r="R52" s="218"/>
      <c r="S52" s="58"/>
      <c r="T52" s="58"/>
      <c r="U52" s="58"/>
    </row>
    <row r="53" spans="2:21" ht="15.75" x14ac:dyDescent="0.25">
      <c r="B53" s="34"/>
      <c r="C53" s="30"/>
      <c r="D53" s="230"/>
      <c r="E53" s="230"/>
      <c r="F53" s="12" t="s">
        <v>265</v>
      </c>
      <c r="G53" s="30"/>
      <c r="H53" s="237"/>
      <c r="I53" s="238"/>
      <c r="J53" s="238"/>
      <c r="K53" s="231"/>
      <c r="L53" s="231"/>
      <c r="M53" s="219">
        <f>-M19</f>
        <v>-1400</v>
      </c>
      <c r="N53" s="236"/>
      <c r="O53" s="316"/>
      <c r="P53" s="12"/>
      <c r="Q53" s="218"/>
      <c r="R53" s="218"/>
      <c r="S53" s="58"/>
      <c r="T53" s="58"/>
      <c r="U53" s="58"/>
    </row>
    <row r="54" spans="2:21" ht="15.75" x14ac:dyDescent="0.25">
      <c r="B54" s="34"/>
      <c r="C54" s="30"/>
      <c r="D54" s="230"/>
      <c r="E54" s="230"/>
      <c r="F54" s="12" t="s">
        <v>43</v>
      </c>
      <c r="G54" s="30"/>
      <c r="H54" s="237"/>
      <c r="I54" s="238"/>
      <c r="J54" s="238"/>
      <c r="K54" s="231"/>
      <c r="L54" s="231"/>
      <c r="M54" s="219">
        <f>-M20</f>
        <v>-707</v>
      </c>
      <c r="N54" s="236"/>
      <c r="O54" s="316"/>
      <c r="P54" s="12"/>
      <c r="Q54" s="218"/>
      <c r="R54" s="218"/>
      <c r="S54" s="58"/>
      <c r="T54" s="58"/>
      <c r="U54" s="58"/>
    </row>
    <row r="55" spans="2:21" ht="15.75" x14ac:dyDescent="0.25">
      <c r="B55" s="34"/>
      <c r="C55" s="30"/>
      <c r="D55" s="230"/>
      <c r="E55" s="230"/>
      <c r="F55" s="58" t="s">
        <v>30</v>
      </c>
      <c r="G55" s="30"/>
      <c r="H55" s="230"/>
      <c r="I55" s="228"/>
      <c r="J55" s="228"/>
      <c r="K55" s="231"/>
      <c r="L55" s="231"/>
      <c r="M55" s="223">
        <v>-15172</v>
      </c>
      <c r="N55" s="236"/>
      <c r="O55" s="316"/>
      <c r="Q55" s="218"/>
      <c r="R55" s="218"/>
      <c r="S55" s="58"/>
      <c r="T55" s="58"/>
      <c r="U55" s="58"/>
    </row>
    <row r="56" spans="2:21" ht="15.75" x14ac:dyDescent="0.25">
      <c r="B56" s="34"/>
      <c r="C56" s="30" t="s">
        <v>62</v>
      </c>
      <c r="D56" s="30"/>
      <c r="E56" s="30"/>
      <c r="F56" s="3"/>
      <c r="G56" s="30"/>
      <c r="H56" s="230"/>
      <c r="I56" s="228"/>
      <c r="J56" s="228"/>
      <c r="K56" s="231"/>
      <c r="L56" s="231"/>
      <c r="M56" s="30">
        <f>SUM(M50:M55)</f>
        <v>2705405</v>
      </c>
      <c r="N56" s="236"/>
      <c r="O56" s="316"/>
      <c r="Q56" s="218"/>
      <c r="R56" s="218"/>
      <c r="S56" s="218"/>
      <c r="T56" s="58"/>
      <c r="U56" s="58"/>
    </row>
    <row r="57" spans="2:21" ht="17.25" x14ac:dyDescent="0.25">
      <c r="B57" s="34"/>
      <c r="C57" s="30" t="s">
        <v>61</v>
      </c>
      <c r="D57" s="30" t="s">
        <v>63</v>
      </c>
      <c r="E57" s="30"/>
      <c r="F57" s="228"/>
      <c r="G57" s="30"/>
      <c r="H57" s="230"/>
      <c r="I57" s="228"/>
      <c r="J57" s="228"/>
      <c r="K57" s="231"/>
      <c r="L57" s="231"/>
      <c r="M57" s="31">
        <f>-M15</f>
        <v>-1876972.6742000002</v>
      </c>
      <c r="N57" s="224"/>
      <c r="O57" s="316"/>
      <c r="Q57" s="218"/>
      <c r="R57" s="218"/>
      <c r="S57" s="239"/>
      <c r="T57" s="58"/>
      <c r="U57" s="58"/>
    </row>
    <row r="58" spans="2:21" ht="16.5" thickBot="1" x14ac:dyDescent="0.3">
      <c r="B58" s="34"/>
      <c r="C58" s="30" t="s">
        <v>65</v>
      </c>
      <c r="D58" s="30"/>
      <c r="E58" s="30"/>
      <c r="F58" s="228"/>
      <c r="G58" s="103"/>
      <c r="H58" s="230"/>
      <c r="I58" s="228"/>
      <c r="J58" s="228"/>
      <c r="K58" s="231"/>
      <c r="L58" s="231"/>
      <c r="M58" s="240">
        <f>SUM(M56:M57)</f>
        <v>828432.32579999976</v>
      </c>
      <c r="N58" s="241"/>
      <c r="Q58" s="218"/>
      <c r="R58" s="92"/>
      <c r="S58" s="58"/>
      <c r="T58" s="58"/>
      <c r="U58" s="58"/>
    </row>
    <row r="59" spans="2:21" ht="18.75" thickTop="1" thickBot="1" x14ac:dyDescent="0.3">
      <c r="B59" s="34"/>
      <c r="C59" s="30" t="s">
        <v>64</v>
      </c>
      <c r="D59" s="30"/>
      <c r="E59" s="30"/>
      <c r="F59" s="228"/>
      <c r="G59" s="242"/>
      <c r="H59" s="230"/>
      <c r="I59" s="228"/>
      <c r="J59" s="228"/>
      <c r="K59" s="231"/>
      <c r="L59" s="231"/>
      <c r="M59" s="243">
        <f>ROUND(M58/(-M57),4)</f>
        <v>0.44140000000000001</v>
      </c>
      <c r="N59" s="224"/>
      <c r="O59" s="316"/>
      <c r="Q59" s="218"/>
      <c r="R59" s="218"/>
      <c r="S59" s="58"/>
      <c r="T59" s="58"/>
      <c r="U59" s="58"/>
    </row>
    <row r="60" spans="2:21" ht="15.75" thickTop="1" x14ac:dyDescent="0.2">
      <c r="B60" s="35"/>
      <c r="C60" s="100"/>
      <c r="D60" s="100"/>
      <c r="E60" s="100"/>
      <c r="F60" s="100"/>
      <c r="G60" s="100"/>
      <c r="H60" s="100"/>
      <c r="I60" s="100"/>
      <c r="J60" s="100"/>
      <c r="K60" s="101"/>
      <c r="L60" s="101"/>
      <c r="M60" s="100"/>
      <c r="N60" s="102"/>
    </row>
    <row r="61" spans="2:21" x14ac:dyDescent="0.2">
      <c r="B61" s="33"/>
      <c r="C61" s="51"/>
      <c r="D61" s="51"/>
      <c r="E61" s="51"/>
      <c r="F61" s="51"/>
      <c r="G61" s="51"/>
      <c r="H61" s="51"/>
      <c r="I61" s="51"/>
      <c r="J61" s="51"/>
      <c r="K61" s="52"/>
      <c r="L61" s="52"/>
      <c r="M61" s="51"/>
      <c r="N61" s="53"/>
    </row>
    <row r="62" spans="2:21" ht="20.25" x14ac:dyDescent="0.2">
      <c r="B62" s="34"/>
      <c r="C62" s="326" t="s">
        <v>131</v>
      </c>
      <c r="D62" s="326"/>
      <c r="E62" s="326"/>
      <c r="F62" s="326"/>
      <c r="G62" s="326"/>
      <c r="H62" s="326"/>
      <c r="I62" s="326"/>
      <c r="J62" s="326"/>
      <c r="K62" s="326"/>
      <c r="L62" s="326"/>
      <c r="M62" s="326"/>
      <c r="N62" s="163"/>
    </row>
    <row r="63" spans="2:21" x14ac:dyDescent="0.2">
      <c r="B63" s="34"/>
      <c r="C63" s="235" t="s">
        <v>18</v>
      </c>
      <c r="M63" s="103">
        <f>M50</f>
        <v>2828267</v>
      </c>
      <c r="N63" s="163"/>
    </row>
    <row r="64" spans="2:21" x14ac:dyDescent="0.2">
      <c r="B64" s="34"/>
      <c r="C64" s="54" t="s">
        <v>61</v>
      </c>
      <c r="F64" s="54" t="s">
        <v>6</v>
      </c>
      <c r="M64" s="30">
        <f>-M46</f>
        <v>-2483320</v>
      </c>
      <c r="N64" s="163"/>
    </row>
    <row r="65" spans="2:14" x14ac:dyDescent="0.2">
      <c r="B65" s="34"/>
      <c r="F65" s="54" t="s">
        <v>130</v>
      </c>
      <c r="M65" s="30">
        <f>+I28+I29+I30</f>
        <v>-97242</v>
      </c>
      <c r="N65" s="163"/>
    </row>
    <row r="66" spans="2:14" x14ac:dyDescent="0.2">
      <c r="B66" s="34"/>
      <c r="F66" s="54" t="s">
        <v>66</v>
      </c>
      <c r="M66" s="31">
        <f>-'SAO - DSC'!M47</f>
        <v>-106956</v>
      </c>
      <c r="N66" s="163"/>
    </row>
    <row r="67" spans="2:14" x14ac:dyDescent="0.2">
      <c r="B67" s="34"/>
      <c r="C67" s="54" t="s">
        <v>59</v>
      </c>
      <c r="M67" s="30">
        <f>SUM(M63:M66)</f>
        <v>140749</v>
      </c>
      <c r="N67" s="163"/>
    </row>
    <row r="68" spans="2:14" x14ac:dyDescent="0.2">
      <c r="B68" s="34"/>
      <c r="C68" s="54" t="s">
        <v>67</v>
      </c>
      <c r="F68" s="54" t="s">
        <v>68</v>
      </c>
      <c r="M68" s="31">
        <f>+M40</f>
        <v>341954</v>
      </c>
      <c r="N68" s="163"/>
    </row>
    <row r="69" spans="2:14" ht="15.75" thickBot="1" x14ac:dyDescent="0.25">
      <c r="B69" s="34"/>
      <c r="C69" s="54" t="s">
        <v>69</v>
      </c>
      <c r="M69" s="99">
        <f>SUM(M67:M68)</f>
        <v>482703</v>
      </c>
      <c r="N69" s="163"/>
    </row>
    <row r="70" spans="2:14" ht="15.75" thickTop="1" x14ac:dyDescent="0.2">
      <c r="B70" s="35"/>
      <c r="C70" s="100"/>
      <c r="D70" s="100"/>
      <c r="E70" s="100"/>
      <c r="F70" s="100"/>
      <c r="G70" s="100"/>
      <c r="H70" s="100"/>
      <c r="I70" s="100"/>
      <c r="J70" s="100"/>
      <c r="K70" s="101"/>
      <c r="L70" s="101"/>
      <c r="M70" s="100"/>
      <c r="N70" s="102"/>
    </row>
  </sheetData>
  <mergeCells count="4">
    <mergeCell ref="C6:M6"/>
    <mergeCell ref="C7:M7"/>
    <mergeCell ref="C45:M45"/>
    <mergeCell ref="C62:M62"/>
  </mergeCells>
  <pageMargins left="0.7" right="0.7" top="0.75" bottom="0.75" header="0.3" footer="0.3"/>
  <ignoredErrors>
    <ignoredError sqref="M39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AAF81-FC09-41F8-804E-9973F3B1DB3F}">
  <dimension ref="A3:N72"/>
  <sheetViews>
    <sheetView showGridLines="0" topLeftCell="A10" workbookViewId="0">
      <selection activeCell="H16" sqref="H16:H18"/>
    </sheetView>
  </sheetViews>
  <sheetFormatPr defaultRowHeight="15" x14ac:dyDescent="0.2"/>
  <cols>
    <col min="1" max="1" width="5.6640625" style="12" customWidth="1"/>
    <col min="2" max="2" width="21.5546875" style="12" customWidth="1"/>
    <col min="3" max="3" width="16.21875" style="178" customWidth="1"/>
    <col min="4" max="4" width="14.77734375" style="12" customWidth="1"/>
    <col min="5" max="5" width="1.77734375" style="12" customWidth="1"/>
    <col min="6" max="6" width="14.77734375" style="12" customWidth="1"/>
    <col min="7" max="7" width="1.77734375" style="12" customWidth="1"/>
    <col min="8" max="8" width="14.77734375" style="30" customWidth="1"/>
    <col min="9" max="11" width="8.88671875" style="12"/>
    <col min="12" max="14" width="13.88671875" style="30" customWidth="1"/>
    <col min="15" max="16384" width="8.88671875" style="12"/>
  </cols>
  <sheetData>
    <row r="3" spans="1:13" x14ac:dyDescent="0.2">
      <c r="A3" s="12" t="s">
        <v>238</v>
      </c>
      <c r="D3" s="30">
        <f>D29</f>
        <v>98818</v>
      </c>
      <c r="E3" s="30"/>
      <c r="F3" s="30">
        <f>F29</f>
        <v>215314600</v>
      </c>
      <c r="G3" s="30"/>
      <c r="H3" s="30">
        <f t="shared" ref="H3" si="0">H29</f>
        <v>2295368.1259999997</v>
      </c>
    </row>
    <row r="4" spans="1:13" x14ac:dyDescent="0.2">
      <c r="A4" s="12" t="s">
        <v>90</v>
      </c>
      <c r="D4" s="30">
        <f>D38</f>
        <v>1664</v>
      </c>
      <c r="E4" s="30"/>
      <c r="F4" s="30">
        <f>F38</f>
        <v>5951200</v>
      </c>
      <c r="G4" s="30"/>
      <c r="H4" s="30">
        <f t="shared" ref="H4" si="1">H38</f>
        <v>80719.073000000004</v>
      </c>
    </row>
    <row r="5" spans="1:13" x14ac:dyDescent="0.2">
      <c r="A5" s="12" t="s">
        <v>151</v>
      </c>
      <c r="D5" s="30">
        <f>D47</f>
        <v>297</v>
      </c>
      <c r="E5" s="30"/>
      <c r="F5" s="30">
        <f>F47</f>
        <v>3764400</v>
      </c>
      <c r="G5" s="30"/>
      <c r="H5" s="30">
        <f t="shared" ref="H5" si="2">H47</f>
        <v>28337.909</v>
      </c>
    </row>
    <row r="6" spans="1:13" x14ac:dyDescent="0.2">
      <c r="A6" s="12" t="s">
        <v>225</v>
      </c>
      <c r="D6" s="30">
        <f>D54</f>
        <v>1127</v>
      </c>
      <c r="E6" s="30"/>
      <c r="F6" s="30">
        <f>F54</f>
        <v>28254200</v>
      </c>
      <c r="G6" s="30"/>
      <c r="H6" s="30">
        <f t="shared" ref="H6" si="3">H54</f>
        <v>245597.41200000001</v>
      </c>
    </row>
    <row r="7" spans="1:13" x14ac:dyDescent="0.2">
      <c r="A7" s="12" t="s">
        <v>226</v>
      </c>
      <c r="D7" s="30">
        <f>D61</f>
        <v>37</v>
      </c>
      <c r="E7" s="30"/>
      <c r="F7" s="30">
        <f>F61</f>
        <v>274500</v>
      </c>
      <c r="G7" s="30"/>
      <c r="H7" s="30">
        <f t="shared" ref="H7" si="4">H61</f>
        <v>8579.7890000000007</v>
      </c>
    </row>
    <row r="8" spans="1:13" x14ac:dyDescent="0.2">
      <c r="A8" s="12" t="s">
        <v>227</v>
      </c>
      <c r="D8" s="30">
        <f>D67</f>
        <v>24</v>
      </c>
      <c r="E8" s="30"/>
      <c r="F8" s="30">
        <f>F67</f>
        <v>2928200</v>
      </c>
      <c r="G8" s="30"/>
      <c r="H8" s="30">
        <f t="shared" ref="H8" si="5">H67</f>
        <v>18458.038</v>
      </c>
    </row>
    <row r="9" spans="1:13" x14ac:dyDescent="0.2">
      <c r="A9" s="12" t="s">
        <v>91</v>
      </c>
      <c r="D9" s="31">
        <f>D69</f>
        <v>12</v>
      </c>
      <c r="E9" s="30"/>
      <c r="F9" s="31">
        <f>F69</f>
        <v>7342660</v>
      </c>
      <c r="G9" s="30"/>
      <c r="H9" s="31">
        <f t="shared" ref="H9" si="6">H69</f>
        <v>32674.837</v>
      </c>
    </row>
    <row r="10" spans="1:13" ht="15.75" thickBot="1" x14ac:dyDescent="0.25">
      <c r="A10" s="12" t="s">
        <v>239</v>
      </c>
      <c r="D10" s="300">
        <f>SUM(D3:D9)</f>
        <v>101979</v>
      </c>
      <c r="E10" s="30"/>
      <c r="F10" s="300">
        <f>SUM(F3:F9)</f>
        <v>263829760</v>
      </c>
      <c r="G10" s="30"/>
      <c r="H10" s="30">
        <f t="shared" ref="H10" si="7">SUM(H3:H9)</f>
        <v>2709735.1839999994</v>
      </c>
    </row>
    <row r="11" spans="1:13" ht="15.75" thickTop="1" x14ac:dyDescent="0.2">
      <c r="A11" s="12" t="s">
        <v>240</v>
      </c>
      <c r="D11" s="30"/>
      <c r="E11" s="30"/>
      <c r="F11" s="30"/>
      <c r="G11" s="30"/>
      <c r="H11" s="31"/>
    </row>
    <row r="12" spans="1:13" x14ac:dyDescent="0.2">
      <c r="A12" s="12" t="s">
        <v>241</v>
      </c>
      <c r="D12" s="30"/>
      <c r="E12" s="30"/>
      <c r="F12" s="30"/>
      <c r="G12" s="30"/>
      <c r="H12" s="30">
        <f>SUM(H10:H11)</f>
        <v>2709735.1839999994</v>
      </c>
    </row>
    <row r="13" spans="1:13" x14ac:dyDescent="0.2">
      <c r="A13" s="12" t="s">
        <v>260</v>
      </c>
      <c r="B13" s="12" t="s">
        <v>259</v>
      </c>
      <c r="H13" s="31">
        <f>-'SAO - Op Ratio'!M15</f>
        <v>-1876972.6742000002</v>
      </c>
      <c r="L13" s="30">
        <f>-H13*'Rates Comp OR'!S4</f>
        <v>828495.73839188018</v>
      </c>
      <c r="M13" s="30">
        <f>-H13+L13</f>
        <v>2705468.4125918802</v>
      </c>
    </row>
    <row r="14" spans="1:13" ht="15.75" thickBot="1" x14ac:dyDescent="0.25">
      <c r="A14" s="12" t="s">
        <v>242</v>
      </c>
      <c r="H14" s="300">
        <f>SUM(H12:H13)</f>
        <v>832762.50979999918</v>
      </c>
    </row>
    <row r="15" spans="1:13" ht="15.75" thickTop="1" x14ac:dyDescent="0.2"/>
    <row r="16" spans="1:13" x14ac:dyDescent="0.2">
      <c r="A16" s="12" t="s">
        <v>259</v>
      </c>
      <c r="H16" s="30">
        <f>H12</f>
        <v>2709735.1839999994</v>
      </c>
    </row>
    <row r="17" spans="1:14" x14ac:dyDescent="0.2">
      <c r="A17" s="12" t="s">
        <v>260</v>
      </c>
      <c r="B17" s="12" t="s">
        <v>261</v>
      </c>
      <c r="H17" s="31">
        <f>-'SAO - Op Ratio'!M56</f>
        <v>-2705405</v>
      </c>
    </row>
    <row r="18" spans="1:14" ht="15.75" thickBot="1" x14ac:dyDescent="0.25">
      <c r="B18" s="12" t="s">
        <v>262</v>
      </c>
      <c r="H18" s="300">
        <f>SUM(H16:H17)</f>
        <v>4330.1839999994263</v>
      </c>
    </row>
    <row r="19" spans="1:14" ht="15.75" thickTop="1" x14ac:dyDescent="0.2"/>
    <row r="20" spans="1:14" x14ac:dyDescent="0.2">
      <c r="A20" s="301"/>
      <c r="B20" s="301"/>
      <c r="C20" s="302"/>
    </row>
    <row r="21" spans="1:14" x14ac:dyDescent="0.2">
      <c r="A21" s="301" t="s">
        <v>243</v>
      </c>
      <c r="B21" s="301"/>
      <c r="C21" s="302" t="s">
        <v>244</v>
      </c>
    </row>
    <row r="22" spans="1:14" x14ac:dyDescent="0.2">
      <c r="A22" s="303" t="s">
        <v>238</v>
      </c>
      <c r="B22" s="301"/>
    </row>
    <row r="24" spans="1:14" x14ac:dyDescent="0.2">
      <c r="A24" s="301" t="s">
        <v>245</v>
      </c>
      <c r="B24" s="301"/>
      <c r="C24" s="304">
        <f>'Rates Comp OR'!I11</f>
        <v>22.29</v>
      </c>
      <c r="D24" s="30">
        <v>57228</v>
      </c>
      <c r="E24" s="30"/>
      <c r="F24" s="30">
        <v>95744200</v>
      </c>
      <c r="G24" s="30"/>
      <c r="H24" s="30">
        <f>D24*$C24</f>
        <v>1275612.1199999999</v>
      </c>
      <c r="L24" s="30">
        <f>-ExBA!H29</f>
        <v>-884172.6</v>
      </c>
      <c r="M24" s="30">
        <f>SUM(H24,L24)</f>
        <v>391439.5199999999</v>
      </c>
      <c r="N24" s="309">
        <f>M24/(-L24)</f>
        <v>0.44271844660194165</v>
      </c>
    </row>
    <row r="25" spans="1:14" x14ac:dyDescent="0.2">
      <c r="A25" s="301" t="s">
        <v>246</v>
      </c>
      <c r="B25" s="301"/>
      <c r="C25" s="305">
        <f>'Rates Comp OR'!I12</f>
        <v>8.709999999999999E-3</v>
      </c>
      <c r="D25" s="30">
        <v>38227</v>
      </c>
      <c r="E25" s="30"/>
      <c r="F25" s="30">
        <v>102411700</v>
      </c>
      <c r="G25" s="30"/>
      <c r="H25" s="30">
        <f>$C25*F25</f>
        <v>892005.90699999989</v>
      </c>
    </row>
    <row r="26" spans="1:14" x14ac:dyDescent="0.2">
      <c r="A26" s="301" t="s">
        <v>247</v>
      </c>
      <c r="B26" s="301"/>
      <c r="C26" s="305">
        <f>'Rates Comp OR'!I13</f>
        <v>7.8000000000000005E-3</v>
      </c>
      <c r="D26" s="30">
        <v>2807</v>
      </c>
      <c r="E26" s="30"/>
      <c r="F26" s="30">
        <v>11502800</v>
      </c>
      <c r="G26" s="30"/>
      <c r="H26" s="30">
        <f t="shared" ref="H26:H28" si="8">$C26*F26</f>
        <v>89721.840000000011</v>
      </c>
    </row>
    <row r="27" spans="1:14" x14ac:dyDescent="0.2">
      <c r="A27" s="301" t="s">
        <v>248</v>
      </c>
      <c r="B27" s="301"/>
      <c r="C27" s="305">
        <f>'Rates Comp OR'!I14</f>
        <v>6.8999999999999999E-3</v>
      </c>
      <c r="D27" s="30">
        <v>510</v>
      </c>
      <c r="E27" s="30"/>
      <c r="F27" s="30">
        <v>4559800</v>
      </c>
      <c r="G27" s="30"/>
      <c r="H27" s="30">
        <f t="shared" si="8"/>
        <v>31462.62</v>
      </c>
    </row>
    <row r="28" spans="1:14" x14ac:dyDescent="0.2">
      <c r="A28" s="301" t="s">
        <v>249</v>
      </c>
      <c r="B28" s="301"/>
      <c r="C28" s="305">
        <f>'Rates Comp OR'!I15</f>
        <v>5.9899999999999997E-3</v>
      </c>
      <c r="D28" s="30">
        <v>46</v>
      </c>
      <c r="E28" s="30"/>
      <c r="F28" s="30">
        <v>1096100</v>
      </c>
      <c r="G28" s="30"/>
      <c r="H28" s="30">
        <f t="shared" si="8"/>
        <v>6565.6389999999992</v>
      </c>
    </row>
    <row r="29" spans="1:14" x14ac:dyDescent="0.2">
      <c r="A29" s="301"/>
      <c r="B29" s="301"/>
      <c r="C29" s="305"/>
      <c r="D29" s="30">
        <f>SUM(D24:D28)</f>
        <v>98818</v>
      </c>
      <c r="E29" s="30"/>
      <c r="F29" s="30">
        <f>SUM(F24:F28)</f>
        <v>215314600</v>
      </c>
      <c r="G29" s="30"/>
      <c r="H29" s="30">
        <f t="shared" ref="H29" si="9">SUM(H24:H28)</f>
        <v>2295368.1259999997</v>
      </c>
    </row>
    <row r="30" spans="1:14" x14ac:dyDescent="0.2">
      <c r="A30" s="301"/>
      <c r="B30" s="301"/>
      <c r="C30" s="305"/>
      <c r="D30" s="30"/>
      <c r="E30" s="30"/>
      <c r="F30" s="30"/>
      <c r="G30" s="30"/>
    </row>
    <row r="31" spans="1:14" x14ac:dyDescent="0.2">
      <c r="A31" s="303" t="s">
        <v>90</v>
      </c>
      <c r="B31" s="301"/>
      <c r="C31" s="305"/>
      <c r="D31" s="30"/>
      <c r="E31" s="30"/>
      <c r="F31" s="30"/>
      <c r="G31" s="30"/>
    </row>
    <row r="32" spans="1:14" x14ac:dyDescent="0.2">
      <c r="A32" s="301"/>
      <c r="B32" s="301"/>
      <c r="C32" s="305"/>
      <c r="D32" s="30"/>
      <c r="E32" s="30"/>
      <c r="F32" s="30"/>
      <c r="G32" s="30"/>
    </row>
    <row r="33" spans="1:8" x14ac:dyDescent="0.2">
      <c r="A33" s="301" t="s">
        <v>250</v>
      </c>
      <c r="B33" s="301"/>
      <c r="C33" s="304">
        <f>'Rates Comp OR'!I18</f>
        <v>48.35</v>
      </c>
      <c r="D33" s="30">
        <v>1212</v>
      </c>
      <c r="E33" s="30"/>
      <c r="F33" s="30">
        <v>3033400</v>
      </c>
      <c r="G33" s="30"/>
      <c r="H33" s="30">
        <f>D33*$C33</f>
        <v>58600.200000000004</v>
      </c>
    </row>
    <row r="34" spans="1:8" x14ac:dyDescent="0.2">
      <c r="A34" s="301" t="s">
        <v>251</v>
      </c>
      <c r="B34" s="301"/>
      <c r="C34" s="305">
        <f>C25</f>
        <v>8.709999999999999E-3</v>
      </c>
      <c r="D34" s="30">
        <v>267</v>
      </c>
      <c r="E34" s="30"/>
      <c r="F34" s="30">
        <v>870400</v>
      </c>
      <c r="G34" s="30"/>
      <c r="H34" s="30">
        <f>$C34*F34</f>
        <v>7581.1839999999993</v>
      </c>
    </row>
    <row r="35" spans="1:8" x14ac:dyDescent="0.2">
      <c r="A35" s="301" t="s">
        <v>247</v>
      </c>
      <c r="B35" s="301"/>
      <c r="C35" s="305">
        <f t="shared" ref="C35:C37" si="10">C26</f>
        <v>7.8000000000000005E-3</v>
      </c>
      <c r="D35" s="30">
        <v>108</v>
      </c>
      <c r="E35" s="30"/>
      <c r="F35" s="30">
        <v>806200</v>
      </c>
      <c r="G35" s="30"/>
      <c r="H35" s="30">
        <f t="shared" ref="H35:H37" si="11">$C35*F35</f>
        <v>6288.3600000000006</v>
      </c>
    </row>
    <row r="36" spans="1:8" x14ac:dyDescent="0.2">
      <c r="A36" s="301" t="s">
        <v>248</v>
      </c>
      <c r="B36" s="301"/>
      <c r="C36" s="305">
        <f t="shared" si="10"/>
        <v>6.8999999999999999E-3</v>
      </c>
      <c r="D36" s="30">
        <v>59</v>
      </c>
      <c r="E36" s="30"/>
      <c r="F36" s="30">
        <v>895100</v>
      </c>
      <c r="G36" s="30"/>
      <c r="H36" s="30">
        <f t="shared" si="11"/>
        <v>6176.19</v>
      </c>
    </row>
    <row r="37" spans="1:8" x14ac:dyDescent="0.2">
      <c r="A37" s="301" t="s">
        <v>249</v>
      </c>
      <c r="B37" s="301"/>
      <c r="C37" s="305">
        <f t="shared" si="10"/>
        <v>5.9899999999999997E-3</v>
      </c>
      <c r="D37" s="30">
        <v>18</v>
      </c>
      <c r="E37" s="30"/>
      <c r="F37" s="30">
        <v>346100</v>
      </c>
      <c r="G37" s="30"/>
      <c r="H37" s="30">
        <f t="shared" si="11"/>
        <v>2073.1389999999997</v>
      </c>
    </row>
    <row r="38" spans="1:8" x14ac:dyDescent="0.2">
      <c r="A38" s="301"/>
      <c r="B38" s="301"/>
      <c r="C38" s="305"/>
      <c r="D38" s="30">
        <f>SUM(D33:D37)</f>
        <v>1664</v>
      </c>
      <c r="E38" s="30"/>
      <c r="F38" s="30">
        <f>SUM(F33:F37)</f>
        <v>5951200</v>
      </c>
      <c r="G38" s="30"/>
      <c r="H38" s="30">
        <f t="shared" ref="H38" si="12">SUM(H33:H37)</f>
        <v>80719.073000000004</v>
      </c>
    </row>
    <row r="39" spans="1:8" x14ac:dyDescent="0.2">
      <c r="A39" s="301"/>
      <c r="B39" s="301"/>
      <c r="C39" s="305"/>
      <c r="D39" s="30"/>
      <c r="E39" s="30"/>
      <c r="F39" s="30"/>
      <c r="G39" s="30"/>
    </row>
    <row r="40" spans="1:8" x14ac:dyDescent="0.2">
      <c r="A40" s="303" t="s">
        <v>151</v>
      </c>
      <c r="B40" s="301"/>
      <c r="C40" s="305"/>
      <c r="D40" s="30"/>
      <c r="E40" s="30"/>
      <c r="F40" s="30"/>
      <c r="G40" s="30"/>
    </row>
    <row r="41" spans="1:8" x14ac:dyDescent="0.2">
      <c r="A41" s="301"/>
      <c r="B41" s="301"/>
      <c r="C41" s="305"/>
      <c r="D41" s="30"/>
      <c r="E41" s="30"/>
      <c r="F41" s="30"/>
      <c r="G41" s="30"/>
    </row>
    <row r="42" spans="1:8" x14ac:dyDescent="0.2">
      <c r="A42" s="301" t="s">
        <v>252</v>
      </c>
      <c r="B42" s="301"/>
      <c r="C42" s="304">
        <f>'Rates Comp OR'!I25</f>
        <v>70.099999999999994</v>
      </c>
      <c r="D42" s="30">
        <v>96</v>
      </c>
      <c r="E42" s="30"/>
      <c r="F42" s="30">
        <v>536500</v>
      </c>
      <c r="G42" s="30"/>
      <c r="H42" s="30">
        <f>D42*$C42</f>
        <v>6729.5999999999995</v>
      </c>
    </row>
    <row r="43" spans="1:8" x14ac:dyDescent="0.2">
      <c r="A43" s="301" t="s">
        <v>253</v>
      </c>
      <c r="B43" s="301"/>
      <c r="C43" s="305">
        <f>C34</f>
        <v>8.709999999999999E-3</v>
      </c>
      <c r="D43" s="30">
        <v>67</v>
      </c>
      <c r="E43" s="30"/>
      <c r="F43" s="30">
        <v>163000</v>
      </c>
      <c r="G43" s="30"/>
      <c r="H43" s="30">
        <f>$C43*F43</f>
        <v>1419.7299999999998</v>
      </c>
    </row>
    <row r="44" spans="1:8" x14ac:dyDescent="0.2">
      <c r="A44" s="301" t="s">
        <v>247</v>
      </c>
      <c r="B44" s="301"/>
      <c r="C44" s="305">
        <f t="shared" ref="C44:C46" si="13">C35</f>
        <v>7.8000000000000005E-3</v>
      </c>
      <c r="D44" s="30">
        <v>61</v>
      </c>
      <c r="E44" s="30"/>
      <c r="F44" s="30">
        <v>500500</v>
      </c>
      <c r="G44" s="30"/>
      <c r="H44" s="30">
        <f t="shared" ref="H44:H46" si="14">$C44*F44</f>
        <v>3903.9</v>
      </c>
    </row>
    <row r="45" spans="1:8" x14ac:dyDescent="0.2">
      <c r="A45" s="301" t="s">
        <v>248</v>
      </c>
      <c r="B45" s="301"/>
      <c r="C45" s="305">
        <f t="shared" si="13"/>
        <v>6.8999999999999999E-3</v>
      </c>
      <c r="D45" s="30">
        <v>44</v>
      </c>
      <c r="E45" s="30"/>
      <c r="F45" s="30">
        <v>1015300</v>
      </c>
      <c r="G45" s="30"/>
      <c r="H45" s="30">
        <f t="shared" si="14"/>
        <v>7005.57</v>
      </c>
    </row>
    <row r="46" spans="1:8" x14ac:dyDescent="0.2">
      <c r="A46" s="301" t="s">
        <v>249</v>
      </c>
      <c r="B46" s="301"/>
      <c r="C46" s="305">
        <f t="shared" si="13"/>
        <v>5.9899999999999997E-3</v>
      </c>
      <c r="D46" s="30">
        <v>29</v>
      </c>
      <c r="E46" s="30"/>
      <c r="F46" s="30">
        <v>1549100</v>
      </c>
      <c r="G46" s="30"/>
      <c r="H46" s="30">
        <f t="shared" si="14"/>
        <v>9279.1090000000004</v>
      </c>
    </row>
    <row r="47" spans="1:8" x14ac:dyDescent="0.2">
      <c r="A47" s="301"/>
      <c r="B47" s="301"/>
      <c r="C47" s="305"/>
      <c r="D47" s="30">
        <f>SUM(D42:D46)</f>
        <v>297</v>
      </c>
      <c r="E47" s="30"/>
      <c r="F47" s="30">
        <f>SUM(F42:F46)</f>
        <v>3764400</v>
      </c>
      <c r="G47" s="30"/>
      <c r="H47" s="30">
        <f t="shared" ref="H47" si="15">SUM(H42:H46)</f>
        <v>28337.909</v>
      </c>
    </row>
    <row r="48" spans="1:8" x14ac:dyDescent="0.2">
      <c r="A48" s="301"/>
      <c r="B48" s="301"/>
      <c r="C48" s="305"/>
      <c r="D48" s="30"/>
      <c r="E48" s="30"/>
      <c r="F48" s="30"/>
      <c r="G48" s="30"/>
    </row>
    <row r="49" spans="1:8" x14ac:dyDescent="0.2">
      <c r="A49" s="303" t="s">
        <v>225</v>
      </c>
      <c r="B49" s="301"/>
      <c r="C49" s="305"/>
      <c r="D49" s="30"/>
      <c r="E49" s="30"/>
      <c r="F49" s="30"/>
      <c r="G49" s="30"/>
    </row>
    <row r="50" spans="1:8" x14ac:dyDescent="0.2">
      <c r="A50" s="301"/>
      <c r="B50" s="301"/>
      <c r="C50" s="305"/>
      <c r="D50" s="30"/>
      <c r="E50" s="30"/>
      <c r="F50" s="30"/>
      <c r="G50" s="30"/>
    </row>
    <row r="51" spans="1:8" x14ac:dyDescent="0.2">
      <c r="A51" s="301" t="s">
        <v>254</v>
      </c>
      <c r="B51" s="301"/>
      <c r="C51" s="306">
        <f>'Rates Comp OR'!I32</f>
        <v>169.64000000000001</v>
      </c>
      <c r="D51" s="30">
        <v>683</v>
      </c>
      <c r="E51" s="30"/>
      <c r="F51" s="30">
        <v>7586800</v>
      </c>
      <c r="G51" s="30"/>
      <c r="H51" s="30">
        <f>D51*$C51</f>
        <v>115864.12000000001</v>
      </c>
    </row>
    <row r="52" spans="1:8" x14ac:dyDescent="0.2">
      <c r="A52" s="301" t="s">
        <v>248</v>
      </c>
      <c r="B52" s="301"/>
      <c r="C52" s="305">
        <f>C45</f>
        <v>6.8999999999999999E-3</v>
      </c>
      <c r="D52" s="30">
        <v>268</v>
      </c>
      <c r="E52" s="30"/>
      <c r="F52" s="30">
        <v>6522600</v>
      </c>
      <c r="G52" s="30"/>
      <c r="H52" s="30">
        <f>$C52*F52</f>
        <v>45005.94</v>
      </c>
    </row>
    <row r="53" spans="1:8" x14ac:dyDescent="0.2">
      <c r="A53" s="301" t="s">
        <v>249</v>
      </c>
      <c r="B53" s="301"/>
      <c r="C53" s="305">
        <f>C46</f>
        <v>5.9899999999999997E-3</v>
      </c>
      <c r="D53" s="30">
        <v>176</v>
      </c>
      <c r="E53" s="30"/>
      <c r="F53" s="30">
        <v>14144800</v>
      </c>
      <c r="G53" s="30"/>
      <c r="H53" s="30">
        <f t="shared" ref="H53" si="16">$C53*F53</f>
        <v>84727.351999999999</v>
      </c>
    </row>
    <row r="54" spans="1:8" x14ac:dyDescent="0.2">
      <c r="D54" s="30">
        <f>SUM(D51:D53)</f>
        <v>1127</v>
      </c>
      <c r="E54" s="30"/>
      <c r="F54" s="30">
        <f>SUM(F51:F53)</f>
        <v>28254200</v>
      </c>
      <c r="G54" s="30"/>
      <c r="H54" s="30">
        <f t="shared" ref="H54" si="17">SUM(H51:H53)</f>
        <v>245597.41200000001</v>
      </c>
    </row>
    <row r="55" spans="1:8" x14ac:dyDescent="0.2">
      <c r="D55" s="30"/>
      <c r="E55" s="30"/>
      <c r="F55" s="30"/>
      <c r="G55" s="30"/>
    </row>
    <row r="56" spans="1:8" x14ac:dyDescent="0.2">
      <c r="A56" s="307" t="s">
        <v>226</v>
      </c>
      <c r="B56" s="307"/>
      <c r="D56" s="30"/>
      <c r="E56" s="30"/>
      <c r="F56" s="30"/>
      <c r="G56" s="30"/>
    </row>
    <row r="57" spans="1:8" x14ac:dyDescent="0.2">
      <c r="D57" s="30"/>
      <c r="E57" s="30"/>
      <c r="F57" s="30"/>
      <c r="G57" s="30"/>
    </row>
    <row r="58" spans="1:8" x14ac:dyDescent="0.2">
      <c r="A58" s="301" t="s">
        <v>255</v>
      </c>
      <c r="B58" s="301"/>
      <c r="C58" s="304">
        <f>'Rates Comp OR'!I37</f>
        <v>238.69000000000003</v>
      </c>
      <c r="D58" s="30">
        <v>33</v>
      </c>
      <c r="E58" s="30"/>
      <c r="F58" s="30">
        <v>163500</v>
      </c>
      <c r="G58" s="30"/>
      <c r="H58" s="30">
        <f>D58*$C58</f>
        <v>7876.77</v>
      </c>
    </row>
    <row r="59" spans="1:8" x14ac:dyDescent="0.2">
      <c r="A59" s="301" t="s">
        <v>256</v>
      </c>
      <c r="B59" s="301"/>
      <c r="C59" s="305">
        <f>C52</f>
        <v>6.8999999999999999E-3</v>
      </c>
      <c r="D59" s="30">
        <v>3</v>
      </c>
      <c r="E59" s="30"/>
      <c r="F59" s="30">
        <v>41900</v>
      </c>
      <c r="G59" s="30"/>
      <c r="H59" s="30">
        <f>$C59*F59</f>
        <v>289.11</v>
      </c>
    </row>
    <row r="60" spans="1:8" x14ac:dyDescent="0.2">
      <c r="A60" s="301" t="s">
        <v>249</v>
      </c>
      <c r="B60" s="301"/>
      <c r="C60" s="305">
        <f>C53</f>
        <v>5.9899999999999997E-3</v>
      </c>
      <c r="D60" s="30">
        <v>1</v>
      </c>
      <c r="E60" s="30"/>
      <c r="F60" s="30">
        <v>69100</v>
      </c>
      <c r="G60" s="30"/>
      <c r="H60" s="30">
        <f t="shared" ref="H60" si="18">$C60*F60</f>
        <v>413.90899999999999</v>
      </c>
    </row>
    <row r="61" spans="1:8" x14ac:dyDescent="0.2">
      <c r="D61" s="30">
        <f>SUM(D58:D60)</f>
        <v>37</v>
      </c>
      <c r="E61" s="30"/>
      <c r="F61" s="30">
        <f>SUM(F58:F60)</f>
        <v>274500</v>
      </c>
      <c r="G61" s="30"/>
      <c r="H61" s="30">
        <f t="shared" ref="H61" si="19">SUM(H58:H60)</f>
        <v>8579.7890000000007</v>
      </c>
    </row>
    <row r="62" spans="1:8" x14ac:dyDescent="0.2">
      <c r="D62" s="30"/>
      <c r="E62" s="30"/>
      <c r="F62" s="30"/>
      <c r="G62" s="30"/>
    </row>
    <row r="63" spans="1:8" x14ac:dyDescent="0.2">
      <c r="A63" s="307" t="s">
        <v>227</v>
      </c>
      <c r="B63" s="307"/>
      <c r="D63" s="30"/>
      <c r="E63" s="30"/>
      <c r="F63" s="30"/>
      <c r="G63" s="30"/>
    </row>
    <row r="64" spans="1:8" x14ac:dyDescent="0.2">
      <c r="D64" s="30"/>
      <c r="E64" s="30"/>
      <c r="F64" s="30"/>
      <c r="G64" s="30"/>
    </row>
    <row r="65" spans="1:8" x14ac:dyDescent="0.2">
      <c r="A65" s="301" t="s">
        <v>257</v>
      </c>
      <c r="B65" s="301"/>
      <c r="C65" s="304">
        <f>'Rates Comp OR'!I42</f>
        <v>376.01</v>
      </c>
      <c r="D65" s="30">
        <v>12</v>
      </c>
      <c r="E65" s="30"/>
      <c r="F65" s="30">
        <v>600000</v>
      </c>
      <c r="G65" s="30"/>
      <c r="H65" s="30">
        <f>D65*$C65</f>
        <v>4512.12</v>
      </c>
    </row>
    <row r="66" spans="1:8" x14ac:dyDescent="0.2">
      <c r="A66" s="301" t="s">
        <v>249</v>
      </c>
      <c r="B66" s="301"/>
      <c r="C66" s="305">
        <f>C60</f>
        <v>5.9899999999999997E-3</v>
      </c>
      <c r="D66" s="30">
        <v>12</v>
      </c>
      <c r="E66" s="30"/>
      <c r="F66" s="30">
        <v>2328200</v>
      </c>
      <c r="G66" s="30"/>
      <c r="H66" s="30">
        <f>$C66*F66</f>
        <v>13945.918</v>
      </c>
    </row>
    <row r="67" spans="1:8" x14ac:dyDescent="0.2">
      <c r="A67" s="301"/>
      <c r="B67" s="301"/>
      <c r="C67" s="305"/>
      <c r="D67" s="30">
        <f>SUM(D65:D66)</f>
        <v>24</v>
      </c>
      <c r="E67" s="30"/>
      <c r="F67" s="30">
        <f>SUM(F65:F66)</f>
        <v>2928200</v>
      </c>
      <c r="G67" s="30"/>
      <c r="H67" s="30">
        <f t="shared" ref="H67" si="20">SUM(H65:H66)</f>
        <v>18458.038</v>
      </c>
    </row>
    <row r="68" spans="1:8" x14ac:dyDescent="0.2">
      <c r="A68" s="301"/>
      <c r="B68" s="301"/>
      <c r="C68" s="305"/>
      <c r="D68" s="30"/>
      <c r="E68" s="30"/>
      <c r="F68" s="30"/>
      <c r="G68" s="30"/>
    </row>
    <row r="69" spans="1:8" x14ac:dyDescent="0.2">
      <c r="A69" s="301" t="s">
        <v>258</v>
      </c>
      <c r="B69" s="301"/>
      <c r="C69" s="308">
        <f>'Rates Comp OR'!I45</f>
        <v>4.45E-3</v>
      </c>
      <c r="D69" s="30">
        <v>12</v>
      </c>
      <c r="E69" s="30"/>
      <c r="F69" s="30">
        <v>7342660</v>
      </c>
      <c r="G69" s="30"/>
      <c r="H69" s="30">
        <f>$C69*F69</f>
        <v>32674.837</v>
      </c>
    </row>
    <row r="70" spans="1:8" x14ac:dyDescent="0.2">
      <c r="A70" s="301"/>
      <c r="B70" s="301"/>
      <c r="C70" s="305"/>
      <c r="D70" s="30"/>
      <c r="E70" s="30"/>
      <c r="F70" s="30"/>
      <c r="G70" s="30"/>
    </row>
    <row r="71" spans="1:8" x14ac:dyDescent="0.2">
      <c r="A71" s="301" t="s">
        <v>29</v>
      </c>
      <c r="B71" s="301"/>
      <c r="D71" s="30">
        <f>SUM(D29,,D38,D47,D54,D61,D67,D69)</f>
        <v>101979</v>
      </c>
      <c r="E71" s="30"/>
      <c r="F71" s="30">
        <f>SUM(F29,,F38,F47,F54,F61,F67,F69)</f>
        <v>263829760</v>
      </c>
      <c r="G71" s="30"/>
      <c r="H71" s="30">
        <f t="shared" ref="H71" si="21">SUM(H29,,H38,H47,H54,H61,H67,H69)</f>
        <v>2709735.1839999994</v>
      </c>
    </row>
    <row r="72" spans="1:8" x14ac:dyDescent="0.2">
      <c r="H72" s="30">
        <v>1668484.3851999997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D673C-A2AC-444A-A8CD-80DE014E2781}">
  <dimension ref="A2:V101"/>
  <sheetViews>
    <sheetView showGridLines="0" topLeftCell="A40" workbookViewId="0">
      <selection sqref="A1:XFD1048576"/>
    </sheetView>
  </sheetViews>
  <sheetFormatPr defaultRowHeight="15" x14ac:dyDescent="0.2"/>
  <cols>
    <col min="1" max="1" width="7.33203125" style="286" customWidth="1"/>
    <col min="2" max="2" width="1.33203125" style="287" customWidth="1"/>
    <col min="3" max="3" width="37.33203125" style="287" customWidth="1"/>
    <col min="4" max="4" width="1.33203125" style="287" customWidth="1"/>
    <col min="5" max="5" width="10.77734375" style="288" customWidth="1"/>
    <col min="6" max="6" width="1.33203125" style="287" customWidth="1"/>
    <col min="7" max="7" width="12.77734375" style="273" customWidth="1"/>
    <col min="8" max="8" width="1.33203125" style="287" customWidth="1"/>
    <col min="9" max="9" width="10.77734375" style="288" customWidth="1"/>
    <col min="10" max="10" width="1.33203125" style="287" customWidth="1"/>
    <col min="11" max="11" width="10.77734375" style="288" customWidth="1"/>
    <col min="12" max="12" width="1.33203125" style="287" customWidth="1"/>
    <col min="13" max="13" width="7.6640625" style="289" customWidth="1"/>
    <col min="14" max="14" width="1.33203125" style="287" customWidth="1"/>
    <col min="15" max="15" width="10.77734375" style="288" customWidth="1"/>
    <col min="16" max="16" width="1.33203125" style="287" customWidth="1"/>
    <col min="17" max="17" width="10.77734375" style="288" customWidth="1"/>
    <col min="18" max="21" width="1.33203125" style="287" customWidth="1"/>
    <col min="22" max="22" width="8.88671875" style="290"/>
    <col min="23" max="23" width="1.33203125" style="287" customWidth="1"/>
    <col min="24" max="24" width="32.21875" style="287" customWidth="1"/>
    <col min="25" max="16384" width="8.88671875" style="287"/>
  </cols>
  <sheetData>
    <row r="2" spans="2:17" ht="14.25" x14ac:dyDescent="0.2">
      <c r="G2" s="288"/>
    </row>
    <row r="3" spans="2:17" x14ac:dyDescent="0.2">
      <c r="B3" s="54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</row>
    <row r="4" spans="2:17" x14ac:dyDescent="0.2">
      <c r="B4" s="54"/>
      <c r="C4" s="328"/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  <c r="Q4" s="328"/>
    </row>
    <row r="5" spans="2:17" x14ac:dyDescent="0.2"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8"/>
      <c r="Q5" s="328"/>
    </row>
    <row r="6" spans="2:17" x14ac:dyDescent="0.2">
      <c r="C6" s="50"/>
      <c r="D6" s="50"/>
      <c r="E6" s="50"/>
      <c r="F6" s="50"/>
      <c r="G6" s="50"/>
      <c r="H6" s="50"/>
      <c r="I6" s="50"/>
      <c r="J6" s="50"/>
      <c r="K6" s="50"/>
      <c r="L6" s="50"/>
      <c r="M6" s="94"/>
      <c r="N6" s="50"/>
      <c r="O6" s="50"/>
      <c r="P6" s="50"/>
      <c r="Q6" s="50"/>
    </row>
    <row r="7" spans="2:17" x14ac:dyDescent="0.2">
      <c r="G7" s="210"/>
      <c r="M7" s="94"/>
    </row>
    <row r="8" spans="2:17" x14ac:dyDescent="0.2">
      <c r="E8" s="291"/>
      <c r="G8" s="272"/>
      <c r="I8" s="292"/>
      <c r="K8" s="291"/>
      <c r="M8" s="94"/>
      <c r="O8" s="292"/>
      <c r="Q8" s="292"/>
    </row>
    <row r="9" spans="2:17" x14ac:dyDescent="0.2">
      <c r="C9" s="293"/>
      <c r="E9" s="291"/>
      <c r="G9" s="272"/>
      <c r="I9" s="291"/>
      <c r="K9" s="294"/>
      <c r="M9" s="94"/>
      <c r="O9" s="292"/>
      <c r="Q9" s="291"/>
    </row>
    <row r="10" spans="2:17" x14ac:dyDescent="0.2">
      <c r="C10" s="283"/>
      <c r="E10" s="291"/>
      <c r="I10" s="291"/>
      <c r="K10" s="294"/>
      <c r="O10" s="292"/>
      <c r="Q10" s="291"/>
    </row>
    <row r="11" spans="2:17" x14ac:dyDescent="0.2">
      <c r="C11" s="295"/>
    </row>
    <row r="12" spans="2:17" x14ac:dyDescent="0.2">
      <c r="C12" s="295"/>
    </row>
    <row r="13" spans="2:17" x14ac:dyDescent="0.2">
      <c r="C13" s="295"/>
    </row>
    <row r="14" spans="2:17" x14ac:dyDescent="0.2">
      <c r="C14" s="295"/>
    </row>
    <row r="15" spans="2:17" x14ac:dyDescent="0.2">
      <c r="C15" s="295"/>
    </row>
    <row r="16" spans="2:17" x14ac:dyDescent="0.2">
      <c r="C16" s="295"/>
    </row>
    <row r="17" spans="3:3" x14ac:dyDescent="0.2">
      <c r="C17" s="295"/>
    </row>
    <row r="18" spans="3:3" x14ac:dyDescent="0.2">
      <c r="C18" s="295"/>
    </row>
    <row r="19" spans="3:3" x14ac:dyDescent="0.2">
      <c r="C19" s="295"/>
    </row>
    <row r="20" spans="3:3" x14ac:dyDescent="0.2">
      <c r="C20" s="295"/>
    </row>
    <row r="21" spans="3:3" x14ac:dyDescent="0.2">
      <c r="C21" s="295"/>
    </row>
    <row r="22" spans="3:3" x14ac:dyDescent="0.2">
      <c r="C22" s="295"/>
    </row>
    <row r="23" spans="3:3" x14ac:dyDescent="0.2">
      <c r="C23" s="295"/>
    </row>
    <row r="24" spans="3:3" x14ac:dyDescent="0.2">
      <c r="C24" s="295"/>
    </row>
    <row r="25" spans="3:3" x14ac:dyDescent="0.2">
      <c r="C25" s="295"/>
    </row>
    <row r="26" spans="3:3" x14ac:dyDescent="0.2">
      <c r="C26" s="295"/>
    </row>
    <row r="27" spans="3:3" x14ac:dyDescent="0.2">
      <c r="C27" s="295"/>
    </row>
    <row r="28" spans="3:3" x14ac:dyDescent="0.2">
      <c r="C28" s="295"/>
    </row>
    <row r="29" spans="3:3" x14ac:dyDescent="0.2">
      <c r="C29" s="295"/>
    </row>
    <row r="30" spans="3:3" x14ac:dyDescent="0.2">
      <c r="C30" s="295"/>
    </row>
    <row r="31" spans="3:3" x14ac:dyDescent="0.2">
      <c r="C31" s="295"/>
    </row>
    <row r="32" spans="3:3" x14ac:dyDescent="0.2">
      <c r="C32" s="295"/>
    </row>
    <row r="33" spans="3:3" x14ac:dyDescent="0.2">
      <c r="C33" s="295"/>
    </row>
    <row r="34" spans="3:3" x14ac:dyDescent="0.2">
      <c r="C34" s="295"/>
    </row>
    <row r="35" spans="3:3" x14ac:dyDescent="0.2">
      <c r="C35" s="295"/>
    </row>
    <row r="36" spans="3:3" x14ac:dyDescent="0.2">
      <c r="C36" s="295"/>
    </row>
    <row r="37" spans="3:3" x14ac:dyDescent="0.2">
      <c r="C37" s="295"/>
    </row>
    <row r="38" spans="3:3" x14ac:dyDescent="0.2">
      <c r="C38" s="295"/>
    </row>
    <row r="39" spans="3:3" x14ac:dyDescent="0.2">
      <c r="C39" s="295"/>
    </row>
    <row r="40" spans="3:3" x14ac:dyDescent="0.2">
      <c r="C40" s="295"/>
    </row>
    <row r="41" spans="3:3" x14ac:dyDescent="0.2">
      <c r="C41" s="295"/>
    </row>
    <row r="42" spans="3:3" x14ac:dyDescent="0.2">
      <c r="C42" s="295"/>
    </row>
    <row r="43" spans="3:3" x14ac:dyDescent="0.2">
      <c r="C43" s="295"/>
    </row>
    <row r="44" spans="3:3" x14ac:dyDescent="0.2">
      <c r="C44" s="295"/>
    </row>
    <row r="45" spans="3:3" x14ac:dyDescent="0.2">
      <c r="C45" s="295"/>
    </row>
    <row r="46" spans="3:3" x14ac:dyDescent="0.2">
      <c r="C46" s="295"/>
    </row>
    <row r="47" spans="3:3" x14ac:dyDescent="0.2">
      <c r="C47" s="295"/>
    </row>
    <row r="48" spans="3:3" x14ac:dyDescent="0.2">
      <c r="C48" s="295"/>
    </row>
    <row r="49" spans="3:3" x14ac:dyDescent="0.2">
      <c r="C49" s="295"/>
    </row>
    <row r="50" spans="3:3" x14ac:dyDescent="0.2">
      <c r="C50" s="295"/>
    </row>
    <row r="51" spans="3:3" x14ac:dyDescent="0.2">
      <c r="C51" s="295"/>
    </row>
    <row r="52" spans="3:3" x14ac:dyDescent="0.2">
      <c r="C52" s="295"/>
    </row>
    <row r="53" spans="3:3" x14ac:dyDescent="0.2">
      <c r="C53" s="295"/>
    </row>
    <row r="54" spans="3:3" x14ac:dyDescent="0.2">
      <c r="C54" s="295"/>
    </row>
    <row r="55" spans="3:3" x14ac:dyDescent="0.2">
      <c r="C55" s="295"/>
    </row>
    <row r="56" spans="3:3" x14ac:dyDescent="0.2">
      <c r="C56" s="295"/>
    </row>
    <row r="57" spans="3:3" x14ac:dyDescent="0.2">
      <c r="C57" s="295"/>
    </row>
    <row r="58" spans="3:3" x14ac:dyDescent="0.2">
      <c r="C58" s="295"/>
    </row>
    <row r="59" spans="3:3" x14ac:dyDescent="0.2">
      <c r="C59" s="295"/>
    </row>
    <row r="60" spans="3:3" x14ac:dyDescent="0.2">
      <c r="C60" s="295"/>
    </row>
    <row r="61" spans="3:3" x14ac:dyDescent="0.2">
      <c r="C61" s="295"/>
    </row>
    <row r="62" spans="3:3" x14ac:dyDescent="0.2">
      <c r="C62" s="295"/>
    </row>
    <row r="63" spans="3:3" x14ac:dyDescent="0.2">
      <c r="C63" s="295"/>
    </row>
    <row r="64" spans="3:3" x14ac:dyDescent="0.2">
      <c r="C64" s="295"/>
    </row>
    <row r="65" spans="3:17" x14ac:dyDescent="0.2">
      <c r="C65" s="295"/>
    </row>
    <row r="66" spans="3:17" x14ac:dyDescent="0.2">
      <c r="C66" s="296"/>
    </row>
    <row r="67" spans="3:17" x14ac:dyDescent="0.2">
      <c r="C67" s="12"/>
    </row>
    <row r="68" spans="3:17" x14ac:dyDescent="0.2">
      <c r="C68" s="12"/>
    </row>
    <row r="69" spans="3:17" x14ac:dyDescent="0.2">
      <c r="C69" s="328"/>
      <c r="D69" s="328"/>
      <c r="E69" s="328"/>
      <c r="F69" s="328"/>
      <c r="G69" s="328"/>
      <c r="H69" s="328"/>
      <c r="I69" s="328"/>
      <c r="J69" s="328"/>
      <c r="K69" s="328"/>
      <c r="L69" s="328"/>
      <c r="M69" s="328"/>
      <c r="N69" s="328"/>
      <c r="O69" s="328"/>
      <c r="P69" s="328"/>
      <c r="Q69" s="328"/>
    </row>
    <row r="70" spans="3:17" x14ac:dyDescent="0.2">
      <c r="C70" s="328"/>
      <c r="D70" s="328"/>
      <c r="E70" s="328"/>
      <c r="F70" s="328"/>
      <c r="G70" s="328"/>
      <c r="H70" s="328"/>
      <c r="I70" s="328"/>
      <c r="J70" s="328"/>
      <c r="K70" s="328"/>
      <c r="L70" s="328"/>
      <c r="M70" s="328"/>
      <c r="N70" s="328"/>
      <c r="O70" s="328"/>
      <c r="P70" s="328"/>
      <c r="Q70" s="328"/>
    </row>
    <row r="71" spans="3:17" x14ac:dyDescent="0.2">
      <c r="C71" s="328"/>
      <c r="D71" s="328"/>
      <c r="E71" s="328"/>
      <c r="F71" s="328"/>
      <c r="G71" s="328"/>
      <c r="H71" s="328"/>
      <c r="I71" s="328"/>
      <c r="J71" s="328"/>
      <c r="K71" s="328"/>
      <c r="L71" s="328"/>
      <c r="M71" s="328"/>
      <c r="N71" s="328"/>
      <c r="O71" s="328"/>
      <c r="P71" s="328"/>
      <c r="Q71" s="328"/>
    </row>
    <row r="72" spans="3:17" x14ac:dyDescent="0.2">
      <c r="C72" s="50"/>
      <c r="D72" s="50"/>
      <c r="E72" s="50"/>
      <c r="F72" s="50"/>
      <c r="H72" s="50"/>
      <c r="I72" s="50"/>
      <c r="J72" s="50"/>
      <c r="K72" s="50"/>
      <c r="L72" s="50"/>
      <c r="M72" s="50"/>
      <c r="N72" s="50"/>
      <c r="O72" s="50"/>
      <c r="P72" s="50"/>
      <c r="Q72" s="50"/>
    </row>
    <row r="73" spans="3:17" x14ac:dyDescent="0.2">
      <c r="G73" s="210"/>
      <c r="M73" s="94"/>
    </row>
    <row r="74" spans="3:17" x14ac:dyDescent="0.2">
      <c r="E74" s="291"/>
      <c r="G74" s="272"/>
      <c r="I74" s="292"/>
      <c r="K74" s="291"/>
      <c r="M74" s="94"/>
      <c r="O74" s="292"/>
      <c r="Q74" s="292"/>
    </row>
    <row r="75" spans="3:17" x14ac:dyDescent="0.2">
      <c r="C75" s="293"/>
      <c r="E75" s="291"/>
      <c r="G75" s="272"/>
      <c r="I75" s="291"/>
      <c r="K75" s="294"/>
      <c r="M75" s="94"/>
      <c r="O75" s="292"/>
      <c r="Q75" s="291"/>
    </row>
    <row r="76" spans="3:17" x14ac:dyDescent="0.2">
      <c r="C76" s="283"/>
    </row>
    <row r="77" spans="3:17" x14ac:dyDescent="0.2">
      <c r="C77" s="295"/>
    </row>
    <row r="78" spans="3:17" x14ac:dyDescent="0.2">
      <c r="C78" s="295"/>
    </row>
    <row r="79" spans="3:17" x14ac:dyDescent="0.2">
      <c r="C79" s="296"/>
    </row>
    <row r="80" spans="3:17" x14ac:dyDescent="0.2">
      <c r="C80" s="12"/>
    </row>
    <row r="81" spans="3:3" x14ac:dyDescent="0.2">
      <c r="C81" s="283"/>
    </row>
    <row r="82" spans="3:3" x14ac:dyDescent="0.2">
      <c r="C82" s="295"/>
    </row>
    <row r="83" spans="3:3" x14ac:dyDescent="0.2">
      <c r="C83" s="295"/>
    </row>
    <row r="84" spans="3:3" x14ac:dyDescent="0.2">
      <c r="C84" s="295"/>
    </row>
    <row r="85" spans="3:3" x14ac:dyDescent="0.2">
      <c r="C85" s="297"/>
    </row>
    <row r="86" spans="3:3" x14ac:dyDescent="0.2">
      <c r="C86" s="12"/>
    </row>
    <row r="87" spans="3:3" x14ac:dyDescent="0.2">
      <c r="C87" s="283"/>
    </row>
    <row r="88" spans="3:3" x14ac:dyDescent="0.2">
      <c r="C88" s="295"/>
    </row>
    <row r="89" spans="3:3" x14ac:dyDescent="0.2">
      <c r="C89" s="295"/>
    </row>
    <row r="90" spans="3:3" x14ac:dyDescent="0.2">
      <c r="C90" s="12"/>
    </row>
    <row r="91" spans="3:3" x14ac:dyDescent="0.2">
      <c r="C91" s="12"/>
    </row>
    <row r="92" spans="3:3" x14ac:dyDescent="0.2">
      <c r="C92" s="283"/>
    </row>
    <row r="93" spans="3:3" x14ac:dyDescent="0.2">
      <c r="C93" s="295"/>
    </row>
    <row r="94" spans="3:3" x14ac:dyDescent="0.2">
      <c r="C94" s="295"/>
    </row>
    <row r="95" spans="3:3" x14ac:dyDescent="0.2">
      <c r="C95" s="295"/>
    </row>
    <row r="96" spans="3:3" x14ac:dyDescent="0.2">
      <c r="C96" s="296"/>
    </row>
    <row r="97" spans="3:7" x14ac:dyDescent="0.2">
      <c r="C97" s="12"/>
    </row>
    <row r="98" spans="3:7" x14ac:dyDescent="0.2">
      <c r="C98" s="283"/>
    </row>
    <row r="99" spans="3:7" x14ac:dyDescent="0.2">
      <c r="C99" s="295"/>
    </row>
    <row r="100" spans="3:7" x14ac:dyDescent="0.2">
      <c r="C100" s="12"/>
    </row>
    <row r="101" spans="3:7" x14ac:dyDescent="0.2">
      <c r="C101" s="12"/>
      <c r="G101" s="288"/>
    </row>
  </sheetData>
  <mergeCells count="6">
    <mergeCell ref="C70:Q70"/>
    <mergeCell ref="C71:Q71"/>
    <mergeCell ref="C3:Q3"/>
    <mergeCell ref="C4:Q4"/>
    <mergeCell ref="C5:Q5"/>
    <mergeCell ref="C69:Q69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46716-2944-4F60-9073-2388830C9D71}">
  <dimension ref="B1:M56"/>
  <sheetViews>
    <sheetView showGridLines="0" workbookViewId="0">
      <selection activeCell="B2" sqref="B2:M56"/>
    </sheetView>
  </sheetViews>
  <sheetFormatPr defaultColWidth="8.88671875" defaultRowHeight="14.25" x14ac:dyDescent="0.2"/>
  <cols>
    <col min="1" max="1" width="8.88671875" style="13"/>
    <col min="2" max="2" width="1.6640625" style="13" customWidth="1"/>
    <col min="3" max="3" width="12.5546875" style="13" customWidth="1"/>
    <col min="4" max="4" width="1.77734375" style="17" customWidth="1"/>
    <col min="5" max="5" width="12.77734375" style="13" customWidth="1"/>
    <col min="6" max="6" width="1.77734375" style="13" customWidth="1"/>
    <col min="7" max="7" width="12.77734375" style="13" customWidth="1"/>
    <col min="8" max="8" width="1.77734375" style="13" customWidth="1"/>
    <col min="9" max="9" width="12.77734375" style="13" customWidth="1"/>
    <col min="10" max="10" width="1.77734375" style="13" customWidth="1"/>
    <col min="11" max="11" width="12.77734375" style="13" customWidth="1"/>
    <col min="12" max="12" width="1.77734375" style="13" customWidth="1"/>
    <col min="13" max="13" width="1.5546875" style="13" customWidth="1"/>
    <col min="14" max="16384" width="8.88671875" style="13"/>
  </cols>
  <sheetData>
    <row r="1" spans="2:13" ht="15" x14ac:dyDescent="0.2">
      <c r="B1" s="12"/>
    </row>
    <row r="2" spans="2:13" ht="15" x14ac:dyDescent="0.2">
      <c r="B2" s="33"/>
      <c r="C2" s="14"/>
      <c r="D2" s="14"/>
      <c r="E2" s="14"/>
      <c r="F2" s="14"/>
      <c r="G2" s="14"/>
      <c r="H2" s="14"/>
      <c r="I2" s="14"/>
      <c r="J2" s="14"/>
      <c r="K2" s="14"/>
      <c r="L2" s="14"/>
      <c r="M2" s="15"/>
    </row>
    <row r="3" spans="2:13" ht="18" x14ac:dyDescent="0.25">
      <c r="B3" s="34"/>
      <c r="C3" s="334" t="s">
        <v>83</v>
      </c>
      <c r="D3" s="334"/>
      <c r="E3" s="334"/>
      <c r="F3" s="334"/>
      <c r="G3" s="334"/>
      <c r="H3" s="334"/>
      <c r="I3" s="334"/>
      <c r="J3" s="334"/>
      <c r="K3" s="334"/>
      <c r="L3" s="17"/>
      <c r="M3" s="16"/>
    </row>
    <row r="4" spans="2:13" ht="18" x14ac:dyDescent="0.25">
      <c r="B4" s="34"/>
      <c r="C4" s="335" t="s">
        <v>22</v>
      </c>
      <c r="D4" s="335"/>
      <c r="E4" s="335"/>
      <c r="F4" s="335"/>
      <c r="G4" s="335"/>
      <c r="H4" s="335"/>
      <c r="I4" s="335"/>
      <c r="J4" s="335"/>
      <c r="K4" s="335"/>
      <c r="L4" s="17"/>
      <c r="M4" s="16"/>
    </row>
    <row r="5" spans="2:13" ht="18" x14ac:dyDescent="0.2">
      <c r="B5" s="34"/>
      <c r="C5" s="336" t="str">
        <f>'SAO - DSC'!F1</f>
        <v>Graves County Water District</v>
      </c>
      <c r="D5" s="336"/>
      <c r="E5" s="336"/>
      <c r="F5" s="336"/>
      <c r="G5" s="336"/>
      <c r="H5" s="336"/>
      <c r="I5" s="336"/>
      <c r="J5" s="336"/>
      <c r="K5" s="336"/>
      <c r="L5" s="17"/>
      <c r="M5" s="16"/>
    </row>
    <row r="6" spans="2:13" ht="15" x14ac:dyDescent="0.2">
      <c r="B6" s="34"/>
      <c r="C6" s="337" t="s">
        <v>71</v>
      </c>
      <c r="D6" s="337"/>
      <c r="E6" s="337"/>
      <c r="F6" s="337"/>
      <c r="G6" s="337"/>
      <c r="H6" s="337"/>
      <c r="I6" s="337"/>
      <c r="J6" s="337"/>
      <c r="K6" s="337"/>
      <c r="L6" s="17"/>
      <c r="M6" s="16"/>
    </row>
    <row r="7" spans="2:13" ht="15" x14ac:dyDescent="0.2">
      <c r="B7" s="34"/>
      <c r="C7" s="18"/>
      <c r="D7" s="18"/>
      <c r="E7" s="18"/>
      <c r="F7" s="18"/>
      <c r="G7" s="18"/>
      <c r="H7" s="18"/>
      <c r="I7" s="17"/>
      <c r="J7" s="17"/>
      <c r="K7" s="17"/>
      <c r="L7" s="17"/>
      <c r="M7" s="16"/>
    </row>
    <row r="8" spans="2:13" ht="15" x14ac:dyDescent="0.2">
      <c r="B8" s="34"/>
      <c r="C8" s="333" t="s">
        <v>145</v>
      </c>
      <c r="D8" s="333"/>
      <c r="E8" s="333"/>
      <c r="F8" s="333"/>
      <c r="G8" s="333"/>
      <c r="H8" s="333"/>
      <c r="I8" s="333"/>
      <c r="J8" s="333"/>
      <c r="K8" s="333"/>
      <c r="L8" s="39"/>
      <c r="M8" s="16"/>
    </row>
    <row r="9" spans="2:13" ht="15" x14ac:dyDescent="0.2">
      <c r="B9" s="201"/>
      <c r="C9" s="17"/>
      <c r="E9" s="40"/>
      <c r="F9" s="22"/>
      <c r="G9" s="40"/>
      <c r="H9" s="22"/>
      <c r="I9" s="40" t="s">
        <v>98</v>
      </c>
      <c r="J9"/>
      <c r="K9" s="40" t="s">
        <v>53</v>
      </c>
      <c r="L9" s="17"/>
      <c r="M9" s="16"/>
    </row>
    <row r="10" spans="2:13" ht="15" x14ac:dyDescent="0.2">
      <c r="B10" s="201"/>
      <c r="C10" s="24" t="s">
        <v>37</v>
      </c>
      <c r="D10" s="22"/>
      <c r="E10" s="198" t="s">
        <v>23</v>
      </c>
      <c r="F10" s="22"/>
      <c r="G10" s="198" t="s">
        <v>24</v>
      </c>
      <c r="H10" s="22"/>
      <c r="I10" s="198" t="s">
        <v>143</v>
      </c>
      <c r="J10"/>
      <c r="K10" s="198" t="s">
        <v>89</v>
      </c>
      <c r="L10" s="17"/>
      <c r="M10" s="16"/>
    </row>
    <row r="11" spans="2:13" x14ac:dyDescent="0.2">
      <c r="B11" s="201"/>
      <c r="C11" s="19">
        <v>2025</v>
      </c>
      <c r="D11" s="19"/>
      <c r="E11" s="20">
        <f>SUM(E24,E36,E48)</f>
        <v>111247</v>
      </c>
      <c r="F11" s="17"/>
      <c r="G11" s="20">
        <f>SUM(G24,G36,G48)</f>
        <v>8857</v>
      </c>
      <c r="H11" s="17"/>
      <c r="I11" s="20">
        <f>SUM(I24,I36,I48)</f>
        <v>1307</v>
      </c>
      <c r="J11" s="17"/>
      <c r="K11" s="20">
        <f>SUM(E11,G11,I11)</f>
        <v>121411</v>
      </c>
      <c r="L11" s="17"/>
      <c r="M11" s="16"/>
    </row>
    <row r="12" spans="2:13" x14ac:dyDescent="0.2">
      <c r="B12" s="201"/>
      <c r="C12" s="19">
        <v>2026</v>
      </c>
      <c r="D12" s="19"/>
      <c r="E12" s="17">
        <f t="shared" ref="E12:G15" si="0">SUM(E25,E37,E49)</f>
        <v>261092.87</v>
      </c>
      <c r="F12" s="17"/>
      <c r="G12" s="17">
        <f t="shared" si="0"/>
        <v>7309</v>
      </c>
      <c r="H12" s="17"/>
      <c r="I12" s="17">
        <f t="shared" ref="I12" si="1">SUM(I25,I37,I49)</f>
        <v>900</v>
      </c>
      <c r="J12" s="17"/>
      <c r="K12" s="20">
        <f t="shared" ref="K12:K15" si="2">SUM(E12,G12,I12)</f>
        <v>269301.87</v>
      </c>
      <c r="L12" s="17"/>
      <c r="M12" s="16"/>
    </row>
    <row r="13" spans="2:13" x14ac:dyDescent="0.2">
      <c r="B13" s="201"/>
      <c r="C13" s="19">
        <v>2027</v>
      </c>
      <c r="D13" s="19"/>
      <c r="E13" s="17">
        <f t="shared" si="0"/>
        <v>41539</v>
      </c>
      <c r="F13" s="17"/>
      <c r="G13" s="17">
        <f t="shared" si="0"/>
        <v>5971</v>
      </c>
      <c r="H13" s="17"/>
      <c r="I13" s="17">
        <f t="shared" ref="I13" si="3">SUM(I26,I38,I50)</f>
        <v>597</v>
      </c>
      <c r="J13" s="17"/>
      <c r="K13" s="20">
        <f t="shared" si="2"/>
        <v>48107</v>
      </c>
      <c r="L13" s="17"/>
      <c r="M13" s="16"/>
    </row>
    <row r="14" spans="2:13" x14ac:dyDescent="0.2">
      <c r="B14" s="201"/>
      <c r="C14" s="19">
        <v>2028</v>
      </c>
      <c r="D14" s="19"/>
      <c r="E14" s="17">
        <f t="shared" si="0"/>
        <v>42373</v>
      </c>
      <c r="F14" s="17"/>
      <c r="G14" s="17">
        <f t="shared" si="0"/>
        <v>5137</v>
      </c>
      <c r="H14" s="17"/>
      <c r="I14" s="17">
        <f t="shared" ref="I14" si="4">SUM(I27,I39,I51)</f>
        <v>513</v>
      </c>
      <c r="J14" s="17"/>
      <c r="K14" s="20">
        <f t="shared" si="2"/>
        <v>48023</v>
      </c>
      <c r="L14" s="17"/>
      <c r="M14" s="16"/>
    </row>
    <row r="15" spans="2:13" ht="15" x14ac:dyDescent="0.2">
      <c r="B15" s="201"/>
      <c r="C15" s="19">
        <v>2029</v>
      </c>
      <c r="D15" s="19"/>
      <c r="E15" s="23">
        <f t="shared" si="0"/>
        <v>43225</v>
      </c>
      <c r="F15" s="17"/>
      <c r="G15" s="23">
        <f t="shared" si="0"/>
        <v>4285</v>
      </c>
      <c r="H15" s="21"/>
      <c r="I15" s="23">
        <f t="shared" ref="I15" si="5">SUM(I28,I40,I52)</f>
        <v>428</v>
      </c>
      <c r="J15"/>
      <c r="K15" s="23">
        <f t="shared" si="2"/>
        <v>47938</v>
      </c>
      <c r="L15" s="17"/>
      <c r="M15" s="16"/>
    </row>
    <row r="16" spans="2:13" ht="15" thickBot="1" x14ac:dyDescent="0.25">
      <c r="B16" s="201"/>
      <c r="C16" s="22" t="s">
        <v>0</v>
      </c>
      <c r="D16" s="22"/>
      <c r="E16" s="121">
        <f>SUM(E11:E15)</f>
        <v>499476.87</v>
      </c>
      <c r="F16" s="17"/>
      <c r="G16" s="121">
        <f>SUM(G11:G15)</f>
        <v>31559</v>
      </c>
      <c r="H16" s="17"/>
      <c r="I16" s="121">
        <f>SUM(I11:I15)</f>
        <v>3745</v>
      </c>
      <c r="J16" s="17"/>
      <c r="K16" s="121">
        <f>SUM(K11:K15)</f>
        <v>534780.87</v>
      </c>
      <c r="L16" s="17"/>
      <c r="M16" s="16"/>
    </row>
    <row r="17" spans="2:13" ht="15.75" thickTop="1" thickBot="1" x14ac:dyDescent="0.25">
      <c r="B17" s="201"/>
      <c r="C17" s="18" t="s">
        <v>52</v>
      </c>
      <c r="D17" s="18"/>
      <c r="E17" s="122">
        <f>ROUND(AVERAGE(E11:E15),0)</f>
        <v>99895</v>
      </c>
      <c r="F17" s="17"/>
      <c r="G17" s="122">
        <f>ROUND(AVERAGE(G11:G15),0)</f>
        <v>6312</v>
      </c>
      <c r="H17" s="17"/>
      <c r="I17" s="122">
        <f>ROUND(AVERAGE(I11:I15),0)</f>
        <v>749</v>
      </c>
      <c r="J17" s="17"/>
      <c r="K17" s="122">
        <f>ROUND(AVERAGE(K11:K15),0)</f>
        <v>106956</v>
      </c>
      <c r="L17" s="17"/>
      <c r="M17" s="16"/>
    </row>
    <row r="18" spans="2:13" ht="15.75" thickTop="1" thickBot="1" x14ac:dyDescent="0.25">
      <c r="B18" s="201"/>
      <c r="C18" s="18" t="s">
        <v>161</v>
      </c>
      <c r="E18" s="17"/>
      <c r="F18" s="17"/>
      <c r="G18" s="17"/>
      <c r="H18" s="17"/>
      <c r="I18" s="17"/>
      <c r="J18" s="17"/>
      <c r="K18" s="122">
        <f>ROUND(K17*0.2,0)</f>
        <v>21391</v>
      </c>
      <c r="L18" s="17"/>
      <c r="M18" s="16"/>
    </row>
    <row r="19" spans="2:13" ht="15" thickTop="1" x14ac:dyDescent="0.2">
      <c r="B19" s="201"/>
      <c r="C19" s="17"/>
      <c r="E19" s="17"/>
      <c r="F19" s="17"/>
      <c r="G19" s="17"/>
      <c r="H19" s="17"/>
      <c r="I19" s="17"/>
      <c r="J19" s="17"/>
      <c r="K19" s="207"/>
      <c r="L19" s="17"/>
      <c r="M19" s="16"/>
    </row>
    <row r="20" spans="2:13" ht="15" x14ac:dyDescent="0.2">
      <c r="B20" s="201"/>
      <c r="C20" s="333" t="s">
        <v>147</v>
      </c>
      <c r="D20" s="333"/>
      <c r="E20" s="333"/>
      <c r="F20" s="333"/>
      <c r="G20" s="333"/>
      <c r="H20" s="333"/>
      <c r="I20" s="333"/>
      <c r="J20" s="333"/>
      <c r="K20" s="333"/>
      <c r="L20" s="17"/>
      <c r="M20" s="16"/>
    </row>
    <row r="21" spans="2:13" x14ac:dyDescent="0.2">
      <c r="B21" s="201"/>
      <c r="C21" s="332" t="s">
        <v>182</v>
      </c>
      <c r="D21" s="332"/>
      <c r="E21" s="332"/>
      <c r="F21" s="332"/>
      <c r="G21" s="332"/>
      <c r="H21" s="332"/>
      <c r="I21" s="332"/>
      <c r="J21" s="332"/>
      <c r="K21" s="332"/>
      <c r="L21" s="17"/>
      <c r="M21" s="16"/>
    </row>
    <row r="22" spans="2:13" ht="15" x14ac:dyDescent="0.2">
      <c r="B22" s="201"/>
      <c r="C22" s="17"/>
      <c r="D22" s="22"/>
      <c r="E22" s="40"/>
      <c r="F22" s="22"/>
      <c r="G22" s="40"/>
      <c r="H22" s="22"/>
      <c r="I22" s="40" t="s">
        <v>98</v>
      </c>
      <c r="J22"/>
      <c r="K22" s="40" t="s">
        <v>53</v>
      </c>
      <c r="L22" s="17"/>
      <c r="M22" s="16"/>
    </row>
    <row r="23" spans="2:13" ht="15" x14ac:dyDescent="0.2">
      <c r="B23" s="201"/>
      <c r="C23" s="24" t="s">
        <v>37</v>
      </c>
      <c r="D23" s="22"/>
      <c r="E23" s="198" t="s">
        <v>23</v>
      </c>
      <c r="F23" s="22"/>
      <c r="G23" s="198" t="s">
        <v>24</v>
      </c>
      <c r="H23" s="22"/>
      <c r="I23" s="198" t="s">
        <v>143</v>
      </c>
      <c r="J23"/>
      <c r="K23" s="198" t="s">
        <v>89</v>
      </c>
      <c r="L23" s="17"/>
      <c r="M23" s="16"/>
    </row>
    <row r="24" spans="2:13" ht="15" x14ac:dyDescent="0.2">
      <c r="B24" s="201"/>
      <c r="C24" s="19">
        <v>2025</v>
      </c>
      <c r="D24" s="22"/>
      <c r="E24" s="20">
        <f>'Debt Sch'!E24</f>
        <v>39917</v>
      </c>
      <c r="F24" s="22">
        <f>SUM(K24,'KIA Loan B11-02'!K45)</f>
        <v>251768.63</v>
      </c>
      <c r="G24" s="20">
        <f>'Debt Sch'!G24</f>
        <v>7593</v>
      </c>
      <c r="H24" s="22">
        <f>SUM(D24,F24)</f>
        <v>251768.63</v>
      </c>
      <c r="I24" s="20">
        <f>'Debt Sch'!I24</f>
        <v>760</v>
      </c>
      <c r="J24"/>
      <c r="K24" s="20">
        <f>SUM(E24,G24,I24)</f>
        <v>48270</v>
      </c>
      <c r="L24" s="17"/>
      <c r="M24" s="16"/>
    </row>
    <row r="25" spans="2:13" ht="15" x14ac:dyDescent="0.2">
      <c r="B25" s="201"/>
      <c r="C25" s="19">
        <v>2026</v>
      </c>
      <c r="D25" s="21">
        <v>3500</v>
      </c>
      <c r="E25" s="17">
        <f>'Debt Sch'!E25</f>
        <v>40720</v>
      </c>
      <c r="F25" s="17">
        <f>SUM(K25,'KIA Loan B11-02'!K46)</f>
        <v>229967.63</v>
      </c>
      <c r="G25" s="17">
        <f>'Debt Sch'!G25</f>
        <v>6790</v>
      </c>
      <c r="H25" s="21">
        <f>SUM(D25,F25)</f>
        <v>233467.63</v>
      </c>
      <c r="I25" s="17">
        <f>'Debt Sch'!I25</f>
        <v>679</v>
      </c>
      <c r="J25"/>
      <c r="K25" s="17">
        <f>SUM(E25,G25,I25)</f>
        <v>48189</v>
      </c>
      <c r="L25" s="17"/>
      <c r="M25" s="16"/>
    </row>
    <row r="26" spans="2:13" ht="15" x14ac:dyDescent="0.2">
      <c r="B26" s="201"/>
      <c r="C26" s="19">
        <v>2027</v>
      </c>
      <c r="D26" s="21">
        <v>4000</v>
      </c>
      <c r="E26" s="17">
        <f>'Debt Sch'!E26</f>
        <v>41539</v>
      </c>
      <c r="F26" s="17">
        <f>SUM(K26,'KIA Loan B11-02'!K47)</f>
        <v>207948.63</v>
      </c>
      <c r="G26" s="17">
        <f>'Debt Sch'!G26</f>
        <v>5971</v>
      </c>
      <c r="H26" s="21">
        <f>SUM(D26,F26)</f>
        <v>211948.63</v>
      </c>
      <c r="I26" s="17">
        <f>'Debt Sch'!I26</f>
        <v>597</v>
      </c>
      <c r="J26"/>
      <c r="K26" s="17">
        <f>SUM(E26,G26,I26)</f>
        <v>48107</v>
      </c>
      <c r="L26" s="17"/>
      <c r="M26" s="16"/>
    </row>
    <row r="27" spans="2:13" ht="15" x14ac:dyDescent="0.2">
      <c r="B27" s="201"/>
      <c r="C27" s="19">
        <v>2028</v>
      </c>
      <c r="D27" s="21">
        <v>4000</v>
      </c>
      <c r="E27" s="17">
        <f>'Debt Sch'!E27</f>
        <v>42373</v>
      </c>
      <c r="F27" s="17">
        <f>SUM(K27,'KIA Loan B11-02'!K48)</f>
        <v>185707.63</v>
      </c>
      <c r="G27" s="17">
        <f>'Debt Sch'!G27</f>
        <v>5137</v>
      </c>
      <c r="H27" s="21">
        <f>SUM(D27,F27)</f>
        <v>189707.63</v>
      </c>
      <c r="I27" s="17">
        <f>'Debt Sch'!I27</f>
        <v>513</v>
      </c>
      <c r="J27"/>
      <c r="K27" s="17">
        <f>SUM(E27,G27,I27)</f>
        <v>48023</v>
      </c>
      <c r="L27" s="17"/>
      <c r="M27" s="16"/>
    </row>
    <row r="28" spans="2:13" ht="15" x14ac:dyDescent="0.2">
      <c r="B28" s="201"/>
      <c r="C28" s="19">
        <v>2029</v>
      </c>
      <c r="D28" s="21">
        <v>4000</v>
      </c>
      <c r="E28" s="23">
        <f>'Debt Sch'!E28</f>
        <v>43225</v>
      </c>
      <c r="F28" s="17">
        <f>SUM(K28,'KIA Loan B11-02'!K49)</f>
        <v>163244.63</v>
      </c>
      <c r="G28" s="23">
        <f>'Debt Sch'!G28</f>
        <v>4285</v>
      </c>
      <c r="H28" s="21">
        <f>SUM(D28,F28)</f>
        <v>167244.63</v>
      </c>
      <c r="I28" s="23">
        <f>'Debt Sch'!I28</f>
        <v>428</v>
      </c>
      <c r="J28"/>
      <c r="K28" s="23">
        <f>SUM(E28,G28,I28)</f>
        <v>47938</v>
      </c>
      <c r="L28" s="17"/>
      <c r="M28" s="16"/>
    </row>
    <row r="29" spans="2:13" ht="15" thickBot="1" x14ac:dyDescent="0.25">
      <c r="B29" s="201"/>
      <c r="C29" s="18" t="s">
        <v>0</v>
      </c>
      <c r="D29" s="120">
        <f t="shared" ref="D29:I29" si="6">SUM(D24:D28)</f>
        <v>15500</v>
      </c>
      <c r="E29" s="121">
        <f t="shared" si="6"/>
        <v>207774</v>
      </c>
      <c r="F29" s="17">
        <f t="shared" si="6"/>
        <v>1038637.15</v>
      </c>
      <c r="G29" s="121">
        <f t="shared" si="6"/>
        <v>29776</v>
      </c>
      <c r="H29" s="17">
        <f t="shared" si="6"/>
        <v>1054137.1499999999</v>
      </c>
      <c r="I29" s="121">
        <f t="shared" si="6"/>
        <v>2977</v>
      </c>
      <c r="J29" s="17"/>
      <c r="K29" s="121">
        <f>SUM(K24:K28)</f>
        <v>240527</v>
      </c>
      <c r="L29" s="17"/>
      <c r="M29" s="16"/>
    </row>
    <row r="30" spans="2:13" ht="16.5" thickTop="1" thickBot="1" x14ac:dyDescent="0.25">
      <c r="B30" s="201"/>
      <c r="C30" s="202" t="s">
        <v>144</v>
      </c>
      <c r="D30"/>
      <c r="E30" s="122">
        <f>ROUND(AVERAGE(E24:E28),0)</f>
        <v>41555</v>
      </c>
      <c r="F30" s="17"/>
      <c r="G30" s="122">
        <f>ROUND(AVERAGE(G24:G28),0)</f>
        <v>5955</v>
      </c>
      <c r="H30" s="17"/>
      <c r="I30" s="122">
        <f>ROUND(AVERAGE(I24:I28),0)</f>
        <v>595</v>
      </c>
      <c r="J30" s="17"/>
      <c r="K30" s="122">
        <f>ROUND(AVERAGE(K24:K28),0)</f>
        <v>48105</v>
      </c>
      <c r="L30" s="17"/>
      <c r="M30" s="16"/>
    </row>
    <row r="31" spans="2:13" ht="15.75" thickTop="1" thickBot="1" x14ac:dyDescent="0.25">
      <c r="B31" s="201"/>
      <c r="C31" s="18" t="s">
        <v>161</v>
      </c>
      <c r="D31" s="18"/>
      <c r="E31" s="207"/>
      <c r="F31" s="17"/>
      <c r="G31" s="207"/>
      <c r="H31" s="17"/>
      <c r="I31" s="207"/>
      <c r="J31" s="17"/>
      <c r="K31" s="211">
        <f>ROUND(K30*0.2,0)</f>
        <v>9621</v>
      </c>
      <c r="L31" s="17"/>
      <c r="M31" s="16"/>
    </row>
    <row r="32" spans="2:13" ht="15" thickTop="1" x14ac:dyDescent="0.2">
      <c r="B32" s="201"/>
      <c r="C32" s="17"/>
      <c r="E32" s="17"/>
      <c r="F32" s="17"/>
      <c r="G32" s="17"/>
      <c r="H32" s="17"/>
      <c r="I32" s="17"/>
      <c r="J32" s="17"/>
      <c r="K32" s="17"/>
      <c r="L32" s="17"/>
      <c r="M32" s="16"/>
    </row>
    <row r="33" spans="2:13" x14ac:dyDescent="0.2">
      <c r="B33" s="201"/>
      <c r="C33" s="332" t="s">
        <v>183</v>
      </c>
      <c r="D33" s="332"/>
      <c r="E33" s="332"/>
      <c r="F33" s="332"/>
      <c r="G33" s="332"/>
      <c r="H33" s="332"/>
      <c r="I33" s="332"/>
      <c r="J33" s="332"/>
      <c r="K33" s="332"/>
      <c r="L33" s="17"/>
      <c r="M33" s="16"/>
    </row>
    <row r="34" spans="2:13" ht="15" x14ac:dyDescent="0.2">
      <c r="B34" s="201"/>
      <c r="C34" s="17"/>
      <c r="D34" s="22"/>
      <c r="E34" s="40"/>
      <c r="F34" s="22"/>
      <c r="G34" s="40"/>
      <c r="H34" s="22"/>
      <c r="I34" s="40" t="s">
        <v>98</v>
      </c>
      <c r="J34"/>
      <c r="K34" s="40" t="s">
        <v>53</v>
      </c>
      <c r="L34" s="17"/>
      <c r="M34" s="16"/>
    </row>
    <row r="35" spans="2:13" ht="15" x14ac:dyDescent="0.2">
      <c r="B35" s="201"/>
      <c r="C35" s="24" t="s">
        <v>37</v>
      </c>
      <c r="D35" s="22"/>
      <c r="E35" s="198" t="s">
        <v>23</v>
      </c>
      <c r="F35" s="22"/>
      <c r="G35" s="198" t="s">
        <v>24</v>
      </c>
      <c r="H35" s="22"/>
      <c r="I35" s="198" t="s">
        <v>143</v>
      </c>
      <c r="J35"/>
      <c r="K35" s="198" t="s">
        <v>89</v>
      </c>
      <c r="L35" s="17"/>
      <c r="M35" s="16"/>
    </row>
    <row r="36" spans="2:13" ht="15" x14ac:dyDescent="0.2">
      <c r="B36" s="201"/>
      <c r="C36" s="19">
        <v>2025</v>
      </c>
      <c r="D36" s="22"/>
      <c r="E36" s="20">
        <f>'Debt Sch'!E36</f>
        <v>51458</v>
      </c>
      <c r="F36" s="22"/>
      <c r="G36" s="20">
        <f>'Debt Sch'!G36</f>
        <v>258</v>
      </c>
      <c r="H36" s="22">
        <f>SUM(D36,F36)</f>
        <v>0</v>
      </c>
      <c r="I36" s="20">
        <f>'Debt Sch'!I36</f>
        <v>129</v>
      </c>
      <c r="J36"/>
      <c r="K36" s="39">
        <f>SUM(E36,G36,I36)</f>
        <v>51845</v>
      </c>
      <c r="L36" s="17"/>
      <c r="M36" s="16"/>
    </row>
    <row r="37" spans="2:13" ht="15" x14ac:dyDescent="0.2">
      <c r="B37" s="201"/>
      <c r="C37" s="19">
        <v>2026</v>
      </c>
      <c r="D37" s="21">
        <v>3500</v>
      </c>
      <c r="E37" s="17">
        <f>'Debt Sch'!E37</f>
        <v>25837</v>
      </c>
      <c r="F37" s="17"/>
      <c r="G37" s="17">
        <f>'Debt Sch'!G37</f>
        <v>52</v>
      </c>
      <c r="H37" s="21">
        <f>SUM(D37,F37)</f>
        <v>3500</v>
      </c>
      <c r="I37" s="17">
        <f>'Debt Sch'!I37</f>
        <v>26</v>
      </c>
      <c r="J37"/>
      <c r="K37" s="39">
        <f>SUM(E37,G37,I37)</f>
        <v>25915</v>
      </c>
      <c r="L37" s="17"/>
      <c r="M37" s="16"/>
    </row>
    <row r="38" spans="2:13" ht="15" x14ac:dyDescent="0.2">
      <c r="B38" s="201"/>
      <c r="C38" s="19">
        <v>2027</v>
      </c>
      <c r="D38" s="21">
        <v>4000</v>
      </c>
      <c r="E38" s="17">
        <f>'Debt Sch'!E38</f>
        <v>0</v>
      </c>
      <c r="F38" s="17"/>
      <c r="G38" s="17">
        <f>'Debt Sch'!G38</f>
        <v>0</v>
      </c>
      <c r="H38" s="21">
        <f>SUM(D38,F38)</f>
        <v>4000</v>
      </c>
      <c r="I38" s="17">
        <f>'Debt Sch'!I38</f>
        <v>0</v>
      </c>
      <c r="J38"/>
      <c r="K38" s="39">
        <f>SUM(E38,G38,I38)</f>
        <v>0</v>
      </c>
      <c r="L38" s="17"/>
      <c r="M38" s="16"/>
    </row>
    <row r="39" spans="2:13" ht="15" x14ac:dyDescent="0.2">
      <c r="B39" s="201"/>
      <c r="C39" s="19">
        <v>2028</v>
      </c>
      <c r="D39" s="21">
        <v>4000</v>
      </c>
      <c r="E39" s="17">
        <f>'Debt Sch'!E39</f>
        <v>0</v>
      </c>
      <c r="F39" s="17"/>
      <c r="G39" s="17">
        <f>'Debt Sch'!G39</f>
        <v>0</v>
      </c>
      <c r="H39" s="21">
        <f>SUM(D39,F39)</f>
        <v>4000</v>
      </c>
      <c r="I39" s="17">
        <f>'Debt Sch'!I39</f>
        <v>0</v>
      </c>
      <c r="J39"/>
      <c r="K39" s="39">
        <f>SUM(E39,G39,I39)</f>
        <v>0</v>
      </c>
      <c r="L39" s="17"/>
      <c r="M39" s="16"/>
    </row>
    <row r="40" spans="2:13" ht="15" x14ac:dyDescent="0.2">
      <c r="B40" s="201"/>
      <c r="C40" s="19">
        <v>2029</v>
      </c>
      <c r="D40" s="21">
        <v>4000</v>
      </c>
      <c r="E40" s="23">
        <f>'Debt Sch'!E40</f>
        <v>0</v>
      </c>
      <c r="F40" s="17"/>
      <c r="G40" s="23">
        <f>'Debt Sch'!G40</f>
        <v>0</v>
      </c>
      <c r="H40" s="21">
        <f>SUM(D40,F40)</f>
        <v>4000</v>
      </c>
      <c r="I40" s="23">
        <f>'Debt Sch'!I40</f>
        <v>0</v>
      </c>
      <c r="J40"/>
      <c r="K40" s="143">
        <f>SUM(E40,G40,I40)</f>
        <v>0</v>
      </c>
      <c r="L40" s="17"/>
      <c r="M40" s="16"/>
    </row>
    <row r="41" spans="2:13" ht="15" thickBot="1" x14ac:dyDescent="0.25">
      <c r="B41" s="201"/>
      <c r="C41" s="18" t="s">
        <v>0</v>
      </c>
      <c r="D41" s="120">
        <f t="shared" ref="D41:E41" si="7">SUM(D36:D40)</f>
        <v>15500</v>
      </c>
      <c r="E41" s="121">
        <f t="shared" si="7"/>
        <v>77295</v>
      </c>
      <c r="F41" s="17"/>
      <c r="G41" s="121">
        <f t="shared" ref="G41:I41" si="8">SUM(G36:G40)</f>
        <v>310</v>
      </c>
      <c r="H41" s="17">
        <f t="shared" si="8"/>
        <v>15500</v>
      </c>
      <c r="I41" s="121">
        <f t="shared" si="8"/>
        <v>155</v>
      </c>
      <c r="J41" s="17"/>
      <c r="K41" s="121">
        <f>SUM(K36:K40)</f>
        <v>77760</v>
      </c>
      <c r="L41" s="17"/>
      <c r="M41" s="16"/>
    </row>
    <row r="42" spans="2:13" ht="16.5" thickTop="1" thickBot="1" x14ac:dyDescent="0.25">
      <c r="B42" s="201"/>
      <c r="C42" s="202" t="s">
        <v>144</v>
      </c>
      <c r="D42"/>
      <c r="E42" s="122">
        <f>ROUND(AVERAGE(E36:E40),0)</f>
        <v>15459</v>
      </c>
      <c r="F42" s="17"/>
      <c r="G42" s="122">
        <f>ROUND(AVERAGE(G36:G40),0)</f>
        <v>62</v>
      </c>
      <c r="H42" s="17"/>
      <c r="I42" s="122">
        <f>ROUND(AVERAGE(I36:I40),0)</f>
        <v>31</v>
      </c>
      <c r="J42" s="17"/>
      <c r="K42" s="122">
        <f>ROUND(AVERAGE(K36:K40),0)</f>
        <v>15552</v>
      </c>
      <c r="L42" s="17"/>
      <c r="M42" s="16"/>
    </row>
    <row r="43" spans="2:13" ht="15.75" thickTop="1" thickBot="1" x14ac:dyDescent="0.25">
      <c r="B43" s="201"/>
      <c r="C43" s="18" t="s">
        <v>161</v>
      </c>
      <c r="D43" s="18"/>
      <c r="E43" s="207"/>
      <c r="F43" s="17"/>
      <c r="G43" s="207"/>
      <c r="H43" s="17"/>
      <c r="I43" s="207"/>
      <c r="J43" s="17"/>
      <c r="K43" s="211">
        <f>ROUND(K42*0.2,0)</f>
        <v>3110</v>
      </c>
      <c r="L43" s="17"/>
      <c r="M43" s="16"/>
    </row>
    <row r="44" spans="2:13" ht="15" thickTop="1" x14ac:dyDescent="0.2">
      <c r="B44" s="201"/>
      <c r="C44" s="17"/>
      <c r="E44" s="17"/>
      <c r="F44" s="17"/>
      <c r="G44" s="17"/>
      <c r="H44" s="17"/>
      <c r="I44" s="17"/>
      <c r="J44" s="17"/>
      <c r="K44" s="17"/>
      <c r="L44" s="17"/>
      <c r="M44" s="16"/>
    </row>
    <row r="45" spans="2:13" x14ac:dyDescent="0.2">
      <c r="B45" s="201"/>
      <c r="C45" s="332" t="s">
        <v>184</v>
      </c>
      <c r="D45" s="332"/>
      <c r="E45" s="332"/>
      <c r="F45" s="332"/>
      <c r="G45" s="332"/>
      <c r="H45" s="332"/>
      <c r="I45" s="332"/>
      <c r="J45" s="332"/>
      <c r="K45" s="332"/>
      <c r="L45" s="17"/>
      <c r="M45" s="16"/>
    </row>
    <row r="46" spans="2:13" ht="15" x14ac:dyDescent="0.2">
      <c r="B46" s="201"/>
      <c r="C46" s="17"/>
      <c r="D46" s="22"/>
      <c r="E46" s="40"/>
      <c r="F46" s="22"/>
      <c r="G46" s="40"/>
      <c r="H46" s="22"/>
      <c r="I46" s="40" t="s">
        <v>98</v>
      </c>
      <c r="J46"/>
      <c r="K46" s="40" t="s">
        <v>53</v>
      </c>
      <c r="L46" s="17"/>
      <c r="M46" s="16"/>
    </row>
    <row r="47" spans="2:13" ht="15" x14ac:dyDescent="0.2">
      <c r="B47" s="201"/>
      <c r="C47" s="24" t="s">
        <v>37</v>
      </c>
      <c r="D47" s="22"/>
      <c r="E47" s="198" t="s">
        <v>23</v>
      </c>
      <c r="F47" s="22"/>
      <c r="G47" s="198" t="s">
        <v>24</v>
      </c>
      <c r="H47" s="22"/>
      <c r="I47" s="198" t="s">
        <v>143</v>
      </c>
      <c r="J47"/>
      <c r="K47" s="198" t="s">
        <v>89</v>
      </c>
      <c r="L47" s="17"/>
      <c r="M47" s="16"/>
    </row>
    <row r="48" spans="2:13" ht="15" x14ac:dyDescent="0.2">
      <c r="B48" s="201"/>
      <c r="C48" s="19">
        <v>2025</v>
      </c>
      <c r="D48" s="22"/>
      <c r="E48" s="20">
        <f>'Debt Sch'!E48</f>
        <v>19872</v>
      </c>
      <c r="F48" s="22"/>
      <c r="G48" s="20">
        <f>'Debt Sch'!G48</f>
        <v>1006</v>
      </c>
      <c r="H48" s="22">
        <f>SUM(D48,F48)</f>
        <v>0</v>
      </c>
      <c r="I48" s="20">
        <f>'Debt Sch'!I48</f>
        <v>418</v>
      </c>
      <c r="J48"/>
      <c r="K48" s="39">
        <f>SUM(E48,G48,I48)</f>
        <v>21296</v>
      </c>
      <c r="L48" s="17"/>
      <c r="M48" s="16"/>
    </row>
    <row r="49" spans="2:13" ht="15" x14ac:dyDescent="0.2">
      <c r="B49" s="201"/>
      <c r="C49" s="19">
        <v>2026</v>
      </c>
      <c r="D49" s="21">
        <v>3500</v>
      </c>
      <c r="E49" s="17">
        <f>'Debt Sch'!E49</f>
        <v>194535.87</v>
      </c>
      <c r="F49" s="17"/>
      <c r="G49" s="17">
        <f>'Debt Sch'!G49</f>
        <v>467</v>
      </c>
      <c r="H49" s="21">
        <f>SUM(D49,F49)</f>
        <v>3500</v>
      </c>
      <c r="I49" s="17">
        <f>'Debt Sch'!I49</f>
        <v>195</v>
      </c>
      <c r="J49"/>
      <c r="K49" s="39">
        <f>SUM(E49,G49,I49)</f>
        <v>195197.87</v>
      </c>
      <c r="L49" s="17"/>
      <c r="M49" s="16"/>
    </row>
    <row r="50" spans="2:13" ht="15" x14ac:dyDescent="0.2">
      <c r="B50" s="201"/>
      <c r="C50" s="19">
        <v>2027</v>
      </c>
      <c r="D50" s="21">
        <v>4000</v>
      </c>
      <c r="E50" s="17">
        <f>'Debt Sch'!E50</f>
        <v>0</v>
      </c>
      <c r="F50" s="17"/>
      <c r="G50" s="17">
        <f>'Debt Sch'!G50</f>
        <v>0</v>
      </c>
      <c r="H50" s="21">
        <f>SUM(D50,F50)</f>
        <v>4000</v>
      </c>
      <c r="I50" s="17">
        <f>'Debt Sch'!I50</f>
        <v>0</v>
      </c>
      <c r="J50"/>
      <c r="K50" s="39">
        <f>SUM(E50,G50,I50)</f>
        <v>0</v>
      </c>
      <c r="L50" s="17"/>
      <c r="M50" s="16"/>
    </row>
    <row r="51" spans="2:13" ht="15" x14ac:dyDescent="0.2">
      <c r="B51" s="201"/>
      <c r="C51" s="19">
        <v>2028</v>
      </c>
      <c r="D51" s="21">
        <v>4000</v>
      </c>
      <c r="E51" s="17">
        <f>'Debt Sch'!E51</f>
        <v>0</v>
      </c>
      <c r="F51" s="17"/>
      <c r="G51" s="17">
        <f>'Debt Sch'!G51</f>
        <v>0</v>
      </c>
      <c r="H51" s="21">
        <f>SUM(D51,F51)</f>
        <v>4000</v>
      </c>
      <c r="I51" s="17">
        <f>'Debt Sch'!I51</f>
        <v>0</v>
      </c>
      <c r="J51"/>
      <c r="K51" s="39">
        <f>SUM(E51,G51,I51)</f>
        <v>0</v>
      </c>
      <c r="L51" s="17"/>
      <c r="M51" s="16"/>
    </row>
    <row r="52" spans="2:13" ht="15" x14ac:dyDescent="0.2">
      <c r="B52" s="201"/>
      <c r="C52" s="19">
        <v>2029</v>
      </c>
      <c r="D52" s="21">
        <v>4000</v>
      </c>
      <c r="E52" s="23">
        <f>'Debt Sch'!E52</f>
        <v>0</v>
      </c>
      <c r="F52" s="17"/>
      <c r="G52" s="23">
        <f>'Debt Sch'!G52</f>
        <v>0</v>
      </c>
      <c r="H52" s="21">
        <f>SUM(D52,F52)</f>
        <v>4000</v>
      </c>
      <c r="I52" s="23">
        <f>'Debt Sch'!I52</f>
        <v>0</v>
      </c>
      <c r="J52"/>
      <c r="K52" s="143">
        <f>SUM(E52,G52,I52)</f>
        <v>0</v>
      </c>
      <c r="L52" s="17"/>
      <c r="M52" s="16"/>
    </row>
    <row r="53" spans="2:13" ht="15" thickBot="1" x14ac:dyDescent="0.25">
      <c r="B53" s="201"/>
      <c r="C53" s="18" t="s">
        <v>0</v>
      </c>
      <c r="D53" s="120">
        <f t="shared" ref="D53:I53" si="9">SUM(D48:D52)</f>
        <v>15500</v>
      </c>
      <c r="E53" s="121">
        <f t="shared" si="9"/>
        <v>214407.87</v>
      </c>
      <c r="F53" s="17"/>
      <c r="G53" s="121">
        <f t="shared" si="9"/>
        <v>1473</v>
      </c>
      <c r="H53" s="17">
        <f t="shared" si="9"/>
        <v>15500</v>
      </c>
      <c r="I53" s="121">
        <f t="shared" si="9"/>
        <v>613</v>
      </c>
      <c r="J53" s="17"/>
      <c r="K53" s="121">
        <f>SUM(K48:K52)</f>
        <v>216493.87</v>
      </c>
      <c r="L53" s="17"/>
      <c r="M53" s="16"/>
    </row>
    <row r="54" spans="2:13" ht="16.5" thickTop="1" thickBot="1" x14ac:dyDescent="0.25">
      <c r="B54" s="201"/>
      <c r="C54" s="202" t="s">
        <v>144</v>
      </c>
      <c r="D54"/>
      <c r="E54" s="122">
        <f>ROUND(AVERAGE(E48:E52),0)</f>
        <v>42882</v>
      </c>
      <c r="F54" s="17"/>
      <c r="G54" s="122">
        <f>ROUND(AVERAGE(G48:G52),0)</f>
        <v>295</v>
      </c>
      <c r="H54" s="17"/>
      <c r="I54" s="122">
        <f>ROUND(AVERAGE(I48:I52),0)</f>
        <v>123</v>
      </c>
      <c r="J54" s="17"/>
      <c r="K54" s="122">
        <f>ROUND(AVERAGE(K48:K52),0)</f>
        <v>43299</v>
      </c>
      <c r="L54" s="17"/>
      <c r="M54" s="16"/>
    </row>
    <row r="55" spans="2:13" ht="15.75" thickTop="1" thickBot="1" x14ac:dyDescent="0.25">
      <c r="B55" s="201"/>
      <c r="C55" s="18" t="s">
        <v>161</v>
      </c>
      <c r="D55" s="18"/>
      <c r="E55" s="207"/>
      <c r="F55" s="17"/>
      <c r="G55" s="207"/>
      <c r="H55" s="17"/>
      <c r="I55" s="207"/>
      <c r="J55" s="17"/>
      <c r="K55" s="211">
        <f>ROUND(K54*0.2,0)</f>
        <v>8660</v>
      </c>
      <c r="L55" s="17"/>
      <c r="M55" s="16"/>
    </row>
    <row r="56" spans="2:13" ht="15" thickTop="1" x14ac:dyDescent="0.2">
      <c r="B56" s="20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36"/>
    </row>
  </sheetData>
  <mergeCells count="9">
    <mergeCell ref="C20:K20"/>
    <mergeCell ref="C21:K21"/>
    <mergeCell ref="C45:K45"/>
    <mergeCell ref="C3:K3"/>
    <mergeCell ref="C4:K4"/>
    <mergeCell ref="C5:K5"/>
    <mergeCell ref="C6:K6"/>
    <mergeCell ref="C8:K8"/>
    <mergeCell ref="C33:K3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81B22-54E0-49BA-A807-7DF75422447C}">
  <dimension ref="B2:AD50"/>
  <sheetViews>
    <sheetView showGridLines="0" workbookViewId="0">
      <selection sqref="A1:XFD1048576"/>
    </sheetView>
  </sheetViews>
  <sheetFormatPr defaultColWidth="8.88671875" defaultRowHeight="15.75" x14ac:dyDescent="0.25"/>
  <cols>
    <col min="1" max="1" width="9.6640625" style="3" customWidth="1"/>
    <col min="2" max="2" width="1.109375" style="3" customWidth="1"/>
    <col min="3" max="3" width="4.77734375" style="3" customWidth="1"/>
    <col min="4" max="4" width="12.77734375" style="3" customWidth="1"/>
    <col min="5" max="5" width="9.33203125" style="3" customWidth="1"/>
    <col min="6" max="6" width="12.77734375" style="7" customWidth="1"/>
    <col min="7" max="7" width="12.77734375" style="3" customWidth="1"/>
    <col min="8" max="8" width="1.77734375" style="3" customWidth="1"/>
    <col min="9" max="9" width="12.77734375" style="7" customWidth="1"/>
    <col min="10" max="10" width="12.77734375" style="3" customWidth="1"/>
    <col min="11" max="11" width="1.77734375" style="3" customWidth="1"/>
    <col min="12" max="12" width="12.77734375" style="3" customWidth="1"/>
    <col min="13" max="13" width="1.77734375" style="3" customWidth="1"/>
    <col min="14" max="14" width="12.77734375" style="3" customWidth="1"/>
    <col min="15" max="16" width="1.77734375" style="3" customWidth="1"/>
    <col min="17" max="17" width="9.6640625" style="3" customWidth="1"/>
    <col min="18" max="18" width="1.77734375" style="3" customWidth="1"/>
    <col min="19" max="20" width="9.6640625" style="3" customWidth="1"/>
    <col min="21" max="21" width="8.109375" style="3" customWidth="1"/>
    <col min="22" max="22" width="1.77734375" style="3" customWidth="1"/>
    <col min="23" max="24" width="9.6640625" style="3" customWidth="1"/>
    <col min="25" max="25" width="1.77734375" style="3" customWidth="1"/>
    <col min="26" max="27" width="9.6640625" style="3" customWidth="1"/>
    <col min="28" max="28" width="1.77734375" style="3" customWidth="1"/>
    <col min="29" max="29" width="9.6640625" style="3" customWidth="1"/>
    <col min="30" max="30" width="1.77734375" style="3" customWidth="1"/>
    <col min="31" max="203" width="9.6640625" style="3" customWidth="1"/>
    <col min="204" max="16384" width="8.88671875" style="3"/>
  </cols>
  <sheetData>
    <row r="2" spans="2:30" ht="23.25" x14ac:dyDescent="0.35">
      <c r="B2" s="5"/>
      <c r="C2" s="41"/>
      <c r="D2" s="41"/>
      <c r="E2" s="41"/>
      <c r="F2" s="42"/>
      <c r="G2" s="41"/>
      <c r="H2" s="41"/>
      <c r="I2" s="42"/>
      <c r="J2" s="41"/>
      <c r="K2" s="41"/>
      <c r="L2" s="41"/>
      <c r="M2" s="41"/>
      <c r="N2" s="41"/>
      <c r="O2" s="43"/>
      <c r="R2" s="33"/>
      <c r="S2" s="41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43"/>
    </row>
    <row r="3" spans="2:30" ht="23.25" x14ac:dyDescent="0.35">
      <c r="B3" s="4"/>
      <c r="C3" s="346" t="s">
        <v>42</v>
      </c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7"/>
      <c r="R3" s="34"/>
      <c r="S3" s="352" t="s">
        <v>86</v>
      </c>
      <c r="T3" s="352"/>
      <c r="U3" s="352"/>
      <c r="V3" s="352"/>
      <c r="W3" s="352"/>
      <c r="X3" s="352"/>
      <c r="Y3" s="352"/>
      <c r="Z3" s="352"/>
      <c r="AA3" s="352"/>
      <c r="AB3" s="352"/>
      <c r="AC3" s="352"/>
      <c r="AD3" s="44"/>
    </row>
    <row r="4" spans="2:30" ht="23.25" x14ac:dyDescent="0.35">
      <c r="B4" s="4"/>
      <c r="C4" s="348" t="s">
        <v>169</v>
      </c>
      <c r="D4" s="348"/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9"/>
      <c r="R4" s="11"/>
      <c r="S4" s="353" t="s">
        <v>169</v>
      </c>
      <c r="T4" s="353"/>
      <c r="U4" s="353"/>
      <c r="V4" s="353"/>
      <c r="W4" s="353"/>
      <c r="X4" s="353"/>
      <c r="Y4" s="353"/>
      <c r="Z4" s="353"/>
      <c r="AA4" s="353"/>
      <c r="AB4" s="353"/>
      <c r="AC4" s="353"/>
      <c r="AD4" s="44"/>
    </row>
    <row r="5" spans="2:30" ht="23.25" x14ac:dyDescent="0.35">
      <c r="B5" s="4"/>
      <c r="C5" s="350" t="str">
        <f>'SAO - DSC'!F1</f>
        <v>Graves County Water District</v>
      </c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1"/>
      <c r="P5" s="37"/>
      <c r="R5" s="11"/>
      <c r="S5" s="354" t="str">
        <f>C5</f>
        <v>Graves County Water District</v>
      </c>
      <c r="T5" s="354"/>
      <c r="U5" s="354"/>
      <c r="V5" s="354"/>
      <c r="W5" s="354"/>
      <c r="X5" s="354"/>
      <c r="Y5" s="354"/>
      <c r="Z5" s="354"/>
      <c r="AA5" s="354"/>
      <c r="AB5" s="354"/>
      <c r="AC5" s="354"/>
      <c r="AD5" s="44"/>
    </row>
    <row r="6" spans="2:30" x14ac:dyDescent="0.25">
      <c r="B6" s="4"/>
      <c r="C6" s="46"/>
      <c r="D6" s="46"/>
      <c r="E6" s="46"/>
      <c r="F6" s="47"/>
      <c r="G6" s="46"/>
      <c r="H6" s="46"/>
      <c r="I6" s="47"/>
      <c r="J6" s="46"/>
      <c r="K6" s="46"/>
      <c r="L6" s="46"/>
      <c r="M6" s="46"/>
      <c r="N6" s="46"/>
      <c r="O6" s="44"/>
      <c r="R6" s="11"/>
      <c r="S6" s="277"/>
      <c r="T6" s="277"/>
      <c r="U6" s="277"/>
      <c r="V6" s="277"/>
      <c r="W6" s="277"/>
      <c r="X6" s="277"/>
      <c r="Y6" s="277"/>
      <c r="Z6" s="277"/>
      <c r="AA6" s="277"/>
      <c r="AB6" s="277"/>
      <c r="AC6" s="277"/>
      <c r="AD6" s="44"/>
    </row>
    <row r="7" spans="2:30" ht="21" x14ac:dyDescent="0.35">
      <c r="B7" s="4"/>
      <c r="L7" s="342" t="s">
        <v>82</v>
      </c>
      <c r="M7" s="342"/>
      <c r="N7" s="342"/>
      <c r="O7" s="44"/>
      <c r="R7" s="5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4"/>
    </row>
    <row r="8" spans="2:30" ht="21" x14ac:dyDescent="0.35">
      <c r="B8" s="4"/>
      <c r="F8" s="342" t="s">
        <v>132</v>
      </c>
      <c r="G8" s="342"/>
      <c r="H8" s="274"/>
      <c r="I8" s="342" t="s">
        <v>133</v>
      </c>
      <c r="J8" s="342"/>
      <c r="K8" s="275"/>
      <c r="L8" s="245" t="s">
        <v>134</v>
      </c>
      <c r="M8" s="275"/>
      <c r="N8" s="245" t="s">
        <v>135</v>
      </c>
      <c r="O8" s="44"/>
      <c r="R8" s="11"/>
      <c r="S8"/>
      <c r="T8"/>
      <c r="U8"/>
      <c r="V8"/>
      <c r="W8" s="345" t="s">
        <v>80</v>
      </c>
      <c r="X8" s="345"/>
      <c r="Y8"/>
      <c r="Z8" s="345" t="s">
        <v>81</v>
      </c>
      <c r="AA8" s="345"/>
      <c r="AB8"/>
      <c r="AC8" s="112" t="s">
        <v>82</v>
      </c>
      <c r="AD8" s="44"/>
    </row>
    <row r="9" spans="2:30" x14ac:dyDescent="0.25">
      <c r="B9" s="4"/>
      <c r="O9" s="44"/>
      <c r="R9" s="4"/>
      <c r="U9" s="7"/>
      <c r="V9" s="7"/>
      <c r="AB9" s="7"/>
      <c r="AD9" s="44"/>
    </row>
    <row r="10" spans="2:30" x14ac:dyDescent="0.25">
      <c r="B10" s="4"/>
      <c r="C10" s="39" t="s">
        <v>150</v>
      </c>
      <c r="F10" s="39"/>
      <c r="G10"/>
      <c r="I10" s="110"/>
      <c r="J10"/>
      <c r="K10"/>
      <c r="L10"/>
      <c r="M10"/>
      <c r="N10"/>
      <c r="O10" s="138"/>
      <c r="P10" s="45"/>
      <c r="R10" s="4"/>
      <c r="S10" s="39" t="s">
        <v>150</v>
      </c>
      <c r="V10" s="93"/>
      <c r="AB10" s="7"/>
      <c r="AD10" s="44"/>
    </row>
    <row r="11" spans="2:30" x14ac:dyDescent="0.25">
      <c r="B11" s="4"/>
      <c r="C11" s="25" t="s">
        <v>32</v>
      </c>
      <c r="D11" s="137">
        <v>2000</v>
      </c>
      <c r="E11" s="93" t="s">
        <v>56</v>
      </c>
      <c r="F11" s="110">
        <f>'Rates Comp OR'!F11</f>
        <v>15.45</v>
      </c>
      <c r="G11" t="s">
        <v>85</v>
      </c>
      <c r="I11" s="110">
        <f>'Rates Comp OR'!I11</f>
        <v>22.29</v>
      </c>
      <c r="J11" t="s">
        <v>85</v>
      </c>
      <c r="K11"/>
      <c r="L11" s="110">
        <f>I11-F11</f>
        <v>6.84</v>
      </c>
      <c r="M11"/>
      <c r="N11" s="276">
        <f>ROUND(L11/F11,4)</f>
        <v>0.44269999999999998</v>
      </c>
      <c r="O11" s="44"/>
      <c r="R11" s="4"/>
      <c r="S11" s="25" t="s">
        <v>32</v>
      </c>
      <c r="T11" s="137">
        <v>2000</v>
      </c>
      <c r="U11" s="93" t="s">
        <v>56</v>
      </c>
      <c r="V11" s="93"/>
      <c r="W11" s="278">
        <f t="shared" ref="W11:W14" si="0">F11</f>
        <v>15.45</v>
      </c>
      <c r="X11" t="s">
        <v>85</v>
      </c>
      <c r="Z11" s="278">
        <f t="shared" ref="Z11:Z14" si="1">I11</f>
        <v>22.29</v>
      </c>
      <c r="AA11" t="s">
        <v>85</v>
      </c>
      <c r="AB11" s="7"/>
      <c r="AC11" s="278">
        <f>Z11-W11</f>
        <v>6.84</v>
      </c>
      <c r="AD11" s="44"/>
    </row>
    <row r="12" spans="2:30" x14ac:dyDescent="0.25">
      <c r="B12" s="4"/>
      <c r="C12" s="25" t="s">
        <v>33</v>
      </c>
      <c r="D12" s="137">
        <v>8000</v>
      </c>
      <c r="E12" s="93" t="s">
        <v>56</v>
      </c>
      <c r="F12" s="164">
        <f>'Rates Comp OR'!F12</f>
        <v>6.0299999999999998E-3</v>
      </c>
      <c r="G12" t="s">
        <v>84</v>
      </c>
      <c r="I12" s="164">
        <f>'Rates Comp OR'!I12</f>
        <v>8.709999999999999E-3</v>
      </c>
      <c r="J12" t="s">
        <v>84</v>
      </c>
      <c r="K12"/>
      <c r="L12" s="164">
        <f>I12-F12</f>
        <v>2.6799999999999992E-3</v>
      </c>
      <c r="M12"/>
      <c r="N12" s="276">
        <f>ROUND(L12/F12,4)</f>
        <v>0.44440000000000002</v>
      </c>
      <c r="O12" s="44"/>
      <c r="R12" s="4"/>
      <c r="S12" s="25" t="s">
        <v>33</v>
      </c>
      <c r="T12" s="137">
        <v>8000</v>
      </c>
      <c r="U12" s="93" t="s">
        <v>56</v>
      </c>
      <c r="V12" s="93"/>
      <c r="W12" s="279">
        <f t="shared" si="0"/>
        <v>6.0299999999999998E-3</v>
      </c>
      <c r="X12" s="280" t="s">
        <v>84</v>
      </c>
      <c r="Y12" s="279"/>
      <c r="Z12" s="279">
        <f t="shared" si="1"/>
        <v>8.709999999999999E-3</v>
      </c>
      <c r="AA12" t="s">
        <v>84</v>
      </c>
      <c r="AB12" s="7"/>
      <c r="AC12" s="281">
        <f t="shared" ref="AC12:AC14" si="2">Z12-W12</f>
        <v>2.6799999999999992E-3</v>
      </c>
      <c r="AD12" s="44"/>
    </row>
    <row r="13" spans="2:30" x14ac:dyDescent="0.25">
      <c r="B13" s="4"/>
      <c r="C13" s="25" t="s">
        <v>33</v>
      </c>
      <c r="D13" s="137">
        <v>10000</v>
      </c>
      <c r="E13" s="93" t="s">
        <v>56</v>
      </c>
      <c r="F13" s="164">
        <f>'Rates Comp OR'!F13</f>
        <v>5.4000000000000003E-3</v>
      </c>
      <c r="G13" t="s">
        <v>84</v>
      </c>
      <c r="I13" s="164">
        <f>'Rates Comp OR'!I13</f>
        <v>7.8000000000000005E-3</v>
      </c>
      <c r="J13" t="s">
        <v>84</v>
      </c>
      <c r="K13"/>
      <c r="L13" s="164">
        <f t="shared" ref="L13:L14" si="3">I13-F13</f>
        <v>2.4000000000000002E-3</v>
      </c>
      <c r="M13"/>
      <c r="N13" s="276">
        <f t="shared" ref="N13:N14" si="4">ROUND(L13/F13,4)</f>
        <v>0.44440000000000002</v>
      </c>
      <c r="O13" s="44"/>
      <c r="R13" s="4"/>
      <c r="S13" s="25" t="s">
        <v>33</v>
      </c>
      <c r="T13" s="137">
        <v>10000</v>
      </c>
      <c r="U13" s="93" t="s">
        <v>56</v>
      </c>
      <c r="V13" s="93"/>
      <c r="W13" s="279">
        <f t="shared" si="0"/>
        <v>5.4000000000000003E-3</v>
      </c>
      <c r="X13" s="280" t="s">
        <v>84</v>
      </c>
      <c r="Y13" s="279"/>
      <c r="Z13" s="279">
        <f t="shared" si="1"/>
        <v>7.8000000000000005E-3</v>
      </c>
      <c r="AA13" t="s">
        <v>84</v>
      </c>
      <c r="AB13" s="7"/>
      <c r="AC13" s="281">
        <f t="shared" si="2"/>
        <v>2.4000000000000002E-3</v>
      </c>
      <c r="AD13" s="44"/>
    </row>
    <row r="14" spans="2:30" x14ac:dyDescent="0.25">
      <c r="B14" s="4"/>
      <c r="C14" s="25" t="s">
        <v>33</v>
      </c>
      <c r="D14" s="137">
        <v>30000</v>
      </c>
      <c r="E14" s="93" t="s">
        <v>56</v>
      </c>
      <c r="F14" s="164">
        <f>'Rates Comp OR'!F14</f>
        <v>4.7699999999999999E-3</v>
      </c>
      <c r="G14" t="s">
        <v>84</v>
      </c>
      <c r="I14" s="164">
        <f>'Rates Comp OR'!I14</f>
        <v>6.8999999999999999E-3</v>
      </c>
      <c r="J14" t="s">
        <v>84</v>
      </c>
      <c r="K14"/>
      <c r="L14" s="164">
        <f t="shared" si="3"/>
        <v>2.1299999999999999E-3</v>
      </c>
      <c r="M14"/>
      <c r="N14" s="276">
        <f t="shared" si="4"/>
        <v>0.44650000000000001</v>
      </c>
      <c r="O14" s="44"/>
      <c r="R14" s="4"/>
      <c r="S14" s="25" t="s">
        <v>33</v>
      </c>
      <c r="T14" s="137">
        <v>30000</v>
      </c>
      <c r="U14" s="93" t="s">
        <v>56</v>
      </c>
      <c r="V14" s="93"/>
      <c r="W14" s="279">
        <f t="shared" si="0"/>
        <v>4.7699999999999999E-3</v>
      </c>
      <c r="X14" s="280" t="s">
        <v>84</v>
      </c>
      <c r="Y14" s="279"/>
      <c r="Z14" s="279">
        <f t="shared" si="1"/>
        <v>6.8999999999999999E-3</v>
      </c>
      <c r="AA14" t="s">
        <v>84</v>
      </c>
      <c r="AB14" s="7"/>
      <c r="AC14" s="281">
        <f t="shared" si="2"/>
        <v>2.1299999999999999E-3</v>
      </c>
      <c r="AD14" s="44"/>
    </row>
    <row r="15" spans="2:30" x14ac:dyDescent="0.25">
      <c r="B15" s="4"/>
      <c r="C15" s="25" t="s">
        <v>44</v>
      </c>
      <c r="D15" s="137">
        <f>SUM(D11:D14)</f>
        <v>50000</v>
      </c>
      <c r="E15" s="93" t="s">
        <v>56</v>
      </c>
      <c r="F15" s="164">
        <f>'Rates Comp OR'!F15</f>
        <v>4.1399999999999996E-3</v>
      </c>
      <c r="G15" t="s">
        <v>84</v>
      </c>
      <c r="I15" s="164">
        <f>'Rates Comp OR'!I15</f>
        <v>5.9899999999999997E-3</v>
      </c>
      <c r="J15" t="s">
        <v>84</v>
      </c>
      <c r="K15"/>
      <c r="L15" s="164">
        <f t="shared" ref="L15" si="5">I15-F15</f>
        <v>1.8500000000000001E-3</v>
      </c>
      <c r="M15"/>
      <c r="N15" s="276">
        <f t="shared" ref="N15" si="6">ROUND(L15/F15,4)</f>
        <v>0.44690000000000002</v>
      </c>
      <c r="O15" s="44"/>
      <c r="R15" s="4"/>
      <c r="S15" s="25" t="s">
        <v>44</v>
      </c>
      <c r="T15" s="137">
        <f>SUM(T11:T14)</f>
        <v>50000</v>
      </c>
      <c r="U15" s="93" t="s">
        <v>56</v>
      </c>
      <c r="V15" s="137"/>
      <c r="W15" s="279">
        <f t="shared" ref="W15" si="7">F15</f>
        <v>4.1399999999999996E-3</v>
      </c>
      <c r="X15" s="280" t="s">
        <v>84</v>
      </c>
      <c r="Y15" s="279"/>
      <c r="Z15" s="279">
        <f t="shared" ref="Z15" si="8">I15</f>
        <v>5.9899999999999997E-3</v>
      </c>
      <c r="AA15" t="s">
        <v>84</v>
      </c>
      <c r="AB15" s="7"/>
      <c r="AC15" s="281">
        <f t="shared" ref="AC15" si="9">Z15-W15</f>
        <v>1.8500000000000001E-3</v>
      </c>
      <c r="AD15" s="44"/>
    </row>
    <row r="16" spans="2:30" x14ac:dyDescent="0.25">
      <c r="B16" s="4"/>
      <c r="C16"/>
      <c r="D16" s="137"/>
      <c r="E16" s="137"/>
      <c r="F16"/>
      <c r="G16"/>
      <c r="I16"/>
      <c r="J16"/>
      <c r="K16"/>
      <c r="L16"/>
      <c r="M16"/>
      <c r="N16"/>
      <c r="O16" s="44"/>
      <c r="R16" s="4"/>
      <c r="S16"/>
      <c r="T16" s="137"/>
      <c r="U16" s="137"/>
      <c r="V16" s="137"/>
      <c r="AB16" s="7"/>
      <c r="AD16" s="44"/>
    </row>
    <row r="17" spans="2:30" x14ac:dyDescent="0.25">
      <c r="B17" s="4"/>
      <c r="C17" s="39" t="s">
        <v>90</v>
      </c>
      <c r="D17" s="137"/>
      <c r="E17" s="137"/>
      <c r="F17" s="110"/>
      <c r="G17"/>
      <c r="I17" s="110"/>
      <c r="J17"/>
      <c r="K17"/>
      <c r="L17"/>
      <c r="M17"/>
      <c r="N17"/>
      <c r="O17" s="44"/>
      <c r="R17" s="4"/>
      <c r="S17" s="39" t="s">
        <v>90</v>
      </c>
      <c r="T17" s="137"/>
      <c r="U17" s="137"/>
      <c r="V17" s="93"/>
      <c r="AB17" s="7"/>
      <c r="AD17" s="44"/>
    </row>
    <row r="18" spans="2:30" x14ac:dyDescent="0.25">
      <c r="B18" s="4"/>
      <c r="C18" s="25" t="s">
        <v>32</v>
      </c>
      <c r="D18" s="26">
        <v>5000</v>
      </c>
      <c r="E18" s="93" t="s">
        <v>56</v>
      </c>
      <c r="F18" s="110">
        <f>'Rates Comp OR'!F18</f>
        <v>33.53</v>
      </c>
      <c r="G18" t="s">
        <v>85</v>
      </c>
      <c r="I18" s="110">
        <f>'Rates Comp OR'!I18</f>
        <v>48.35</v>
      </c>
      <c r="J18" t="s">
        <v>85</v>
      </c>
      <c r="K18"/>
      <c r="L18" s="110">
        <f>I18-F18</f>
        <v>14.82</v>
      </c>
      <c r="M18"/>
      <c r="N18" s="276">
        <f>ROUND(L18/F18,4)</f>
        <v>0.442</v>
      </c>
      <c r="O18" s="44"/>
      <c r="R18" s="4"/>
      <c r="S18" s="25" t="s">
        <v>32</v>
      </c>
      <c r="T18" s="26">
        <v>5000</v>
      </c>
      <c r="U18" s="93" t="s">
        <v>56</v>
      </c>
      <c r="V18" s="93"/>
      <c r="W18" s="278">
        <f t="shared" ref="W18:W22" si="10">F18</f>
        <v>33.53</v>
      </c>
      <c r="X18" t="s">
        <v>85</v>
      </c>
      <c r="Z18" s="278">
        <f t="shared" ref="Z18:Z22" si="11">I18</f>
        <v>48.35</v>
      </c>
      <c r="AA18" t="s">
        <v>85</v>
      </c>
      <c r="AB18" s="7"/>
      <c r="AC18" s="278">
        <f>Z18-W18</f>
        <v>14.82</v>
      </c>
      <c r="AD18" s="44"/>
    </row>
    <row r="19" spans="2:30" x14ac:dyDescent="0.25">
      <c r="B19" s="4"/>
      <c r="C19" s="25" t="s">
        <v>33</v>
      </c>
      <c r="D19" s="26">
        <v>5000</v>
      </c>
      <c r="E19" s="93" t="s">
        <v>56</v>
      </c>
      <c r="F19" s="164">
        <f>'Rates Comp OR'!F19</f>
        <v>6.0299999999999998E-3</v>
      </c>
      <c r="G19" t="s">
        <v>84</v>
      </c>
      <c r="I19" s="164">
        <f>'Rates Comp OR'!I19</f>
        <v>8.709999999999999E-3</v>
      </c>
      <c r="J19" t="s">
        <v>84</v>
      </c>
      <c r="K19"/>
      <c r="L19" s="164">
        <f>I19-F19</f>
        <v>2.6799999999999992E-3</v>
      </c>
      <c r="M19"/>
      <c r="N19" s="276">
        <f>ROUND(L19/F19,4)</f>
        <v>0.44440000000000002</v>
      </c>
      <c r="O19" s="44"/>
      <c r="R19" s="4"/>
      <c r="S19" s="25" t="s">
        <v>33</v>
      </c>
      <c r="T19" s="26">
        <v>5000</v>
      </c>
      <c r="U19" s="93" t="s">
        <v>56</v>
      </c>
      <c r="V19" s="93"/>
      <c r="W19" s="279">
        <f t="shared" si="10"/>
        <v>6.0299999999999998E-3</v>
      </c>
      <c r="X19" s="280" t="s">
        <v>84</v>
      </c>
      <c r="Y19" s="279"/>
      <c r="Z19" s="279">
        <f t="shared" si="11"/>
        <v>8.709999999999999E-3</v>
      </c>
      <c r="AA19" t="s">
        <v>84</v>
      </c>
      <c r="AB19" s="7"/>
      <c r="AC19" s="281">
        <f t="shared" ref="AC19:AC22" si="12">Z19-W19</f>
        <v>2.6799999999999992E-3</v>
      </c>
      <c r="AD19" s="44"/>
    </row>
    <row r="20" spans="2:30" x14ac:dyDescent="0.25">
      <c r="B20" s="4"/>
      <c r="C20" s="25" t="s">
        <v>33</v>
      </c>
      <c r="D20" s="26">
        <v>10000</v>
      </c>
      <c r="E20" s="93" t="s">
        <v>56</v>
      </c>
      <c r="F20" s="164">
        <f>'Rates Comp OR'!F20</f>
        <v>5.4000000000000003E-3</v>
      </c>
      <c r="G20" t="s">
        <v>84</v>
      </c>
      <c r="I20" s="164">
        <f>'Rates Comp OR'!I20</f>
        <v>7.8000000000000005E-3</v>
      </c>
      <c r="J20" t="s">
        <v>84</v>
      </c>
      <c r="K20"/>
      <c r="L20" s="164">
        <f t="shared" ref="L20:L22" si="13">I20-F20</f>
        <v>2.4000000000000002E-3</v>
      </c>
      <c r="M20"/>
      <c r="N20" s="276">
        <f t="shared" ref="N20:N22" si="14">ROUND(L20/F20,4)</f>
        <v>0.44440000000000002</v>
      </c>
      <c r="O20" s="44"/>
      <c r="R20" s="4"/>
      <c r="S20" s="25" t="s">
        <v>33</v>
      </c>
      <c r="T20" s="26">
        <v>10000</v>
      </c>
      <c r="U20" s="93" t="s">
        <v>56</v>
      </c>
      <c r="V20" s="137"/>
      <c r="W20" s="279">
        <f t="shared" si="10"/>
        <v>5.4000000000000003E-3</v>
      </c>
      <c r="X20" s="280" t="s">
        <v>84</v>
      </c>
      <c r="Y20" s="279"/>
      <c r="Z20" s="279">
        <f t="shared" si="11"/>
        <v>7.8000000000000005E-3</v>
      </c>
      <c r="AA20" t="s">
        <v>84</v>
      </c>
      <c r="AB20" s="7"/>
      <c r="AC20" s="281">
        <f t="shared" si="12"/>
        <v>2.4000000000000002E-3</v>
      </c>
      <c r="AD20" s="44"/>
    </row>
    <row r="21" spans="2:30" x14ac:dyDescent="0.25">
      <c r="B21" s="4"/>
      <c r="C21" s="25" t="s">
        <v>33</v>
      </c>
      <c r="D21" s="26">
        <v>30000</v>
      </c>
      <c r="E21" s="93" t="s">
        <v>56</v>
      </c>
      <c r="F21" s="164">
        <f>'Rates Comp OR'!F21</f>
        <v>4.7699999999999999E-3</v>
      </c>
      <c r="G21" t="s">
        <v>84</v>
      </c>
      <c r="I21" s="164">
        <f>'Rates Comp OR'!I21</f>
        <v>6.8999999999999999E-3</v>
      </c>
      <c r="J21" t="s">
        <v>84</v>
      </c>
      <c r="K21"/>
      <c r="L21" s="164">
        <f t="shared" si="13"/>
        <v>2.1299999999999999E-3</v>
      </c>
      <c r="M21"/>
      <c r="N21" s="276">
        <f t="shared" si="14"/>
        <v>0.44650000000000001</v>
      </c>
      <c r="O21" s="44"/>
      <c r="R21" s="4"/>
      <c r="S21" s="25" t="s">
        <v>33</v>
      </c>
      <c r="T21" s="26">
        <v>30000</v>
      </c>
      <c r="U21" s="93" t="s">
        <v>56</v>
      </c>
      <c r="V21" s="137"/>
      <c r="W21" s="279">
        <f t="shared" si="10"/>
        <v>4.7699999999999999E-3</v>
      </c>
      <c r="X21" s="280" t="s">
        <v>84</v>
      </c>
      <c r="Y21" s="279"/>
      <c r="Z21" s="279">
        <f t="shared" si="11"/>
        <v>6.8999999999999999E-3</v>
      </c>
      <c r="AA21" t="s">
        <v>84</v>
      </c>
      <c r="AB21" s="7"/>
      <c r="AC21" s="281">
        <f t="shared" si="12"/>
        <v>2.1299999999999999E-3</v>
      </c>
      <c r="AD21" s="44"/>
    </row>
    <row r="22" spans="2:30" x14ac:dyDescent="0.25">
      <c r="B22" s="4"/>
      <c r="C22" s="25" t="s">
        <v>44</v>
      </c>
      <c r="D22" s="26">
        <f>SUM(D18:D21)</f>
        <v>50000</v>
      </c>
      <c r="E22" s="93" t="s">
        <v>56</v>
      </c>
      <c r="F22" s="164">
        <f>'Rates Comp OR'!F22</f>
        <v>4.1399999999999996E-3</v>
      </c>
      <c r="G22" t="s">
        <v>84</v>
      </c>
      <c r="I22" s="164">
        <f>'Rates Comp OR'!I22</f>
        <v>5.9899999999999997E-3</v>
      </c>
      <c r="J22" t="s">
        <v>84</v>
      </c>
      <c r="K22"/>
      <c r="L22" s="164">
        <f t="shared" si="13"/>
        <v>1.8500000000000001E-3</v>
      </c>
      <c r="M22"/>
      <c r="N22" s="276">
        <f t="shared" si="14"/>
        <v>0.44690000000000002</v>
      </c>
      <c r="O22" s="44"/>
      <c r="R22" s="4"/>
      <c r="S22" s="25" t="s">
        <v>44</v>
      </c>
      <c r="T22" s="26">
        <f>SUM(T18:T21)</f>
        <v>50000</v>
      </c>
      <c r="U22" s="93" t="s">
        <v>56</v>
      </c>
      <c r="V22" s="93"/>
      <c r="W22" s="279">
        <f t="shared" si="10"/>
        <v>4.1399999999999996E-3</v>
      </c>
      <c r="X22" s="280" t="s">
        <v>84</v>
      </c>
      <c r="Y22" s="279"/>
      <c r="Z22" s="279">
        <f t="shared" si="11"/>
        <v>5.9899999999999997E-3</v>
      </c>
      <c r="AA22" t="s">
        <v>84</v>
      </c>
      <c r="AB22" s="7"/>
      <c r="AC22" s="281">
        <f t="shared" si="12"/>
        <v>1.8500000000000001E-3</v>
      </c>
      <c r="AD22" s="44"/>
    </row>
    <row r="23" spans="2:30" x14ac:dyDescent="0.25">
      <c r="B23" s="4"/>
      <c r="C23"/>
      <c r="D23" s="137"/>
      <c r="E23" s="137"/>
      <c r="F23" s="164"/>
      <c r="G23"/>
      <c r="I23" s="164"/>
      <c r="J23"/>
      <c r="K23"/>
      <c r="L23"/>
      <c r="M23"/>
      <c r="N23"/>
      <c r="O23" s="44"/>
      <c r="R23" s="4"/>
      <c r="S23"/>
      <c r="T23" s="137"/>
      <c r="U23" s="137"/>
      <c r="V23" s="93"/>
      <c r="AB23" s="7"/>
      <c r="AD23" s="44"/>
    </row>
    <row r="24" spans="2:30" x14ac:dyDescent="0.25">
      <c r="B24" s="4"/>
      <c r="C24" s="39" t="s">
        <v>151</v>
      </c>
      <c r="D24" s="137"/>
      <c r="E24" s="137"/>
      <c r="F24"/>
      <c r="G24"/>
      <c r="I24"/>
      <c r="J24"/>
      <c r="K24"/>
      <c r="L24"/>
      <c r="M24"/>
      <c r="N24"/>
      <c r="O24" s="44"/>
      <c r="R24" s="4"/>
      <c r="S24" s="39" t="s">
        <v>151</v>
      </c>
      <c r="T24" s="137"/>
      <c r="U24" s="137"/>
      <c r="V24" s="137"/>
      <c r="AB24" s="7"/>
      <c r="AD24" s="44"/>
    </row>
    <row r="25" spans="2:30" x14ac:dyDescent="0.25">
      <c r="B25" s="4"/>
      <c r="C25" s="25" t="s">
        <v>32</v>
      </c>
      <c r="D25" s="26">
        <v>7500</v>
      </c>
      <c r="E25" s="93" t="s">
        <v>56</v>
      </c>
      <c r="F25" s="110">
        <f>'Rates Comp OR'!F25</f>
        <v>48.62</v>
      </c>
      <c r="G25" t="s">
        <v>85</v>
      </c>
      <c r="I25" s="110">
        <f>'Rates Comp OR'!I25</f>
        <v>70.099999999999994</v>
      </c>
      <c r="J25" t="s">
        <v>85</v>
      </c>
      <c r="K25"/>
      <c r="L25" s="110">
        <f>I25-F25</f>
        <v>21.479999999999997</v>
      </c>
      <c r="M25"/>
      <c r="N25" s="276">
        <f>ROUND(L25/F25,4)</f>
        <v>0.44180000000000003</v>
      </c>
      <c r="O25" s="44"/>
      <c r="R25" s="4"/>
      <c r="S25" s="25" t="s">
        <v>32</v>
      </c>
      <c r="T25" s="26">
        <v>7500</v>
      </c>
      <c r="U25" s="93" t="s">
        <v>56</v>
      </c>
      <c r="V25" s="137"/>
      <c r="W25" s="278">
        <f t="shared" ref="W25:W29" si="15">F25</f>
        <v>48.62</v>
      </c>
      <c r="X25" t="s">
        <v>85</v>
      </c>
      <c r="Z25" s="278">
        <f t="shared" ref="Z25:Z29" si="16">I25</f>
        <v>70.099999999999994</v>
      </c>
      <c r="AA25" t="s">
        <v>85</v>
      </c>
      <c r="AB25" s="7"/>
      <c r="AC25" s="278">
        <f>Z25-W25</f>
        <v>21.479999999999997</v>
      </c>
      <c r="AD25" s="44"/>
    </row>
    <row r="26" spans="2:30" x14ac:dyDescent="0.25">
      <c r="B26" s="4"/>
      <c r="C26" s="25" t="s">
        <v>33</v>
      </c>
      <c r="D26" s="26">
        <v>2500</v>
      </c>
      <c r="E26" s="93" t="s">
        <v>56</v>
      </c>
      <c r="F26" s="164">
        <f>'Rates Comp OR'!F26</f>
        <v>6.0299999999999998E-3</v>
      </c>
      <c r="G26" t="s">
        <v>84</v>
      </c>
      <c r="I26" s="164">
        <f>'Rates Comp OR'!I26</f>
        <v>8.709999999999999E-3</v>
      </c>
      <c r="J26" t="s">
        <v>84</v>
      </c>
      <c r="K26"/>
      <c r="L26" s="164">
        <f>I26-F26</f>
        <v>2.6799999999999992E-3</v>
      </c>
      <c r="M26"/>
      <c r="N26" s="276">
        <f>ROUND(L26/F26,4)</f>
        <v>0.44440000000000002</v>
      </c>
      <c r="O26" s="44"/>
      <c r="R26" s="4"/>
      <c r="S26" s="25" t="s">
        <v>33</v>
      </c>
      <c r="T26" s="26">
        <v>2500</v>
      </c>
      <c r="U26" s="93" t="s">
        <v>56</v>
      </c>
      <c r="V26" s="93"/>
      <c r="W26" s="279">
        <f t="shared" si="15"/>
        <v>6.0299999999999998E-3</v>
      </c>
      <c r="X26" s="280" t="s">
        <v>84</v>
      </c>
      <c r="Y26" s="279"/>
      <c r="Z26" s="279">
        <f t="shared" si="16"/>
        <v>8.709999999999999E-3</v>
      </c>
      <c r="AA26" t="s">
        <v>84</v>
      </c>
      <c r="AB26" s="7"/>
      <c r="AC26" s="281">
        <f t="shared" ref="AC26:AC29" si="17">Z26-W26</f>
        <v>2.6799999999999992E-3</v>
      </c>
      <c r="AD26" s="44"/>
    </row>
    <row r="27" spans="2:30" x14ac:dyDescent="0.25">
      <c r="B27" s="4"/>
      <c r="C27" s="25" t="s">
        <v>33</v>
      </c>
      <c r="D27" s="26">
        <v>10000</v>
      </c>
      <c r="E27" s="93" t="s">
        <v>56</v>
      </c>
      <c r="F27" s="164">
        <f>'Rates Comp OR'!F27</f>
        <v>5.4000000000000003E-3</v>
      </c>
      <c r="G27" t="s">
        <v>84</v>
      </c>
      <c r="I27" s="164">
        <f>'Rates Comp OR'!I27</f>
        <v>7.8000000000000005E-3</v>
      </c>
      <c r="J27" t="s">
        <v>84</v>
      </c>
      <c r="K27"/>
      <c r="L27" s="164">
        <f t="shared" ref="L27:L29" si="18">I27-F27</f>
        <v>2.4000000000000002E-3</v>
      </c>
      <c r="M27"/>
      <c r="N27" s="276">
        <f t="shared" ref="N27:N29" si="19">ROUND(L27/F27,4)</f>
        <v>0.44440000000000002</v>
      </c>
      <c r="O27" s="44"/>
      <c r="R27" s="4"/>
      <c r="S27" s="25" t="s">
        <v>33</v>
      </c>
      <c r="T27" s="26">
        <v>10000</v>
      </c>
      <c r="U27" s="93" t="s">
        <v>56</v>
      </c>
      <c r="V27" s="93"/>
      <c r="W27" s="279">
        <f t="shared" si="15"/>
        <v>5.4000000000000003E-3</v>
      </c>
      <c r="X27" s="280" t="s">
        <v>84</v>
      </c>
      <c r="Y27" s="279"/>
      <c r="Z27" s="279">
        <f t="shared" si="16"/>
        <v>7.8000000000000005E-3</v>
      </c>
      <c r="AA27" t="s">
        <v>84</v>
      </c>
      <c r="AB27" s="7"/>
      <c r="AC27" s="281">
        <f t="shared" si="17"/>
        <v>2.4000000000000002E-3</v>
      </c>
      <c r="AD27" s="44"/>
    </row>
    <row r="28" spans="2:30" x14ac:dyDescent="0.25">
      <c r="B28" s="4"/>
      <c r="C28" s="25" t="s">
        <v>33</v>
      </c>
      <c r="D28" s="26">
        <v>30000</v>
      </c>
      <c r="E28" s="93" t="s">
        <v>56</v>
      </c>
      <c r="F28" s="164">
        <f>'Rates Comp OR'!F28</f>
        <v>4.7699999999999999E-3</v>
      </c>
      <c r="G28" t="s">
        <v>84</v>
      </c>
      <c r="I28" s="164">
        <f>'Rates Comp OR'!I28</f>
        <v>6.8999999999999999E-3</v>
      </c>
      <c r="J28" t="s">
        <v>84</v>
      </c>
      <c r="K28"/>
      <c r="L28" s="164">
        <f t="shared" si="18"/>
        <v>2.1299999999999999E-3</v>
      </c>
      <c r="M28"/>
      <c r="N28" s="276">
        <f t="shared" si="19"/>
        <v>0.44650000000000001</v>
      </c>
      <c r="O28" s="44"/>
      <c r="R28" s="4"/>
      <c r="S28" s="25" t="s">
        <v>33</v>
      </c>
      <c r="T28" s="26">
        <v>30000</v>
      </c>
      <c r="U28" s="93" t="s">
        <v>56</v>
      </c>
      <c r="V28" s="137"/>
      <c r="W28" s="279">
        <f t="shared" si="15"/>
        <v>4.7699999999999999E-3</v>
      </c>
      <c r="X28" s="280" t="s">
        <v>84</v>
      </c>
      <c r="Y28" s="279"/>
      <c r="Z28" s="279">
        <f t="shared" si="16"/>
        <v>6.8999999999999999E-3</v>
      </c>
      <c r="AA28" t="s">
        <v>84</v>
      </c>
      <c r="AB28" s="7"/>
      <c r="AC28" s="281">
        <f t="shared" si="17"/>
        <v>2.1299999999999999E-3</v>
      </c>
      <c r="AD28" s="44"/>
    </row>
    <row r="29" spans="2:30" x14ac:dyDescent="0.25">
      <c r="B29" s="4"/>
      <c r="C29" s="25" t="s">
        <v>44</v>
      </c>
      <c r="D29" s="26">
        <f>SUM(D25:D28)</f>
        <v>50000</v>
      </c>
      <c r="E29" s="93" t="s">
        <v>56</v>
      </c>
      <c r="F29" s="164">
        <f>'Rates Comp OR'!F29</f>
        <v>4.1399999999999996E-3</v>
      </c>
      <c r="G29" t="s">
        <v>84</v>
      </c>
      <c r="I29" s="164">
        <f>'Rates Comp OR'!I29</f>
        <v>5.9899999999999997E-3</v>
      </c>
      <c r="J29" t="s">
        <v>84</v>
      </c>
      <c r="K29"/>
      <c r="L29" s="164">
        <f t="shared" si="18"/>
        <v>1.8500000000000001E-3</v>
      </c>
      <c r="M29"/>
      <c r="N29" s="276">
        <f t="shared" si="19"/>
        <v>0.44690000000000002</v>
      </c>
      <c r="O29" s="44"/>
      <c r="R29" s="4"/>
      <c r="S29" s="25" t="s">
        <v>44</v>
      </c>
      <c r="T29" s="26">
        <f>SUM(T25:T28)</f>
        <v>50000</v>
      </c>
      <c r="U29" s="93" t="s">
        <v>56</v>
      </c>
      <c r="V29" s="137"/>
      <c r="W29" s="279">
        <f t="shared" si="15"/>
        <v>4.1399999999999996E-3</v>
      </c>
      <c r="X29" s="280" t="s">
        <v>84</v>
      </c>
      <c r="Y29" s="279"/>
      <c r="Z29" s="279">
        <f t="shared" si="16"/>
        <v>5.9899999999999997E-3</v>
      </c>
      <c r="AA29" t="s">
        <v>84</v>
      </c>
      <c r="AB29" s="7"/>
      <c r="AC29" s="281">
        <f t="shared" si="17"/>
        <v>1.8500000000000001E-3</v>
      </c>
      <c r="AD29" s="44"/>
    </row>
    <row r="30" spans="2:30" x14ac:dyDescent="0.25">
      <c r="B30" s="4"/>
      <c r="C30"/>
      <c r="D30" s="137"/>
      <c r="E30" s="137"/>
      <c r="F30" s="110"/>
      <c r="G30"/>
      <c r="I30" s="110"/>
      <c r="J30"/>
      <c r="K30"/>
      <c r="L30" s="110"/>
      <c r="M30"/>
      <c r="N30" s="276"/>
      <c r="O30" s="44"/>
      <c r="R30" s="4"/>
      <c r="S30"/>
      <c r="T30" s="137"/>
      <c r="U30" s="137"/>
      <c r="V30" s="93"/>
      <c r="AB30" s="7"/>
      <c r="AD30" s="44"/>
    </row>
    <row r="31" spans="2:30" x14ac:dyDescent="0.25">
      <c r="B31" s="4"/>
      <c r="C31" s="30" t="s">
        <v>225</v>
      </c>
      <c r="D31" s="137"/>
      <c r="E31" s="137"/>
      <c r="F31" s="164"/>
      <c r="G31"/>
      <c r="I31" s="164"/>
      <c r="J31"/>
      <c r="K31"/>
      <c r="L31" s="164"/>
      <c r="M31"/>
      <c r="N31" s="276"/>
      <c r="O31" s="44"/>
      <c r="R31" s="4"/>
      <c r="S31" s="30" t="s">
        <v>225</v>
      </c>
      <c r="T31" s="137"/>
      <c r="U31" s="137"/>
      <c r="V31" s="93"/>
      <c r="AB31" s="7"/>
      <c r="AD31" s="44"/>
    </row>
    <row r="32" spans="2:30" x14ac:dyDescent="0.25">
      <c r="B32" s="4"/>
      <c r="C32" s="25" t="s">
        <v>32</v>
      </c>
      <c r="D32" s="26">
        <v>20000</v>
      </c>
      <c r="E32" s="93" t="s">
        <v>56</v>
      </c>
      <c r="F32" s="110">
        <f>'Rates Comp OR'!F32</f>
        <v>117.68</v>
      </c>
      <c r="G32" t="s">
        <v>85</v>
      </c>
      <c r="I32" s="110">
        <f>'Rates Comp OR'!I32</f>
        <v>169.64000000000001</v>
      </c>
      <c r="J32" t="s">
        <v>85</v>
      </c>
      <c r="K32"/>
      <c r="L32" s="110">
        <f>I32-F32</f>
        <v>51.960000000000008</v>
      </c>
      <c r="M32"/>
      <c r="N32" s="276">
        <f>ROUND(L32/F32,4)</f>
        <v>0.4415</v>
      </c>
      <c r="O32" s="44"/>
      <c r="R32" s="4"/>
      <c r="S32" s="25" t="s">
        <v>32</v>
      </c>
      <c r="T32" s="26">
        <v>20000</v>
      </c>
      <c r="U32" s="93" t="s">
        <v>56</v>
      </c>
      <c r="V32" s="93"/>
      <c r="W32" s="278">
        <f t="shared" ref="W32:W34" si="20">F32</f>
        <v>117.68</v>
      </c>
      <c r="X32" t="s">
        <v>85</v>
      </c>
      <c r="Z32" s="278">
        <f t="shared" ref="Z32:Z34" si="21">I32</f>
        <v>169.64000000000001</v>
      </c>
      <c r="AA32" t="s">
        <v>85</v>
      </c>
      <c r="AB32" s="7"/>
      <c r="AC32" s="278">
        <f>Z32-W32</f>
        <v>51.960000000000008</v>
      </c>
      <c r="AD32" s="44"/>
    </row>
    <row r="33" spans="2:30" x14ac:dyDescent="0.25">
      <c r="B33" s="4"/>
      <c r="C33" s="25" t="s">
        <v>33</v>
      </c>
      <c r="D33" s="26">
        <v>30000</v>
      </c>
      <c r="E33" s="93" t="s">
        <v>56</v>
      </c>
      <c r="F33" s="164">
        <f>'Rates Comp OR'!F33</f>
        <v>4.7699999999999999E-3</v>
      </c>
      <c r="G33" t="s">
        <v>84</v>
      </c>
      <c r="I33" s="164">
        <f>'Rates Comp OR'!I33</f>
        <v>6.8999999999999999E-3</v>
      </c>
      <c r="J33" t="s">
        <v>84</v>
      </c>
      <c r="K33"/>
      <c r="L33" s="164">
        <f>I33-F33</f>
        <v>2.1299999999999999E-3</v>
      </c>
      <c r="M33"/>
      <c r="N33" s="276">
        <f>ROUND(L33/F33,4)</f>
        <v>0.44650000000000001</v>
      </c>
      <c r="O33" s="44"/>
      <c r="R33" s="4"/>
      <c r="S33" s="25" t="s">
        <v>33</v>
      </c>
      <c r="T33" s="26">
        <v>30000</v>
      </c>
      <c r="U33" s="93" t="s">
        <v>56</v>
      </c>
      <c r="V33" s="137"/>
      <c r="W33" s="279">
        <f t="shared" si="20"/>
        <v>4.7699999999999999E-3</v>
      </c>
      <c r="X33" s="280" t="s">
        <v>84</v>
      </c>
      <c r="Y33" s="279"/>
      <c r="Z33" s="279">
        <f t="shared" si="21"/>
        <v>6.8999999999999999E-3</v>
      </c>
      <c r="AA33" t="s">
        <v>84</v>
      </c>
      <c r="AB33" s="7"/>
      <c r="AC33" s="281">
        <f t="shared" ref="AC33:AC34" si="22">Z33-W33</f>
        <v>2.1299999999999999E-3</v>
      </c>
      <c r="AD33" s="44"/>
    </row>
    <row r="34" spans="2:30" x14ac:dyDescent="0.25">
      <c r="B34" s="4"/>
      <c r="C34" s="25" t="s">
        <v>44</v>
      </c>
      <c r="D34" s="26">
        <f>SUM(D32:D33)</f>
        <v>50000</v>
      </c>
      <c r="E34" s="93" t="s">
        <v>56</v>
      </c>
      <c r="F34" s="164">
        <f>'Rates Comp OR'!F34</f>
        <v>4.1399999999999996E-3</v>
      </c>
      <c r="G34" t="s">
        <v>84</v>
      </c>
      <c r="I34" s="164">
        <f>'Rates Comp OR'!I34</f>
        <v>5.9899999999999997E-3</v>
      </c>
      <c r="J34" t="s">
        <v>84</v>
      </c>
      <c r="K34"/>
      <c r="L34" s="164">
        <f t="shared" ref="L34" si="23">I34-F34</f>
        <v>1.8500000000000001E-3</v>
      </c>
      <c r="M34"/>
      <c r="N34" s="276">
        <f t="shared" ref="N34" si="24">ROUND(L34/F34,4)</f>
        <v>0.44690000000000002</v>
      </c>
      <c r="O34" s="44"/>
      <c r="R34" s="4"/>
      <c r="S34" s="25" t="s">
        <v>44</v>
      </c>
      <c r="T34" s="26">
        <f>SUM(T32:T33)</f>
        <v>50000</v>
      </c>
      <c r="U34" s="93" t="s">
        <v>56</v>
      </c>
      <c r="V34" s="93"/>
      <c r="W34" s="279">
        <f t="shared" si="20"/>
        <v>4.1399999999999996E-3</v>
      </c>
      <c r="X34" s="280" t="s">
        <v>84</v>
      </c>
      <c r="Y34" s="279"/>
      <c r="Z34" s="279">
        <f t="shared" si="21"/>
        <v>5.9899999999999997E-3</v>
      </c>
      <c r="AA34" t="s">
        <v>84</v>
      </c>
      <c r="AB34" s="7"/>
      <c r="AC34" s="281">
        <f t="shared" si="22"/>
        <v>1.8500000000000001E-3</v>
      </c>
      <c r="AD34" s="44"/>
    </row>
    <row r="35" spans="2:30" x14ac:dyDescent="0.25">
      <c r="B35" s="4"/>
      <c r="C35" s="25"/>
      <c r="D35" s="26"/>
      <c r="E35" s="93"/>
      <c r="F35" s="164"/>
      <c r="G35"/>
      <c r="I35" s="164"/>
      <c r="J35"/>
      <c r="K35"/>
      <c r="L35" s="164"/>
      <c r="M35"/>
      <c r="N35" s="276"/>
      <c r="O35" s="44"/>
      <c r="R35" s="4"/>
      <c r="S35" s="25"/>
      <c r="T35" s="26"/>
      <c r="U35" s="93"/>
      <c r="V35" s="93"/>
      <c r="W35" s="279"/>
      <c r="X35" s="280"/>
      <c r="Y35" s="279"/>
      <c r="Z35" s="279"/>
      <c r="AA35"/>
      <c r="AB35" s="7"/>
      <c r="AC35" s="281"/>
      <c r="AD35" s="44"/>
    </row>
    <row r="36" spans="2:30" x14ac:dyDescent="0.25">
      <c r="B36" s="4"/>
      <c r="C36" s="30" t="s">
        <v>226</v>
      </c>
      <c r="D36" s="137"/>
      <c r="E36" s="137"/>
      <c r="F36" s="164"/>
      <c r="G36"/>
      <c r="I36" s="164"/>
      <c r="J36"/>
      <c r="K36"/>
      <c r="L36" s="164"/>
      <c r="M36"/>
      <c r="N36"/>
      <c r="O36" s="44"/>
      <c r="R36" s="4"/>
      <c r="S36" s="30" t="s">
        <v>226</v>
      </c>
      <c r="T36" s="137"/>
      <c r="U36" s="137"/>
      <c r="V36" s="93"/>
      <c r="AB36" s="7"/>
      <c r="AD36" s="44"/>
    </row>
    <row r="37" spans="2:30" x14ac:dyDescent="0.25">
      <c r="B37" s="4"/>
      <c r="C37" s="25" t="s">
        <v>32</v>
      </c>
      <c r="D37" s="26">
        <v>30000</v>
      </c>
      <c r="E37" s="93" t="s">
        <v>56</v>
      </c>
      <c r="F37" s="110">
        <f>'Rates Comp OR'!F37</f>
        <v>165.58</v>
      </c>
      <c r="G37" t="s">
        <v>85</v>
      </c>
      <c r="I37" s="110">
        <f>'Rates Comp OR'!I37</f>
        <v>238.69000000000003</v>
      </c>
      <c r="J37" t="s">
        <v>85</v>
      </c>
      <c r="K37"/>
      <c r="L37" s="110">
        <f>I37-F37</f>
        <v>73.110000000000014</v>
      </c>
      <c r="M37"/>
      <c r="N37" s="276">
        <f>ROUND(L37/F37,4)</f>
        <v>0.4415</v>
      </c>
      <c r="O37" s="44"/>
      <c r="R37" s="4"/>
      <c r="S37" s="25" t="s">
        <v>32</v>
      </c>
      <c r="T37" s="26">
        <v>30000</v>
      </c>
      <c r="U37" s="93" t="s">
        <v>56</v>
      </c>
      <c r="V37" s="137"/>
      <c r="W37" s="278">
        <f t="shared" ref="W37:W39" si="25">F37</f>
        <v>165.58</v>
      </c>
      <c r="X37" t="s">
        <v>85</v>
      </c>
      <c r="Z37" s="278">
        <f t="shared" ref="Z37:Z39" si="26">I37</f>
        <v>238.69000000000003</v>
      </c>
      <c r="AA37" t="s">
        <v>85</v>
      </c>
      <c r="AB37" s="7"/>
      <c r="AC37" s="278">
        <f>Z37-W37</f>
        <v>73.110000000000014</v>
      </c>
      <c r="AD37" s="44"/>
    </row>
    <row r="38" spans="2:30" x14ac:dyDescent="0.25">
      <c r="B38" s="4"/>
      <c r="C38" s="25" t="s">
        <v>33</v>
      </c>
      <c r="D38" s="26">
        <v>20000</v>
      </c>
      <c r="E38" s="93" t="s">
        <v>56</v>
      </c>
      <c r="F38" s="164">
        <f>'Rates Comp OR'!F38</f>
        <v>4.7699999999999999E-3</v>
      </c>
      <c r="G38" t="s">
        <v>84</v>
      </c>
      <c r="I38" s="164">
        <f>'Rates Comp OR'!I38</f>
        <v>6.8999999999999999E-3</v>
      </c>
      <c r="J38" t="s">
        <v>84</v>
      </c>
      <c r="K38"/>
      <c r="L38" s="164">
        <f>I38-F38</f>
        <v>2.1299999999999999E-3</v>
      </c>
      <c r="M38"/>
      <c r="N38" s="276">
        <f>ROUND(L38/F38,4)</f>
        <v>0.44650000000000001</v>
      </c>
      <c r="O38" s="44"/>
      <c r="R38" s="4"/>
      <c r="S38" s="25" t="s">
        <v>33</v>
      </c>
      <c r="T38" s="26">
        <v>20000</v>
      </c>
      <c r="U38" s="93" t="s">
        <v>56</v>
      </c>
      <c r="V38" s="93"/>
      <c r="W38" s="279">
        <f t="shared" si="25"/>
        <v>4.7699999999999999E-3</v>
      </c>
      <c r="X38" s="280" t="s">
        <v>84</v>
      </c>
      <c r="Y38" s="279"/>
      <c r="Z38" s="279">
        <f t="shared" si="26"/>
        <v>6.8999999999999999E-3</v>
      </c>
      <c r="AA38" t="s">
        <v>84</v>
      </c>
      <c r="AB38" s="7"/>
      <c r="AC38" s="281">
        <f t="shared" ref="AC38:AC39" si="27">Z38-W38</f>
        <v>2.1299999999999999E-3</v>
      </c>
      <c r="AD38" s="44"/>
    </row>
    <row r="39" spans="2:30" x14ac:dyDescent="0.25">
      <c r="B39" s="4"/>
      <c r="C39" s="25" t="s">
        <v>44</v>
      </c>
      <c r="D39" s="26">
        <f>SUM(D37:D38)</f>
        <v>50000</v>
      </c>
      <c r="E39" s="93" t="s">
        <v>56</v>
      </c>
      <c r="F39" s="164">
        <f>'Rates Comp OR'!F39</f>
        <v>4.1399999999999996E-3</v>
      </c>
      <c r="G39" t="s">
        <v>84</v>
      </c>
      <c r="I39" s="164">
        <f>'Rates Comp OR'!I39</f>
        <v>5.9899999999999997E-3</v>
      </c>
      <c r="J39" t="s">
        <v>84</v>
      </c>
      <c r="K39"/>
      <c r="L39" s="164">
        <f t="shared" ref="L39" si="28">I39-F39</f>
        <v>1.8500000000000001E-3</v>
      </c>
      <c r="M39"/>
      <c r="N39" s="276">
        <f t="shared" ref="N39" si="29">ROUND(L39/F39,4)</f>
        <v>0.44690000000000002</v>
      </c>
      <c r="O39" s="44"/>
      <c r="R39" s="4"/>
      <c r="S39" s="25" t="s">
        <v>44</v>
      </c>
      <c r="T39" s="26">
        <f>SUM(T37:T38)</f>
        <v>50000</v>
      </c>
      <c r="U39" s="93" t="s">
        <v>56</v>
      </c>
      <c r="W39" s="279">
        <f t="shared" si="25"/>
        <v>4.1399999999999996E-3</v>
      </c>
      <c r="X39" s="280" t="s">
        <v>84</v>
      </c>
      <c r="Y39" s="279"/>
      <c r="Z39" s="279">
        <f t="shared" si="26"/>
        <v>5.9899999999999997E-3</v>
      </c>
      <c r="AA39" t="s">
        <v>84</v>
      </c>
      <c r="AB39" s="7"/>
      <c r="AC39" s="281">
        <f t="shared" si="27"/>
        <v>1.8500000000000001E-3</v>
      </c>
      <c r="AD39" s="44"/>
    </row>
    <row r="40" spans="2:30" x14ac:dyDescent="0.25">
      <c r="B40" s="4"/>
      <c r="C40" s="25"/>
      <c r="D40" s="26"/>
      <c r="E40" s="93"/>
      <c r="O40" s="44"/>
      <c r="R40" s="4"/>
      <c r="S40" s="25"/>
      <c r="T40" s="26"/>
      <c r="U40" s="93"/>
      <c r="AD40" s="44"/>
    </row>
    <row r="41" spans="2:30" x14ac:dyDescent="0.25">
      <c r="B41" s="4"/>
      <c r="C41" s="30" t="s">
        <v>227</v>
      </c>
      <c r="D41" s="137"/>
      <c r="E41" s="137"/>
      <c r="O41" s="44"/>
      <c r="R41" s="4"/>
      <c r="S41" s="30" t="s">
        <v>227</v>
      </c>
      <c r="T41" s="137"/>
      <c r="U41" s="137"/>
      <c r="AD41" s="44"/>
    </row>
    <row r="42" spans="2:30" x14ac:dyDescent="0.25">
      <c r="B42" s="4"/>
      <c r="C42" s="25" t="s">
        <v>32</v>
      </c>
      <c r="D42" s="26">
        <v>50000</v>
      </c>
      <c r="E42" s="93" t="s">
        <v>56</v>
      </c>
      <c r="F42" s="110">
        <f>'Rates Comp OR'!F42</f>
        <v>260.85000000000002</v>
      </c>
      <c r="G42" t="s">
        <v>85</v>
      </c>
      <c r="I42" s="110">
        <f>'Rates Comp OR'!I42</f>
        <v>376.01</v>
      </c>
      <c r="J42" t="s">
        <v>85</v>
      </c>
      <c r="K42"/>
      <c r="L42" s="110">
        <f>I42-F42</f>
        <v>115.15999999999997</v>
      </c>
      <c r="M42"/>
      <c r="N42" s="276">
        <f>ROUND(L42/F42,4)</f>
        <v>0.4415</v>
      </c>
      <c r="O42" s="44"/>
      <c r="R42" s="4"/>
      <c r="S42" s="25" t="s">
        <v>32</v>
      </c>
      <c r="T42" s="26">
        <v>50000</v>
      </c>
      <c r="U42" s="93" t="s">
        <v>56</v>
      </c>
      <c r="W42" s="278">
        <f t="shared" ref="W42:W43" si="30">F42</f>
        <v>260.85000000000002</v>
      </c>
      <c r="X42" t="s">
        <v>85</v>
      </c>
      <c r="Z42" s="278">
        <f t="shared" ref="Z42:Z43" si="31">I42</f>
        <v>376.01</v>
      </c>
      <c r="AA42" t="s">
        <v>85</v>
      </c>
      <c r="AB42" s="7"/>
      <c r="AC42" s="278">
        <f>Z42-W42</f>
        <v>115.15999999999997</v>
      </c>
      <c r="AD42" s="44"/>
    </row>
    <row r="43" spans="2:30" x14ac:dyDescent="0.25">
      <c r="B43" s="4"/>
      <c r="C43" s="25" t="s">
        <v>44</v>
      </c>
      <c r="D43" s="26">
        <f>SUM(D42:D42)</f>
        <v>50000</v>
      </c>
      <c r="E43" s="93" t="s">
        <v>56</v>
      </c>
      <c r="F43" s="164">
        <f>'Rates Comp OR'!F43</f>
        <v>4.1399999999999996E-3</v>
      </c>
      <c r="G43" t="s">
        <v>84</v>
      </c>
      <c r="I43" s="164">
        <f>'Rates Comp OR'!I43</f>
        <v>5.9899999999999997E-3</v>
      </c>
      <c r="J43" t="s">
        <v>84</v>
      </c>
      <c r="K43"/>
      <c r="L43" s="164">
        <f>I43-F43</f>
        <v>1.8500000000000001E-3</v>
      </c>
      <c r="M43"/>
      <c r="N43" s="276">
        <f>ROUND(L43/F43,4)</f>
        <v>0.44690000000000002</v>
      </c>
      <c r="O43" s="44"/>
      <c r="R43" s="4"/>
      <c r="S43" s="25" t="s">
        <v>44</v>
      </c>
      <c r="T43" s="26">
        <f>SUM(T42:T42)</f>
        <v>50000</v>
      </c>
      <c r="U43" s="93" t="s">
        <v>56</v>
      </c>
      <c r="W43" s="279">
        <f t="shared" si="30"/>
        <v>4.1399999999999996E-3</v>
      </c>
      <c r="X43" s="280" t="s">
        <v>84</v>
      </c>
      <c r="Y43" s="279"/>
      <c r="Z43" s="279">
        <f t="shared" si="31"/>
        <v>5.9899999999999997E-3</v>
      </c>
      <c r="AA43" t="s">
        <v>84</v>
      </c>
      <c r="AB43" s="7"/>
      <c r="AC43" s="281">
        <f t="shared" ref="AC43" si="32">Z43-W43</f>
        <v>1.8500000000000001E-3</v>
      </c>
      <c r="AD43" s="44"/>
    </row>
    <row r="44" spans="2:30" x14ac:dyDescent="0.25">
      <c r="B44" s="4"/>
      <c r="C44" s="25"/>
      <c r="D44" s="26"/>
      <c r="E44" s="93"/>
      <c r="O44" s="44"/>
      <c r="R44" s="4"/>
      <c r="S44" s="25"/>
      <c r="T44" s="26"/>
      <c r="U44" s="93"/>
      <c r="AD44" s="44"/>
    </row>
    <row r="45" spans="2:30" x14ac:dyDescent="0.25">
      <c r="B45" s="4"/>
      <c r="C45" s="205" t="s">
        <v>91</v>
      </c>
      <c r="D45" s="26"/>
      <c r="E45" s="93"/>
      <c r="F45" s="164">
        <f>'Rates Comp OR'!F45</f>
        <v>3.0699999999999998E-3</v>
      </c>
      <c r="G45" t="s">
        <v>84</v>
      </c>
      <c r="I45" s="164">
        <f>'Rates Comp OR'!I45</f>
        <v>4.45E-3</v>
      </c>
      <c r="J45" t="s">
        <v>84</v>
      </c>
      <c r="K45"/>
      <c r="L45" s="164">
        <f t="shared" ref="L45" si="33">I45-F45</f>
        <v>1.3800000000000002E-3</v>
      </c>
      <c r="M45"/>
      <c r="N45" s="276">
        <f t="shared" ref="N45" si="34">ROUND(L45/F45,4)</f>
        <v>0.44950000000000001</v>
      </c>
      <c r="O45" s="109"/>
      <c r="R45" s="4"/>
      <c r="S45" s="205" t="s">
        <v>91</v>
      </c>
      <c r="T45" s="26"/>
      <c r="U45" s="93"/>
      <c r="W45" s="279">
        <f t="shared" ref="W45" si="35">F45</f>
        <v>3.0699999999999998E-3</v>
      </c>
      <c r="X45" s="280" t="s">
        <v>84</v>
      </c>
      <c r="Y45" s="279"/>
      <c r="Z45" s="279">
        <f t="shared" ref="Z45" si="36">I45</f>
        <v>4.45E-3</v>
      </c>
      <c r="AA45" t="s">
        <v>84</v>
      </c>
      <c r="AB45" s="7"/>
      <c r="AC45" s="281">
        <f t="shared" ref="AC45" si="37">Z45-W45</f>
        <v>1.3800000000000002E-3</v>
      </c>
      <c r="AD45" s="44"/>
    </row>
    <row r="46" spans="2:30" x14ac:dyDescent="0.25">
      <c r="B46" s="4"/>
      <c r="C46" s="25"/>
      <c r="D46" s="26"/>
      <c r="E46" s="93"/>
      <c r="O46" s="109"/>
      <c r="R46" s="4"/>
      <c r="S46" s="25"/>
      <c r="T46" s="26"/>
      <c r="U46" s="93"/>
      <c r="AD46" s="44"/>
    </row>
    <row r="47" spans="2:30" x14ac:dyDescent="0.25">
      <c r="B47" s="4"/>
      <c r="C47" s="205" t="s">
        <v>229</v>
      </c>
      <c r="D47" s="26"/>
      <c r="E47" s="93"/>
      <c r="O47" s="109"/>
      <c r="R47" s="4"/>
      <c r="S47" s="205" t="s">
        <v>229</v>
      </c>
      <c r="T47" s="26"/>
      <c r="U47" s="93"/>
      <c r="AD47" s="44"/>
    </row>
    <row r="48" spans="2:30" x14ac:dyDescent="0.25">
      <c r="B48" s="4"/>
      <c r="C48" s="205" t="s">
        <v>230</v>
      </c>
      <c r="D48" s="26"/>
      <c r="E48" s="93"/>
      <c r="F48" s="164">
        <f>'Rates Comp OR'!F48</f>
        <v>5</v>
      </c>
      <c r="G48" t="s">
        <v>84</v>
      </c>
      <c r="I48" s="164">
        <f>'Rates Comp OR'!I48</f>
        <v>5</v>
      </c>
      <c r="J48" t="s">
        <v>84</v>
      </c>
      <c r="K48"/>
      <c r="L48" s="164">
        <f>I48-F48</f>
        <v>0</v>
      </c>
      <c r="M48"/>
      <c r="N48" s="276">
        <f>ROUND(L48/F48,4)</f>
        <v>0</v>
      </c>
      <c r="O48" s="109"/>
      <c r="R48" s="4"/>
      <c r="S48" s="205" t="s">
        <v>230</v>
      </c>
      <c r="T48" s="26"/>
      <c r="U48" s="93"/>
      <c r="W48" s="278">
        <f t="shared" ref="W48" si="38">F48</f>
        <v>5</v>
      </c>
      <c r="X48" t="s">
        <v>85</v>
      </c>
      <c r="Z48" s="278">
        <f t="shared" ref="Z48" si="39">I48</f>
        <v>5</v>
      </c>
      <c r="AA48" t="s">
        <v>85</v>
      </c>
      <c r="AB48" s="7"/>
      <c r="AC48" s="278">
        <f>Z48-W48</f>
        <v>0</v>
      </c>
      <c r="AD48" s="44"/>
    </row>
    <row r="49" spans="2:30" x14ac:dyDescent="0.25">
      <c r="B49" s="4"/>
      <c r="C49"/>
      <c r="D49" s="137"/>
      <c r="E49" s="137"/>
      <c r="O49" s="109"/>
      <c r="R49" s="4"/>
      <c r="AD49" s="44"/>
    </row>
    <row r="50" spans="2:30" x14ac:dyDescent="0.25">
      <c r="B50" s="6"/>
      <c r="C50" s="27"/>
      <c r="D50" s="27"/>
      <c r="E50" s="27"/>
      <c r="F50" s="47"/>
      <c r="G50" s="46"/>
      <c r="H50" s="46"/>
      <c r="I50" s="47"/>
      <c r="J50" s="46"/>
      <c r="K50" s="46"/>
      <c r="L50" s="46"/>
      <c r="M50" s="46"/>
      <c r="N50" s="46"/>
      <c r="O50" s="118"/>
      <c r="R50" s="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8"/>
    </row>
  </sheetData>
  <mergeCells count="11">
    <mergeCell ref="Z8:AA8"/>
    <mergeCell ref="W8:X8"/>
    <mergeCell ref="L7:N7"/>
    <mergeCell ref="C3:O3"/>
    <mergeCell ref="C4:O4"/>
    <mergeCell ref="C5:O5"/>
    <mergeCell ref="F8:G8"/>
    <mergeCell ref="I8:J8"/>
    <mergeCell ref="S3:AC3"/>
    <mergeCell ref="S4:AC4"/>
    <mergeCell ref="S5:AC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09FB6-B6D9-4B0F-B763-61FD983EBB34}">
  <dimension ref="B4:O82"/>
  <sheetViews>
    <sheetView showGridLines="0" topLeftCell="A7" workbookViewId="0">
      <selection activeCell="A53" sqref="A1:XFD1048576"/>
    </sheetView>
  </sheetViews>
  <sheetFormatPr defaultRowHeight="15" x14ac:dyDescent="0.2"/>
  <cols>
    <col min="2" max="2" width="2.77734375" customWidth="1"/>
    <col min="3" max="3" width="14.77734375" customWidth="1"/>
    <col min="4" max="4" width="2.77734375" customWidth="1"/>
    <col min="5" max="5" width="14.77734375" customWidth="1"/>
    <col min="6" max="6" width="2.77734375" customWidth="1"/>
    <col min="7" max="7" width="14.77734375" customWidth="1"/>
    <col min="8" max="8" width="2.77734375" customWidth="1"/>
    <col min="9" max="9" width="14.77734375" customWidth="1"/>
    <col min="10" max="10" width="2.77734375" customWidth="1"/>
    <col min="11" max="11" width="14.77734375" customWidth="1"/>
    <col min="12" max="12" width="2.77734375" customWidth="1"/>
  </cols>
  <sheetData>
    <row r="4" spans="2:15" ht="23.25" x14ac:dyDescent="0.35">
      <c r="B4" s="115"/>
      <c r="C4" s="119"/>
      <c r="D4" s="357"/>
      <c r="E4" s="357"/>
      <c r="F4" s="357"/>
      <c r="G4" s="357"/>
      <c r="H4" s="357"/>
      <c r="I4" s="357"/>
      <c r="J4" s="357"/>
      <c r="K4" s="357"/>
      <c r="L4" s="116"/>
    </row>
    <row r="5" spans="2:15" ht="23.25" x14ac:dyDescent="0.35">
      <c r="B5" s="11"/>
      <c r="C5" s="356" t="s">
        <v>78</v>
      </c>
      <c r="D5" s="356"/>
      <c r="E5" s="356"/>
      <c r="F5" s="356"/>
      <c r="G5" s="356"/>
      <c r="H5" s="356"/>
      <c r="I5" s="356"/>
      <c r="J5" s="356"/>
      <c r="K5" s="356"/>
      <c r="L5" s="109"/>
    </row>
    <row r="6" spans="2:15" ht="23.25" x14ac:dyDescent="0.35">
      <c r="B6" s="11"/>
      <c r="C6" s="355" t="s">
        <v>79</v>
      </c>
      <c r="D6" s="355"/>
      <c r="E6" s="355"/>
      <c r="F6" s="355"/>
      <c r="G6" s="355"/>
      <c r="H6" s="355"/>
      <c r="I6" s="355"/>
      <c r="J6" s="355"/>
      <c r="K6" s="355"/>
      <c r="L6" s="109"/>
    </row>
    <row r="7" spans="2:15" ht="23.25" x14ac:dyDescent="0.35">
      <c r="B7" s="11"/>
      <c r="C7" s="356" t="str">
        <f>'SAO - DSC'!F1</f>
        <v>Graves County Water District</v>
      </c>
      <c r="D7" s="356"/>
      <c r="E7" s="356"/>
      <c r="F7" s="356"/>
      <c r="G7" s="356"/>
      <c r="H7" s="356"/>
      <c r="I7" s="356"/>
      <c r="J7" s="356"/>
      <c r="K7" s="356"/>
      <c r="L7" s="109"/>
    </row>
    <row r="8" spans="2:15" ht="23.25" x14ac:dyDescent="0.35">
      <c r="B8" s="11"/>
      <c r="C8" s="131"/>
      <c r="D8" s="131"/>
      <c r="E8" s="131"/>
      <c r="F8" s="131"/>
      <c r="G8" s="131"/>
      <c r="H8" s="131"/>
      <c r="I8" s="131"/>
      <c r="J8" s="131"/>
      <c r="K8" s="131"/>
      <c r="L8" s="109"/>
    </row>
    <row r="9" spans="2:15" x14ac:dyDescent="0.2">
      <c r="B9" s="11"/>
      <c r="E9" s="124" t="s">
        <v>73</v>
      </c>
      <c r="G9" s="124" t="s">
        <v>75</v>
      </c>
      <c r="I9" s="123"/>
      <c r="K9" s="165"/>
      <c r="L9" s="109"/>
    </row>
    <row r="10" spans="2:15" x14ac:dyDescent="0.2">
      <c r="B10" s="11"/>
      <c r="E10" s="114" t="s">
        <v>74</v>
      </c>
      <c r="G10" s="114" t="s">
        <v>74</v>
      </c>
      <c r="I10" s="112" t="s">
        <v>76</v>
      </c>
      <c r="K10" s="166" t="s">
        <v>77</v>
      </c>
      <c r="L10" s="109"/>
    </row>
    <row r="11" spans="2:15" x14ac:dyDescent="0.2">
      <c r="B11" s="11"/>
      <c r="C11" s="312" t="s">
        <v>150</v>
      </c>
      <c r="L11" s="109"/>
    </row>
    <row r="12" spans="2:15" x14ac:dyDescent="0.2">
      <c r="B12" s="11"/>
      <c r="C12" s="39">
        <v>2000</v>
      </c>
      <c r="E12" s="113">
        <f>'34x58 Inch'!R16</f>
        <v>15.45</v>
      </c>
      <c r="G12" s="113">
        <f>'34x58 Inch'!Z16</f>
        <v>22.29</v>
      </c>
      <c r="I12" s="113">
        <f>G12-E12</f>
        <v>6.84</v>
      </c>
      <c r="K12" s="168">
        <f>ROUND(I12/E12,4)</f>
        <v>0.44269999999999998</v>
      </c>
      <c r="L12" s="109"/>
      <c r="O12" s="135" t="s">
        <v>150</v>
      </c>
    </row>
    <row r="13" spans="2:15" x14ac:dyDescent="0.2">
      <c r="B13" s="11"/>
      <c r="C13" s="39">
        <v>4000</v>
      </c>
      <c r="E13" s="113">
        <f>'34x58 Inch'!R17</f>
        <v>27.509999999999998</v>
      </c>
      <c r="G13" s="113">
        <f>'34x58 Inch'!Z17</f>
        <v>39.709999999999994</v>
      </c>
      <c r="I13" s="113">
        <f t="shared" ref="I13:I21" si="0">G13-E13</f>
        <v>12.199999999999996</v>
      </c>
      <c r="K13" s="168">
        <f t="shared" ref="K13:K20" si="1">ROUND(I13/E13,4)</f>
        <v>0.44350000000000001</v>
      </c>
      <c r="L13" s="109"/>
      <c r="O13" s="25" t="s">
        <v>32</v>
      </c>
    </row>
    <row r="14" spans="2:15" x14ac:dyDescent="0.2">
      <c r="B14" s="11"/>
      <c r="C14" s="39">
        <v>6000</v>
      </c>
      <c r="E14" s="113">
        <f>'34x58 Inch'!R18</f>
        <v>39.569999999999993</v>
      </c>
      <c r="G14" s="113">
        <f>'34x58 Inch'!Z18</f>
        <v>57.129999999999995</v>
      </c>
      <c r="I14" s="113">
        <f t="shared" si="0"/>
        <v>17.560000000000002</v>
      </c>
      <c r="K14" s="168">
        <f t="shared" si="1"/>
        <v>0.44379999999999997</v>
      </c>
      <c r="L14" s="109"/>
      <c r="O14" s="25" t="s">
        <v>33</v>
      </c>
    </row>
    <row r="15" spans="2:15" x14ac:dyDescent="0.2">
      <c r="B15" s="11"/>
      <c r="C15" s="39">
        <v>8000</v>
      </c>
      <c r="E15" s="113">
        <f>'34x58 Inch'!R19</f>
        <v>51.629999999999995</v>
      </c>
      <c r="G15" s="113">
        <f>'34x58 Inch'!Z19</f>
        <v>74.549999999999983</v>
      </c>
      <c r="I15" s="113">
        <f t="shared" si="0"/>
        <v>22.919999999999987</v>
      </c>
      <c r="K15" s="168">
        <f t="shared" si="1"/>
        <v>0.44390000000000002</v>
      </c>
      <c r="L15" s="109"/>
      <c r="O15" s="25" t="s">
        <v>33</v>
      </c>
    </row>
    <row r="16" spans="2:15" x14ac:dyDescent="0.2">
      <c r="B16" s="11"/>
      <c r="C16" s="39">
        <v>10000</v>
      </c>
      <c r="E16" s="113">
        <f>'34x58 Inch'!R20</f>
        <v>63.69</v>
      </c>
      <c r="G16" s="113">
        <f>'34x58 Inch'!Z20</f>
        <v>91.97</v>
      </c>
      <c r="I16" s="113">
        <f t="shared" si="0"/>
        <v>28.28</v>
      </c>
      <c r="K16" s="168">
        <f t="shared" si="1"/>
        <v>0.44400000000000001</v>
      </c>
      <c r="L16" s="109"/>
      <c r="O16" s="25" t="s">
        <v>33</v>
      </c>
    </row>
    <row r="17" spans="2:15" x14ac:dyDescent="0.2">
      <c r="B17" s="11"/>
      <c r="C17" s="39">
        <v>12000</v>
      </c>
      <c r="E17" s="113">
        <f>'34x58 Inch'!R21</f>
        <v>74.489999999999995</v>
      </c>
      <c r="G17" s="113">
        <f>'34x58 Inch'!Z21</f>
        <v>107.57</v>
      </c>
      <c r="I17" s="113">
        <f t="shared" si="0"/>
        <v>33.08</v>
      </c>
      <c r="K17" s="168">
        <f t="shared" si="1"/>
        <v>0.44409999999999999</v>
      </c>
      <c r="L17" s="109"/>
      <c r="O17" s="25" t="s">
        <v>44</v>
      </c>
    </row>
    <row r="18" spans="2:15" x14ac:dyDescent="0.2">
      <c r="B18" s="11"/>
      <c r="C18" s="39">
        <v>14000</v>
      </c>
      <c r="E18" s="113">
        <f>'34x58 Inch'!R22</f>
        <v>85.289999999999992</v>
      </c>
      <c r="G18" s="113">
        <f>'34x58 Inch'!Z22</f>
        <v>123.17</v>
      </c>
      <c r="I18" s="113">
        <f t="shared" si="0"/>
        <v>37.88000000000001</v>
      </c>
      <c r="K18" s="168">
        <f t="shared" si="1"/>
        <v>0.44409999999999999</v>
      </c>
      <c r="L18" s="109"/>
    </row>
    <row r="19" spans="2:15" x14ac:dyDescent="0.2">
      <c r="B19" s="11"/>
      <c r="C19" s="39">
        <v>22000</v>
      </c>
      <c r="E19" s="113">
        <f>'34x58 Inch'!R23</f>
        <v>127.22999999999999</v>
      </c>
      <c r="G19" s="113">
        <f>'34x58 Inch'!Z23</f>
        <v>183.77</v>
      </c>
      <c r="I19" s="113">
        <f t="shared" si="0"/>
        <v>56.54000000000002</v>
      </c>
      <c r="K19" s="168">
        <f t="shared" si="1"/>
        <v>0.44440000000000002</v>
      </c>
      <c r="L19" s="109"/>
      <c r="O19" s="39" t="s">
        <v>90</v>
      </c>
    </row>
    <row r="20" spans="2:15" x14ac:dyDescent="0.2">
      <c r="B20" s="11"/>
      <c r="C20" s="39">
        <v>70000</v>
      </c>
      <c r="E20" s="113">
        <f>'34x58 Inch'!R24</f>
        <v>343.59</v>
      </c>
      <c r="G20" s="113">
        <f>'34x58 Inch'!Z24</f>
        <v>496.77000000000004</v>
      </c>
      <c r="I20" s="113">
        <f t="shared" si="0"/>
        <v>153.18000000000006</v>
      </c>
      <c r="K20" s="168">
        <f t="shared" si="1"/>
        <v>0.44579999999999997</v>
      </c>
      <c r="L20" s="109"/>
      <c r="O20" s="25" t="s">
        <v>32</v>
      </c>
    </row>
    <row r="21" spans="2:15" x14ac:dyDescent="0.2">
      <c r="B21" s="11"/>
      <c r="C21" s="39">
        <v>80000</v>
      </c>
      <c r="E21" s="113">
        <f>'34x58 Inch'!R25</f>
        <v>384.98999999999995</v>
      </c>
      <c r="G21" s="113">
        <f>'34x58 Inch'!Z25</f>
        <v>556.67000000000007</v>
      </c>
      <c r="I21" s="113">
        <f t="shared" si="0"/>
        <v>171.68000000000012</v>
      </c>
      <c r="K21" s="168">
        <f>ROUND(I21/E21,4)</f>
        <v>0.44590000000000002</v>
      </c>
      <c r="L21" s="109"/>
      <c r="O21" s="25" t="s">
        <v>33</v>
      </c>
    </row>
    <row r="22" spans="2:15" x14ac:dyDescent="0.2">
      <c r="B22" s="11"/>
      <c r="C22" s="12"/>
      <c r="E22" s="113"/>
      <c r="G22" s="113"/>
      <c r="K22" s="169"/>
      <c r="L22" s="109"/>
      <c r="O22" s="25" t="s">
        <v>33</v>
      </c>
    </row>
    <row r="23" spans="2:15" x14ac:dyDescent="0.2">
      <c r="B23" s="11"/>
      <c r="C23" s="167" t="s">
        <v>90</v>
      </c>
      <c r="K23" s="169"/>
      <c r="L23" s="109"/>
      <c r="O23" s="25" t="s">
        <v>33</v>
      </c>
    </row>
    <row r="24" spans="2:15" x14ac:dyDescent="0.2">
      <c r="B24" s="11"/>
      <c r="C24" s="39">
        <v>2000</v>
      </c>
      <c r="E24" s="113">
        <f>'1-Inch'!R21</f>
        <v>33.53</v>
      </c>
      <c r="G24" s="113">
        <f>'1-Inch'!Z21</f>
        <v>48.35</v>
      </c>
      <c r="I24" s="113">
        <f t="shared" ref="I24:I33" si="2">G24-E24</f>
        <v>14.82</v>
      </c>
      <c r="K24" s="168">
        <f t="shared" ref="K24:K33" si="3">ROUND(I24/E24,4)</f>
        <v>0.442</v>
      </c>
      <c r="L24" s="109"/>
      <c r="O24" s="25" t="s">
        <v>44</v>
      </c>
    </row>
    <row r="25" spans="2:15" x14ac:dyDescent="0.2">
      <c r="B25" s="11"/>
      <c r="C25" s="39">
        <v>4000</v>
      </c>
      <c r="E25" s="113">
        <f>'1-Inch'!R22</f>
        <v>33.53</v>
      </c>
      <c r="G25" s="113">
        <f>'1-Inch'!Z22</f>
        <v>48.35</v>
      </c>
      <c r="I25" s="113">
        <f t="shared" si="2"/>
        <v>14.82</v>
      </c>
      <c r="K25" s="168">
        <f t="shared" si="3"/>
        <v>0.442</v>
      </c>
      <c r="L25" s="109"/>
    </row>
    <row r="26" spans="2:15" x14ac:dyDescent="0.2">
      <c r="B26" s="11"/>
      <c r="C26" s="39">
        <v>6000</v>
      </c>
      <c r="E26" s="113">
        <f>'1-Inch'!R23</f>
        <v>39.56</v>
      </c>
      <c r="G26" s="113">
        <f>'1-Inch'!Z23</f>
        <v>57.06</v>
      </c>
      <c r="I26" s="113">
        <f t="shared" si="2"/>
        <v>17.5</v>
      </c>
      <c r="K26" s="168">
        <f t="shared" si="3"/>
        <v>0.44240000000000002</v>
      </c>
      <c r="L26" s="109"/>
      <c r="O26" s="39" t="s">
        <v>151</v>
      </c>
    </row>
    <row r="27" spans="2:15" x14ac:dyDescent="0.2">
      <c r="B27" s="11"/>
      <c r="C27" s="39">
        <v>8000</v>
      </c>
      <c r="E27" s="113">
        <f>'1-Inch'!R24</f>
        <v>51.620000000000005</v>
      </c>
      <c r="G27" s="113">
        <f>'1-Inch'!Z24</f>
        <v>74.47999999999999</v>
      </c>
      <c r="I27" s="113">
        <f t="shared" si="2"/>
        <v>22.859999999999985</v>
      </c>
      <c r="K27" s="168">
        <f t="shared" si="3"/>
        <v>0.44290000000000002</v>
      </c>
      <c r="L27" s="109"/>
      <c r="O27" s="25" t="s">
        <v>32</v>
      </c>
    </row>
    <row r="28" spans="2:15" x14ac:dyDescent="0.2">
      <c r="B28" s="11"/>
      <c r="C28" s="39">
        <v>10000</v>
      </c>
      <c r="E28" s="113">
        <f>'1-Inch'!R25</f>
        <v>63.68</v>
      </c>
      <c r="G28" s="113">
        <f>'1-Inch'!Z25</f>
        <v>91.9</v>
      </c>
      <c r="I28" s="113">
        <f t="shared" si="2"/>
        <v>28.220000000000006</v>
      </c>
      <c r="K28" s="168">
        <f t="shared" si="3"/>
        <v>0.44319999999999998</v>
      </c>
      <c r="L28" s="109"/>
      <c r="O28" s="25" t="s">
        <v>33</v>
      </c>
    </row>
    <row r="29" spans="2:15" x14ac:dyDescent="0.2">
      <c r="B29" s="11"/>
      <c r="C29" s="39">
        <v>12000</v>
      </c>
      <c r="E29" s="113">
        <f>'1-Inch'!R26</f>
        <v>74.48</v>
      </c>
      <c r="G29" s="113">
        <f>'1-Inch'!Z26</f>
        <v>107.5</v>
      </c>
      <c r="I29" s="113">
        <f t="shared" si="2"/>
        <v>33.019999999999996</v>
      </c>
      <c r="K29" s="168">
        <f t="shared" si="3"/>
        <v>0.44330000000000003</v>
      </c>
      <c r="L29" s="109"/>
      <c r="O29" s="25" t="s">
        <v>33</v>
      </c>
    </row>
    <row r="30" spans="2:15" x14ac:dyDescent="0.2">
      <c r="B30" s="11"/>
      <c r="C30" s="39">
        <v>18000</v>
      </c>
      <c r="E30" s="113">
        <f>'1-Inch'!R27</f>
        <v>106.88</v>
      </c>
      <c r="G30" s="113">
        <f>'1-Inch'!Z27</f>
        <v>154.30000000000001</v>
      </c>
      <c r="I30" s="113">
        <f t="shared" si="2"/>
        <v>47.420000000000016</v>
      </c>
      <c r="K30" s="168">
        <f t="shared" si="3"/>
        <v>0.44369999999999998</v>
      </c>
      <c r="L30" s="109"/>
      <c r="O30" s="25" t="s">
        <v>33</v>
      </c>
    </row>
    <row r="31" spans="2:15" x14ac:dyDescent="0.2">
      <c r="B31" s="11"/>
      <c r="C31" s="39">
        <v>25000</v>
      </c>
      <c r="E31" s="113">
        <f>'1-Inch'!R28</f>
        <v>141.53</v>
      </c>
      <c r="G31" s="113">
        <f>'1-Inch'!Z28</f>
        <v>204.4</v>
      </c>
      <c r="I31" s="113">
        <f t="shared" si="2"/>
        <v>62.870000000000005</v>
      </c>
      <c r="K31" s="168">
        <f t="shared" si="3"/>
        <v>0.44419999999999998</v>
      </c>
      <c r="L31" s="109"/>
      <c r="O31" s="25" t="s">
        <v>44</v>
      </c>
    </row>
    <row r="32" spans="2:15" x14ac:dyDescent="0.2">
      <c r="B32" s="11"/>
      <c r="C32" s="39">
        <v>60000</v>
      </c>
      <c r="E32" s="113">
        <f>'1-Inch'!R29</f>
        <v>302.17999999999995</v>
      </c>
      <c r="G32" s="113">
        <f>'1-Inch'!Z29</f>
        <v>436.79999999999995</v>
      </c>
      <c r="I32" s="113">
        <f t="shared" si="2"/>
        <v>134.62</v>
      </c>
      <c r="K32" s="168">
        <f t="shared" si="3"/>
        <v>0.44550000000000001</v>
      </c>
      <c r="L32" s="109"/>
    </row>
    <row r="33" spans="2:15" x14ac:dyDescent="0.2">
      <c r="B33" s="11"/>
      <c r="C33" s="39">
        <v>70000</v>
      </c>
      <c r="E33" s="113">
        <f>'1-Inch'!R30</f>
        <v>343.58</v>
      </c>
      <c r="G33" s="113">
        <f>'1-Inch'!Z30</f>
        <v>496.7</v>
      </c>
      <c r="I33" s="113">
        <f t="shared" si="2"/>
        <v>153.12</v>
      </c>
      <c r="K33" s="168">
        <f t="shared" si="3"/>
        <v>0.44569999999999999</v>
      </c>
      <c r="L33" s="109"/>
      <c r="O33" s="30" t="s">
        <v>225</v>
      </c>
    </row>
    <row r="34" spans="2:15" x14ac:dyDescent="0.2">
      <c r="B34" s="11"/>
      <c r="C34" s="40"/>
      <c r="E34" s="113"/>
      <c r="G34" s="113"/>
      <c r="I34" s="113"/>
      <c r="K34" s="168"/>
      <c r="L34" s="109"/>
      <c r="O34" s="25" t="s">
        <v>32</v>
      </c>
    </row>
    <row r="35" spans="2:15" x14ac:dyDescent="0.2">
      <c r="B35" s="11"/>
      <c r="C35" s="39" t="s">
        <v>151</v>
      </c>
      <c r="K35" s="170"/>
      <c r="L35" s="109"/>
      <c r="O35" s="25" t="s">
        <v>33</v>
      </c>
    </row>
    <row r="36" spans="2:15" x14ac:dyDescent="0.2">
      <c r="B36" s="11"/>
      <c r="C36" s="39">
        <v>2000</v>
      </c>
      <c r="E36" s="28">
        <f>'1 1-2-Inch'!R21</f>
        <v>48.62</v>
      </c>
      <c r="G36" s="28">
        <f>'1 1-2-Inch'!Z21</f>
        <v>70.099999999999994</v>
      </c>
      <c r="I36" s="113">
        <f t="shared" ref="I36:I41" si="4">G36-E36</f>
        <v>21.479999999999997</v>
      </c>
      <c r="K36" s="168">
        <f t="shared" ref="K36:K41" si="5">ROUND(I36/E36,4)</f>
        <v>0.44180000000000003</v>
      </c>
      <c r="L36" s="109"/>
      <c r="O36" s="25" t="s">
        <v>44</v>
      </c>
    </row>
    <row r="37" spans="2:15" x14ac:dyDescent="0.2">
      <c r="B37" s="11"/>
      <c r="C37" s="39">
        <v>9000</v>
      </c>
      <c r="E37" s="28">
        <f>'1 1-2-Inch'!R22</f>
        <v>57.664999999999999</v>
      </c>
      <c r="G37" s="28">
        <f>'1 1-2-Inch'!Z22</f>
        <v>83.164999999999992</v>
      </c>
      <c r="I37" s="113">
        <f t="shared" si="4"/>
        <v>25.499999999999993</v>
      </c>
      <c r="K37" s="168">
        <f t="shared" si="5"/>
        <v>0.44219999999999998</v>
      </c>
      <c r="L37" s="109"/>
      <c r="O37" s="25"/>
    </row>
    <row r="38" spans="2:15" x14ac:dyDescent="0.2">
      <c r="B38" s="11"/>
      <c r="C38" s="39">
        <v>10000</v>
      </c>
      <c r="E38" s="28">
        <f>'1 1-2-Inch'!R23</f>
        <v>63.694999999999993</v>
      </c>
      <c r="G38" s="28">
        <f>'1 1-2-Inch'!Z23</f>
        <v>91.875</v>
      </c>
      <c r="I38" s="113">
        <f t="shared" si="4"/>
        <v>28.180000000000007</v>
      </c>
      <c r="K38" s="168">
        <f t="shared" si="5"/>
        <v>0.44240000000000002</v>
      </c>
      <c r="L38" s="109"/>
      <c r="O38" s="30" t="s">
        <v>226</v>
      </c>
    </row>
    <row r="39" spans="2:15" x14ac:dyDescent="0.2">
      <c r="B39" s="11"/>
      <c r="C39" s="39">
        <v>15000</v>
      </c>
      <c r="E39" s="28">
        <f>'1 1-2-Inch'!R24</f>
        <v>90.694999999999993</v>
      </c>
      <c r="G39" s="28">
        <f>'1 1-2-Inch'!Z24</f>
        <v>130.875</v>
      </c>
      <c r="I39" s="113">
        <f t="shared" si="4"/>
        <v>40.180000000000007</v>
      </c>
      <c r="K39" s="168">
        <f t="shared" si="5"/>
        <v>0.443</v>
      </c>
      <c r="L39" s="109"/>
      <c r="O39" s="25" t="s">
        <v>32</v>
      </c>
    </row>
    <row r="40" spans="2:15" x14ac:dyDescent="0.2">
      <c r="B40" s="11"/>
      <c r="C40" s="39">
        <v>18000</v>
      </c>
      <c r="E40" s="28">
        <f>'1 1-2-Inch'!R25</f>
        <v>106.895</v>
      </c>
      <c r="G40" s="28">
        <f>'1 1-2-Inch'!Z25</f>
        <v>154.27500000000001</v>
      </c>
      <c r="I40" s="113">
        <f t="shared" si="4"/>
        <v>47.38000000000001</v>
      </c>
      <c r="K40" s="168">
        <f t="shared" si="5"/>
        <v>0.44319999999999998</v>
      </c>
      <c r="L40" s="109"/>
      <c r="O40" s="25" t="s">
        <v>33</v>
      </c>
    </row>
    <row r="41" spans="2:15" x14ac:dyDescent="0.2">
      <c r="B41" s="11"/>
      <c r="C41" s="39">
        <v>22000</v>
      </c>
      <c r="E41" s="28">
        <f>'1 1-2-Inch'!R26</f>
        <v>127.23499999999999</v>
      </c>
      <c r="G41" s="28">
        <f>'1 1-2-Inch'!Z26</f>
        <v>183.67500000000001</v>
      </c>
      <c r="I41" s="113">
        <f t="shared" si="4"/>
        <v>56.440000000000026</v>
      </c>
      <c r="K41" s="168">
        <f t="shared" si="5"/>
        <v>0.44359999999999999</v>
      </c>
      <c r="L41" s="109"/>
      <c r="O41" s="25" t="s">
        <v>44</v>
      </c>
    </row>
    <row r="42" spans="2:15" x14ac:dyDescent="0.2">
      <c r="B42" s="11"/>
      <c r="C42" s="39">
        <v>25000</v>
      </c>
      <c r="E42" s="28">
        <f>'1 1-2-Inch'!R27</f>
        <v>141.54499999999999</v>
      </c>
      <c r="G42" s="28">
        <f>'1 1-2-Inch'!Z27</f>
        <v>204.375</v>
      </c>
      <c r="I42" s="113">
        <f t="shared" ref="I42:I45" si="6">G42-E42</f>
        <v>62.830000000000013</v>
      </c>
      <c r="K42" s="168">
        <f t="shared" ref="K42:K45" si="7">ROUND(I42/E42,4)</f>
        <v>0.44390000000000002</v>
      </c>
      <c r="L42" s="109"/>
      <c r="O42" s="25"/>
    </row>
    <row r="43" spans="2:15" x14ac:dyDescent="0.2">
      <c r="B43" s="11"/>
      <c r="C43" s="39">
        <v>70000</v>
      </c>
      <c r="E43" s="28">
        <f>'1 1-2-Inch'!R28</f>
        <v>343.59499999999997</v>
      </c>
      <c r="G43" s="28">
        <f>'1 1-2-Inch'!Z28</f>
        <v>496.67500000000001</v>
      </c>
      <c r="I43" s="113">
        <f t="shared" si="6"/>
        <v>153.08000000000004</v>
      </c>
      <c r="K43" s="168">
        <f t="shared" si="7"/>
        <v>0.44550000000000001</v>
      </c>
      <c r="L43" s="109"/>
      <c r="O43" s="25"/>
    </row>
    <row r="44" spans="2:15" x14ac:dyDescent="0.2">
      <c r="B44" s="11"/>
      <c r="C44" s="39">
        <v>80000</v>
      </c>
      <c r="E44" s="28">
        <f>'1 1-2-Inch'!R29</f>
        <v>384.99499999999995</v>
      </c>
      <c r="G44" s="28">
        <f>'1 1-2-Inch'!Z29</f>
        <v>556.57500000000005</v>
      </c>
      <c r="I44" s="113">
        <f t="shared" si="6"/>
        <v>171.5800000000001</v>
      </c>
      <c r="K44" s="168">
        <f t="shared" si="7"/>
        <v>0.44569999999999999</v>
      </c>
      <c r="L44" s="109"/>
      <c r="O44" s="25"/>
    </row>
    <row r="45" spans="2:15" x14ac:dyDescent="0.2">
      <c r="B45" s="11"/>
      <c r="C45" s="39">
        <v>90000</v>
      </c>
      <c r="E45" s="28">
        <f>'1 1-2-Inch'!R30</f>
        <v>426.39499999999998</v>
      </c>
      <c r="G45" s="28">
        <f>'1 1-2-Inch'!Z30</f>
        <v>616.47500000000002</v>
      </c>
      <c r="I45" s="113">
        <f t="shared" si="6"/>
        <v>190.08000000000004</v>
      </c>
      <c r="K45" s="168">
        <f t="shared" si="7"/>
        <v>0.44579999999999997</v>
      </c>
      <c r="L45" s="109"/>
      <c r="O45" s="25"/>
    </row>
    <row r="46" spans="2:15" x14ac:dyDescent="0.2">
      <c r="B46" s="11"/>
      <c r="C46" s="40"/>
      <c r="K46" s="169"/>
      <c r="L46" s="109"/>
      <c r="O46" s="25"/>
    </row>
    <row r="47" spans="2:15" ht="23.25" x14ac:dyDescent="0.35">
      <c r="B47" s="115"/>
      <c r="C47" s="119"/>
      <c r="D47" s="357"/>
      <c r="E47" s="357"/>
      <c r="F47" s="357"/>
      <c r="G47" s="357"/>
      <c r="H47" s="357"/>
      <c r="I47" s="357"/>
      <c r="J47" s="357"/>
      <c r="K47" s="357"/>
      <c r="L47" s="116"/>
      <c r="O47" s="30" t="s">
        <v>227</v>
      </c>
    </row>
    <row r="48" spans="2:15" ht="23.25" x14ac:dyDescent="0.35">
      <c r="B48" s="11"/>
      <c r="C48" s="356" t="s">
        <v>137</v>
      </c>
      <c r="D48" s="356"/>
      <c r="E48" s="356"/>
      <c r="F48" s="356"/>
      <c r="G48" s="356"/>
      <c r="H48" s="356"/>
      <c r="I48" s="356"/>
      <c r="J48" s="356"/>
      <c r="K48" s="356"/>
      <c r="L48" s="109"/>
      <c r="O48" s="25" t="s">
        <v>32</v>
      </c>
    </row>
    <row r="49" spans="2:15" ht="23.25" x14ac:dyDescent="0.35">
      <c r="B49" s="11"/>
      <c r="C49" s="355" t="s">
        <v>79</v>
      </c>
      <c r="D49" s="355"/>
      <c r="E49" s="355"/>
      <c r="F49" s="355"/>
      <c r="G49" s="355"/>
      <c r="H49" s="355"/>
      <c r="I49" s="355"/>
      <c r="J49" s="355"/>
      <c r="K49" s="355"/>
      <c r="L49" s="109"/>
      <c r="O49" s="25" t="s">
        <v>44</v>
      </c>
    </row>
    <row r="50" spans="2:15" ht="23.25" x14ac:dyDescent="0.35">
      <c r="B50" s="11"/>
      <c r="C50" s="356" t="str">
        <f>C7</f>
        <v>Graves County Water District</v>
      </c>
      <c r="D50" s="356"/>
      <c r="E50" s="356"/>
      <c r="F50" s="356"/>
      <c r="G50" s="356"/>
      <c r="H50" s="356"/>
      <c r="I50" s="356"/>
      <c r="J50" s="356"/>
      <c r="K50" s="356"/>
      <c r="L50" s="109"/>
      <c r="O50" s="25"/>
    </row>
    <row r="51" spans="2:15" x14ac:dyDescent="0.2">
      <c r="B51" s="11"/>
      <c r="C51" s="40"/>
      <c r="K51" s="170"/>
      <c r="L51" s="109"/>
      <c r="O51" s="205" t="s">
        <v>91</v>
      </c>
    </row>
    <row r="52" spans="2:15" x14ac:dyDescent="0.2">
      <c r="B52" s="11"/>
      <c r="C52" s="30" t="s">
        <v>225</v>
      </c>
      <c r="K52" s="169"/>
      <c r="L52" s="109"/>
    </row>
    <row r="53" spans="2:15" x14ac:dyDescent="0.2">
      <c r="B53" s="11"/>
      <c r="C53" s="39">
        <v>15000</v>
      </c>
      <c r="E53" s="28">
        <f>'2-Inch'!P17</f>
        <v>117.68</v>
      </c>
      <c r="G53" s="28">
        <f>'2-Inch'!V17</f>
        <v>169.64000000000001</v>
      </c>
      <c r="I53" s="113">
        <f t="shared" ref="I53" si="8">G53-E53</f>
        <v>51.960000000000008</v>
      </c>
      <c r="K53" s="168">
        <f t="shared" ref="K53" si="9">ROUND(I53/E53,4)</f>
        <v>0.4415</v>
      </c>
      <c r="L53" s="109"/>
    </row>
    <row r="54" spans="2:15" x14ac:dyDescent="0.2">
      <c r="B54" s="11"/>
      <c r="C54" s="39">
        <v>20000</v>
      </c>
      <c r="E54" s="28">
        <f>'2-Inch'!P18</f>
        <v>117.68</v>
      </c>
      <c r="G54" s="28">
        <f>'2-Inch'!V18</f>
        <v>169.64000000000001</v>
      </c>
      <c r="I54" s="113">
        <f t="shared" ref="I54:I58" si="10">G54-E54</f>
        <v>51.960000000000008</v>
      </c>
      <c r="K54" s="168">
        <f t="shared" ref="K54:K58" si="11">ROUND(I54/E54,4)</f>
        <v>0.4415</v>
      </c>
      <c r="L54" s="109"/>
    </row>
    <row r="55" spans="2:15" x14ac:dyDescent="0.2">
      <c r="B55" s="11"/>
      <c r="C55" s="39">
        <v>30000</v>
      </c>
      <c r="E55" s="28">
        <f>'2-Inch'!P19</f>
        <v>165.38</v>
      </c>
      <c r="G55" s="28">
        <f>'2-Inch'!V19</f>
        <v>238.64000000000001</v>
      </c>
      <c r="I55" s="113">
        <f t="shared" si="10"/>
        <v>73.260000000000019</v>
      </c>
      <c r="K55" s="168">
        <f t="shared" si="11"/>
        <v>0.443</v>
      </c>
      <c r="L55" s="109"/>
    </row>
    <row r="56" spans="2:15" x14ac:dyDescent="0.2">
      <c r="B56" s="11"/>
      <c r="C56" s="39">
        <v>40000</v>
      </c>
      <c r="E56" s="28">
        <f>'2-Inch'!P20</f>
        <v>213.08</v>
      </c>
      <c r="G56" s="28">
        <f>'2-Inch'!V20</f>
        <v>307.64</v>
      </c>
      <c r="I56" s="113">
        <f t="shared" si="10"/>
        <v>94.559999999999974</v>
      </c>
      <c r="K56" s="168">
        <f t="shared" si="11"/>
        <v>0.44379999999999997</v>
      </c>
      <c r="L56" s="109"/>
    </row>
    <row r="57" spans="2:15" x14ac:dyDescent="0.2">
      <c r="B57" s="11"/>
      <c r="C57" s="39">
        <v>60000</v>
      </c>
      <c r="E57" s="28">
        <f>'2-Inch'!P21</f>
        <v>302.17999999999995</v>
      </c>
      <c r="G57" s="28">
        <f>'2-Inch'!V21</f>
        <v>436.53999999999996</v>
      </c>
      <c r="I57" s="113">
        <f t="shared" si="10"/>
        <v>134.36000000000001</v>
      </c>
      <c r="K57" s="168">
        <f t="shared" si="11"/>
        <v>0.4446</v>
      </c>
      <c r="L57" s="109"/>
    </row>
    <row r="58" spans="2:15" x14ac:dyDescent="0.2">
      <c r="B58" s="11"/>
      <c r="C58" s="39">
        <v>70000</v>
      </c>
      <c r="E58" s="28">
        <f>'2-Inch'!P22</f>
        <v>343.58</v>
      </c>
      <c r="G58" s="28">
        <f>'2-Inch'!V22</f>
        <v>496.44</v>
      </c>
      <c r="I58" s="113">
        <f t="shared" si="10"/>
        <v>152.86000000000001</v>
      </c>
      <c r="K58" s="168">
        <f t="shared" si="11"/>
        <v>0.44490000000000002</v>
      </c>
      <c r="L58" s="109"/>
    </row>
    <row r="59" spans="2:15" x14ac:dyDescent="0.2">
      <c r="B59" s="11"/>
      <c r="C59" s="39"/>
      <c r="E59" s="28"/>
      <c r="G59" s="28"/>
      <c r="I59" s="113"/>
      <c r="K59" s="168"/>
      <c r="L59" s="109"/>
    </row>
    <row r="60" spans="2:15" x14ac:dyDescent="0.2">
      <c r="B60" s="11"/>
      <c r="C60" s="30" t="s">
        <v>226</v>
      </c>
      <c r="K60" s="169"/>
      <c r="L60" s="109"/>
    </row>
    <row r="61" spans="2:15" x14ac:dyDescent="0.2">
      <c r="B61" s="11"/>
      <c r="C61" s="39">
        <v>20000</v>
      </c>
      <c r="E61" s="28">
        <f>'3-Inch'!P17</f>
        <v>165.58</v>
      </c>
      <c r="G61" s="28">
        <f>'3-Inch'!V17</f>
        <v>238.69000000000003</v>
      </c>
      <c r="I61" s="113">
        <f t="shared" ref="I61" si="12">G61-E61</f>
        <v>73.110000000000014</v>
      </c>
      <c r="K61" s="168">
        <f t="shared" ref="K61" si="13">ROUND(I61/E61,4)</f>
        <v>0.4415</v>
      </c>
      <c r="L61" s="109"/>
    </row>
    <row r="62" spans="2:15" x14ac:dyDescent="0.2">
      <c r="B62" s="11"/>
      <c r="C62" s="39">
        <v>35000</v>
      </c>
      <c r="E62" s="28">
        <f>'3-Inch'!P18</f>
        <v>189.43</v>
      </c>
      <c r="G62" s="28">
        <f>'3-Inch'!V18</f>
        <v>273.19000000000005</v>
      </c>
      <c r="I62" s="113">
        <f t="shared" ref="I62:I66" si="14">G62-E62</f>
        <v>83.760000000000048</v>
      </c>
      <c r="K62" s="168">
        <f t="shared" ref="K62:K66" si="15">ROUND(I62/E62,4)</f>
        <v>0.44219999999999998</v>
      </c>
      <c r="L62" s="109"/>
    </row>
    <row r="63" spans="2:15" x14ac:dyDescent="0.2">
      <c r="B63" s="11"/>
      <c r="C63" s="39">
        <v>40000</v>
      </c>
      <c r="E63" s="28">
        <f>'3-Inch'!P19</f>
        <v>213.28000000000003</v>
      </c>
      <c r="G63" s="28">
        <f>'3-Inch'!V19</f>
        <v>307.69000000000005</v>
      </c>
      <c r="I63" s="113">
        <f t="shared" si="14"/>
        <v>94.410000000000025</v>
      </c>
      <c r="K63" s="168">
        <f t="shared" si="15"/>
        <v>0.44269999999999998</v>
      </c>
      <c r="L63" s="109"/>
    </row>
    <row r="64" spans="2:15" x14ac:dyDescent="0.2">
      <c r="B64" s="11"/>
      <c r="C64" s="39">
        <v>45000</v>
      </c>
      <c r="E64" s="28">
        <f>'3-Inch'!P20</f>
        <v>237.13</v>
      </c>
      <c r="G64" s="28">
        <f>'3-Inch'!V20</f>
        <v>342.19000000000005</v>
      </c>
      <c r="I64" s="113">
        <f t="shared" si="14"/>
        <v>105.06000000000006</v>
      </c>
      <c r="K64" s="168">
        <f t="shared" si="15"/>
        <v>0.443</v>
      </c>
      <c r="L64" s="109"/>
    </row>
    <row r="65" spans="2:12" x14ac:dyDescent="0.2">
      <c r="B65" s="11"/>
      <c r="C65" s="39">
        <v>60000</v>
      </c>
      <c r="E65" s="28">
        <f>'3-Inch'!P21</f>
        <v>302.38</v>
      </c>
      <c r="G65" s="28">
        <f>'3-Inch'!V21</f>
        <v>436.59000000000003</v>
      </c>
      <c r="I65" s="113">
        <f t="shared" si="14"/>
        <v>134.21000000000004</v>
      </c>
      <c r="K65" s="168">
        <f t="shared" si="15"/>
        <v>0.44379999999999997</v>
      </c>
      <c r="L65" s="109"/>
    </row>
    <row r="66" spans="2:12" x14ac:dyDescent="0.2">
      <c r="B66" s="11"/>
      <c r="C66" s="39">
        <v>70000</v>
      </c>
      <c r="E66" s="28">
        <f>'3-Inch'!P22</f>
        <v>343.78000000000003</v>
      </c>
      <c r="G66" s="28">
        <f>'3-Inch'!V22</f>
        <v>496.49000000000007</v>
      </c>
      <c r="I66" s="113">
        <f t="shared" si="14"/>
        <v>152.71000000000004</v>
      </c>
      <c r="K66" s="168">
        <f t="shared" si="15"/>
        <v>0.44419999999999998</v>
      </c>
      <c r="L66" s="109"/>
    </row>
    <row r="67" spans="2:12" x14ac:dyDescent="0.2">
      <c r="B67" s="11"/>
      <c r="C67" s="167"/>
      <c r="K67" s="169"/>
      <c r="L67" s="109"/>
    </row>
    <row r="68" spans="2:12" x14ac:dyDescent="0.2">
      <c r="B68" s="11"/>
      <c r="C68" s="30" t="s">
        <v>227</v>
      </c>
      <c r="K68" s="169"/>
      <c r="L68" s="109"/>
    </row>
    <row r="69" spans="2:12" x14ac:dyDescent="0.2">
      <c r="B69" s="11"/>
      <c r="C69" s="39">
        <v>20000</v>
      </c>
      <c r="E69" s="28">
        <f>'4-Inch'!O17</f>
        <v>260.85000000000002</v>
      </c>
      <c r="G69" s="28">
        <f>'4-Inch'!T17</f>
        <v>376.01</v>
      </c>
      <c r="I69" s="113">
        <f t="shared" ref="I69" si="16">G69-E69</f>
        <v>115.15999999999997</v>
      </c>
      <c r="K69" s="168">
        <f t="shared" ref="K69" si="17">ROUND(I69/E69,4)</f>
        <v>0.4415</v>
      </c>
      <c r="L69" s="109"/>
    </row>
    <row r="70" spans="2:12" x14ac:dyDescent="0.2">
      <c r="B70" s="11"/>
      <c r="C70" s="39">
        <v>25000</v>
      </c>
      <c r="E70" s="28">
        <f>'4-Inch'!O18</f>
        <v>260.85000000000002</v>
      </c>
      <c r="G70" s="28">
        <f>'4-Inch'!T18</f>
        <v>376.01</v>
      </c>
      <c r="I70" s="113">
        <f t="shared" ref="I70:I74" si="18">G70-E70</f>
        <v>115.15999999999997</v>
      </c>
      <c r="K70" s="168">
        <f t="shared" ref="K70:K74" si="19">ROUND(I70/E70,4)</f>
        <v>0.4415</v>
      </c>
      <c r="L70" s="109"/>
    </row>
    <row r="71" spans="2:12" x14ac:dyDescent="0.2">
      <c r="B71" s="11"/>
      <c r="C71" s="39">
        <v>30000</v>
      </c>
      <c r="E71" s="28">
        <f>'4-Inch'!O19</f>
        <v>260.85000000000002</v>
      </c>
      <c r="G71" s="28">
        <f>'4-Inch'!T19</f>
        <v>376.01</v>
      </c>
      <c r="I71" s="113">
        <f t="shared" si="18"/>
        <v>115.15999999999997</v>
      </c>
      <c r="K71" s="168">
        <f t="shared" si="19"/>
        <v>0.4415</v>
      </c>
      <c r="L71" s="109"/>
    </row>
    <row r="72" spans="2:12" x14ac:dyDescent="0.2">
      <c r="B72" s="11"/>
      <c r="C72" s="39">
        <v>55000</v>
      </c>
      <c r="E72" s="28">
        <f>'4-Inch'!O20</f>
        <v>281.55</v>
      </c>
      <c r="G72" s="28">
        <f>'4-Inch'!T20</f>
        <v>405.96</v>
      </c>
      <c r="I72" s="113">
        <f t="shared" si="18"/>
        <v>124.40999999999997</v>
      </c>
      <c r="K72" s="168">
        <f t="shared" si="19"/>
        <v>0.44190000000000002</v>
      </c>
      <c r="L72" s="109"/>
    </row>
    <row r="73" spans="2:12" x14ac:dyDescent="0.2">
      <c r="B73" s="11"/>
      <c r="C73" s="39">
        <v>70000</v>
      </c>
      <c r="E73" s="28">
        <f>'4-Inch'!O21</f>
        <v>343.65000000000003</v>
      </c>
      <c r="G73" s="28">
        <f>'4-Inch'!T21</f>
        <v>495.81</v>
      </c>
      <c r="I73" s="113">
        <f t="shared" si="18"/>
        <v>152.15999999999997</v>
      </c>
      <c r="K73" s="168">
        <f t="shared" si="19"/>
        <v>0.44280000000000003</v>
      </c>
      <c r="L73" s="109"/>
    </row>
    <row r="74" spans="2:12" x14ac:dyDescent="0.2">
      <c r="B74" s="11"/>
      <c r="C74" s="39">
        <v>80000</v>
      </c>
      <c r="E74" s="28">
        <f>'4-Inch'!O22</f>
        <v>385.05</v>
      </c>
      <c r="G74" s="28">
        <f>'4-Inch'!T22</f>
        <v>555.71</v>
      </c>
      <c r="I74" s="113">
        <f t="shared" si="18"/>
        <v>170.66000000000003</v>
      </c>
      <c r="K74" s="168">
        <f t="shared" si="19"/>
        <v>0.44319999999999998</v>
      </c>
      <c r="L74" s="109"/>
    </row>
    <row r="75" spans="2:12" x14ac:dyDescent="0.2">
      <c r="B75" s="11"/>
      <c r="C75" s="167"/>
      <c r="K75" s="169"/>
      <c r="L75" s="109"/>
    </row>
    <row r="76" spans="2:12" x14ac:dyDescent="0.2">
      <c r="B76" s="11"/>
      <c r="C76" s="205" t="s">
        <v>271</v>
      </c>
      <c r="K76" s="169"/>
      <c r="L76" s="109"/>
    </row>
    <row r="77" spans="2:12" x14ac:dyDescent="0.2">
      <c r="B77" s="11"/>
      <c r="C77" s="39">
        <v>120000</v>
      </c>
      <c r="E77" s="28">
        <f>Wholesale!N16</f>
        <v>368.4</v>
      </c>
      <c r="G77" s="28">
        <f>Wholesale!R16</f>
        <v>534</v>
      </c>
      <c r="I77" s="113">
        <f t="shared" ref="I77:I81" si="20">G77-E77</f>
        <v>165.60000000000002</v>
      </c>
      <c r="K77" s="168">
        <f>ROUND(I77/E77,4)</f>
        <v>0.44950000000000001</v>
      </c>
      <c r="L77" s="109"/>
    </row>
    <row r="78" spans="2:12" x14ac:dyDescent="0.2">
      <c r="B78" s="11"/>
      <c r="C78" s="39">
        <v>140000</v>
      </c>
      <c r="E78" s="28">
        <f>Wholesale!N17</f>
        <v>429.79999999999995</v>
      </c>
      <c r="G78" s="28">
        <f>Wholesale!R17</f>
        <v>623</v>
      </c>
      <c r="I78" s="113">
        <f t="shared" si="20"/>
        <v>193.20000000000005</v>
      </c>
      <c r="K78" s="168">
        <f t="shared" ref="K78:K81" si="21">ROUND(I78/E78,4)</f>
        <v>0.44950000000000001</v>
      </c>
      <c r="L78" s="109"/>
    </row>
    <row r="79" spans="2:12" x14ac:dyDescent="0.2">
      <c r="B79" s="11"/>
      <c r="C79" s="39">
        <v>160000</v>
      </c>
      <c r="E79" s="28">
        <f>Wholesale!N18</f>
        <v>491.2</v>
      </c>
      <c r="G79" s="28">
        <f>Wholesale!R18</f>
        <v>712</v>
      </c>
      <c r="I79" s="113">
        <f t="shared" si="20"/>
        <v>220.8</v>
      </c>
      <c r="K79" s="168">
        <f t="shared" si="21"/>
        <v>0.44950000000000001</v>
      </c>
      <c r="L79" s="109"/>
    </row>
    <row r="80" spans="2:12" x14ac:dyDescent="0.2">
      <c r="B80" s="11"/>
      <c r="C80" s="39">
        <v>180000</v>
      </c>
      <c r="E80" s="28">
        <f>Wholesale!N19</f>
        <v>552.6</v>
      </c>
      <c r="G80" s="28">
        <f>Wholesale!R19</f>
        <v>801</v>
      </c>
      <c r="I80" s="113">
        <f t="shared" si="20"/>
        <v>248.39999999999998</v>
      </c>
      <c r="K80" s="168">
        <f t="shared" si="21"/>
        <v>0.44950000000000001</v>
      </c>
      <c r="L80" s="109"/>
    </row>
    <row r="81" spans="2:12" x14ac:dyDescent="0.2">
      <c r="B81" s="11"/>
      <c r="C81" s="39">
        <v>200000</v>
      </c>
      <c r="E81" s="28">
        <f>Wholesale!N20</f>
        <v>614</v>
      </c>
      <c r="G81" s="28">
        <f>Wholesale!R20</f>
        <v>890</v>
      </c>
      <c r="I81" s="113">
        <f t="shared" si="20"/>
        <v>276</v>
      </c>
      <c r="K81" s="168">
        <f t="shared" si="21"/>
        <v>0.44950000000000001</v>
      </c>
      <c r="L81" s="109"/>
    </row>
    <row r="82" spans="2:12" x14ac:dyDescent="0.2">
      <c r="B82" s="117"/>
      <c r="C82" s="27"/>
      <c r="D82" s="27"/>
      <c r="E82" s="27"/>
      <c r="F82" s="27"/>
      <c r="G82" s="27"/>
      <c r="H82" s="27"/>
      <c r="I82" s="27"/>
      <c r="J82" s="27"/>
      <c r="K82" s="27"/>
      <c r="L82" s="118"/>
    </row>
  </sheetData>
  <mergeCells count="8">
    <mergeCell ref="C49:K49"/>
    <mergeCell ref="C50:K50"/>
    <mergeCell ref="D4:K4"/>
    <mergeCell ref="C5:K5"/>
    <mergeCell ref="C6:K6"/>
    <mergeCell ref="C7:K7"/>
    <mergeCell ref="D47:K47"/>
    <mergeCell ref="C48:K48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94DFA-C052-4F80-B267-C1897C399B0A}">
  <dimension ref="B2:AD59"/>
  <sheetViews>
    <sheetView showGridLines="0" topLeftCell="F1" workbookViewId="0">
      <selection activeCell="F1" sqref="A1:XFD1048576"/>
    </sheetView>
  </sheetViews>
  <sheetFormatPr defaultColWidth="8.88671875" defaultRowHeight="15" x14ac:dyDescent="0.2"/>
  <cols>
    <col min="1" max="1" width="9.6640625" style="12" customWidth="1"/>
    <col min="2" max="2" width="1.109375" style="12" customWidth="1"/>
    <col min="3" max="3" width="4.77734375" style="12" customWidth="1"/>
    <col min="4" max="5" width="10.77734375" style="12" customWidth="1"/>
    <col min="6" max="6" width="11.77734375" style="12" customWidth="1"/>
    <col min="7" max="7" width="1.77734375" style="12" customWidth="1"/>
    <col min="8" max="8" width="10.77734375" style="12" customWidth="1"/>
    <col min="9" max="9" width="1.21875" style="12" customWidth="1"/>
    <col min="10" max="10" width="10.77734375" style="12" customWidth="1"/>
    <col min="11" max="11" width="1.77734375" style="12" customWidth="1"/>
    <col min="12" max="12" width="10.77734375" style="12" customWidth="1"/>
    <col min="13" max="13" width="1.77734375" style="12" customWidth="1"/>
    <col min="14" max="14" width="12.77734375" style="12" customWidth="1"/>
    <col min="15" max="15" width="1.77734375" style="12" customWidth="1"/>
    <col min="16" max="16" width="12.77734375" style="12" customWidth="1"/>
    <col min="17" max="17" width="1.77734375" style="12" customWidth="1"/>
    <col min="18" max="20" width="9.6640625" style="12" customWidth="1"/>
    <col min="21" max="24" width="12.77734375" style="12" customWidth="1"/>
    <col min="25" max="203" width="9.6640625" style="12" customWidth="1"/>
    <col min="204" max="16384" width="8.88671875" style="12"/>
  </cols>
  <sheetData>
    <row r="2" spans="2:30" x14ac:dyDescent="0.2">
      <c r="B2" s="33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1"/>
    </row>
    <row r="3" spans="2:30" ht="15.75" x14ac:dyDescent="0.25">
      <c r="B3" s="34"/>
      <c r="C3" s="172"/>
      <c r="J3" s="161"/>
      <c r="K3" s="161"/>
      <c r="N3" s="345" t="s">
        <v>82</v>
      </c>
      <c r="O3" s="345"/>
      <c r="P3" s="345"/>
      <c r="Q3" s="108"/>
      <c r="R3" s="39" t="s">
        <v>150</v>
      </c>
    </row>
    <row r="4" spans="2:30" ht="15.75" x14ac:dyDescent="0.25">
      <c r="B4" s="34"/>
      <c r="C4" s="39" t="s">
        <v>150</v>
      </c>
      <c r="D4" s="3"/>
      <c r="E4" s="3"/>
      <c r="F4" s="345" t="s">
        <v>80</v>
      </c>
      <c r="G4" s="345"/>
      <c r="H4" s="345"/>
      <c r="J4" s="345" t="s">
        <v>81</v>
      </c>
      <c r="K4" s="345"/>
      <c r="L4" s="345"/>
      <c r="N4" s="112" t="s">
        <v>138</v>
      </c>
      <c r="P4" s="112" t="s">
        <v>77</v>
      </c>
      <c r="Q4" s="182"/>
      <c r="S4" s="30">
        <f>H51</f>
        <v>2179</v>
      </c>
      <c r="Y4" s="30" t="e">
        <f>#REF!</f>
        <v>#REF!</v>
      </c>
    </row>
    <row r="5" spans="2:30" x14ac:dyDescent="0.2">
      <c r="B5" s="34"/>
      <c r="C5" s="25" t="s">
        <v>32</v>
      </c>
      <c r="D5" s="137">
        <v>2000</v>
      </c>
      <c r="E5" s="93" t="s">
        <v>56</v>
      </c>
      <c r="F5" s="183">
        <f>'Rates Comp OR'!F11</f>
        <v>15.45</v>
      </c>
      <c r="G5" s="183"/>
      <c r="H5" s="12" t="s">
        <v>85</v>
      </c>
      <c r="J5" s="183">
        <f>'Rates Comp OR'!I11</f>
        <v>22.29</v>
      </c>
      <c r="K5" s="183"/>
      <c r="L5" s="12" t="s">
        <v>85</v>
      </c>
      <c r="N5" s="183">
        <f t="shared" ref="N5:N8" si="0">J5-F5</f>
        <v>6.84</v>
      </c>
      <c r="O5" s="183"/>
      <c r="P5" s="184">
        <f>ROUND(N5/F5,4)</f>
        <v>0.44269999999999998</v>
      </c>
      <c r="Q5" s="182"/>
      <c r="R5" s="30">
        <f>D5</f>
        <v>2000</v>
      </c>
      <c r="S5" s="30">
        <f>D5</f>
        <v>2000</v>
      </c>
      <c r="U5" s="176">
        <f>F5</f>
        <v>15.45</v>
      </c>
      <c r="V5" s="176">
        <f>J5</f>
        <v>22.29</v>
      </c>
      <c r="Y5" s="30">
        <f>R5</f>
        <v>2000</v>
      </c>
      <c r="AA5" s="176">
        <f>U5</f>
        <v>15.45</v>
      </c>
      <c r="AB5" s="176">
        <f>V5</f>
        <v>22.29</v>
      </c>
    </row>
    <row r="6" spans="2:30" x14ac:dyDescent="0.2">
      <c r="B6" s="34"/>
      <c r="C6" s="25" t="s">
        <v>33</v>
      </c>
      <c r="D6" s="137">
        <v>8000</v>
      </c>
      <c r="E6" s="93" t="s">
        <v>56</v>
      </c>
      <c r="F6" s="185">
        <f>'Rates Comp OR'!F12</f>
        <v>6.0299999999999998E-3</v>
      </c>
      <c r="G6" s="186"/>
      <c r="H6" s="12" t="s">
        <v>84</v>
      </c>
      <c r="J6" s="185">
        <f>'Rates Comp OR'!I12</f>
        <v>8.709999999999999E-3</v>
      </c>
      <c r="K6" s="186"/>
      <c r="L6" s="12" t="s">
        <v>84</v>
      </c>
      <c r="M6" s="187"/>
      <c r="N6" s="185">
        <f t="shared" si="0"/>
        <v>2.6799999999999992E-3</v>
      </c>
      <c r="O6" s="183"/>
      <c r="P6" s="184">
        <f t="shared" ref="P6:P8" si="1">ROUND(N6/F6,4)</f>
        <v>0.44440000000000002</v>
      </c>
      <c r="Q6" s="182"/>
      <c r="R6" s="30">
        <f>D6</f>
        <v>8000</v>
      </c>
      <c r="S6" s="188">
        <f>S4-S5</f>
        <v>179</v>
      </c>
      <c r="U6" s="12">
        <f>ROUND(S6*$F6,2)</f>
        <v>1.08</v>
      </c>
      <c r="V6" s="12">
        <f>ROUND(S6*$J6,2)</f>
        <v>1.56</v>
      </c>
      <c r="Y6" s="188" t="e">
        <f>Y4-Y5</f>
        <v>#REF!</v>
      </c>
      <c r="AA6" s="12" t="e">
        <f>ROUND(Y6*$F6,2)</f>
        <v>#REF!</v>
      </c>
      <c r="AB6" s="12" t="e">
        <f>ROUND(Y6*$J6,2)</f>
        <v>#REF!</v>
      </c>
    </row>
    <row r="7" spans="2:30" x14ac:dyDescent="0.2">
      <c r="B7" s="34"/>
      <c r="C7" s="25" t="s">
        <v>33</v>
      </c>
      <c r="D7" s="137">
        <v>10000</v>
      </c>
      <c r="E7" s="93" t="s">
        <v>56</v>
      </c>
      <c r="F7" s="185">
        <f>'Rates Comp OR'!F13</f>
        <v>5.4000000000000003E-3</v>
      </c>
      <c r="G7" s="186"/>
      <c r="H7" s="12" t="s">
        <v>84</v>
      </c>
      <c r="J7" s="185">
        <f>'Rates Comp OR'!I13</f>
        <v>7.8000000000000005E-3</v>
      </c>
      <c r="K7" s="186"/>
      <c r="L7" s="12" t="s">
        <v>84</v>
      </c>
      <c r="N7" s="185">
        <f t="shared" si="0"/>
        <v>2.4000000000000002E-3</v>
      </c>
      <c r="O7" s="183"/>
      <c r="P7" s="184">
        <f t="shared" si="1"/>
        <v>0.44440000000000002</v>
      </c>
      <c r="Q7" s="108"/>
      <c r="R7" s="30">
        <f t="shared" ref="R7:R8" si="2">D7</f>
        <v>10000</v>
      </c>
      <c r="AA7" s="176" t="e">
        <f>SUM(AA5:AA6)</f>
        <v>#REF!</v>
      </c>
      <c r="AB7" s="176" t="e">
        <f>SUM(AB5:AB6)</f>
        <v>#REF!</v>
      </c>
      <c r="AC7" s="176" t="e">
        <f>AB7-AA7</f>
        <v>#REF!</v>
      </c>
      <c r="AD7" s="189" t="e">
        <f>ROUND(AC7/AA7,3)</f>
        <v>#REF!</v>
      </c>
    </row>
    <row r="8" spans="2:30" x14ac:dyDescent="0.2">
      <c r="B8" s="34"/>
      <c r="C8" s="25" t="s">
        <v>33</v>
      </c>
      <c r="D8" s="137">
        <v>30000</v>
      </c>
      <c r="E8" s="93" t="s">
        <v>56</v>
      </c>
      <c r="F8" s="185">
        <f>'Rates Comp OR'!F14</f>
        <v>4.7699999999999999E-3</v>
      </c>
      <c r="G8" s="186"/>
      <c r="H8" s="12" t="s">
        <v>84</v>
      </c>
      <c r="J8" s="185">
        <f>'Rates Comp OR'!I14</f>
        <v>6.8999999999999999E-3</v>
      </c>
      <c r="K8" s="186"/>
      <c r="L8" s="12" t="s">
        <v>84</v>
      </c>
      <c r="N8" s="185">
        <f t="shared" si="0"/>
        <v>2.1299999999999999E-3</v>
      </c>
      <c r="O8" s="183"/>
      <c r="P8" s="184">
        <f t="shared" si="1"/>
        <v>0.44650000000000001</v>
      </c>
      <c r="Q8" s="108"/>
      <c r="R8" s="30">
        <f t="shared" si="2"/>
        <v>30000</v>
      </c>
      <c r="X8" s="133"/>
    </row>
    <row r="9" spans="2:30" x14ac:dyDescent="0.2">
      <c r="B9" s="34"/>
      <c r="C9" s="25" t="s">
        <v>44</v>
      </c>
      <c r="D9" s="137">
        <f>SUM(D5:D8)</f>
        <v>50000</v>
      </c>
      <c r="E9" s="93" t="s">
        <v>56</v>
      </c>
      <c r="F9" s="185">
        <f>'Rates Comp OR'!F15</f>
        <v>4.1399999999999996E-3</v>
      </c>
      <c r="G9" s="186"/>
      <c r="H9" s="12" t="s">
        <v>84</v>
      </c>
      <c r="J9" s="185">
        <f>'Rates Comp OR'!I15</f>
        <v>5.9899999999999997E-3</v>
      </c>
      <c r="K9" s="186"/>
      <c r="L9" s="12" t="s">
        <v>84</v>
      </c>
      <c r="N9" s="185">
        <f t="shared" ref="N9" si="3">J9-F9</f>
        <v>1.8500000000000001E-3</v>
      </c>
      <c r="O9" s="183"/>
      <c r="P9" s="184">
        <f t="shared" ref="P9" si="4">ROUND(N9/F9,4)</f>
        <v>0.44690000000000002</v>
      </c>
      <c r="Q9" s="108"/>
      <c r="R9" s="30"/>
      <c r="S9" s="30">
        <f>SUM(S5:S8)</f>
        <v>2179</v>
      </c>
      <c r="U9" s="176">
        <f>SUM(U5:U6)</f>
        <v>16.53</v>
      </c>
      <c r="V9" s="176">
        <f>SUM(V5:V6)</f>
        <v>23.849999999999998</v>
      </c>
      <c r="W9" s="176">
        <f>V9-U9</f>
        <v>7.3199999999999967</v>
      </c>
      <c r="X9" s="215">
        <f>ROUND(W9/U9,5)</f>
        <v>0.44283</v>
      </c>
    </row>
    <row r="10" spans="2:30" x14ac:dyDescent="0.2">
      <c r="B10" s="34"/>
      <c r="C10"/>
      <c r="D10" s="137"/>
      <c r="E10" s="137"/>
      <c r="F10" s="185"/>
      <c r="G10" s="186"/>
      <c r="J10" s="185"/>
      <c r="K10" s="186"/>
      <c r="N10" s="185"/>
      <c r="O10" s="183"/>
      <c r="P10" s="184"/>
      <c r="Q10" s="108"/>
      <c r="R10" s="39" t="s">
        <v>90</v>
      </c>
      <c r="S10" s="30"/>
      <c r="U10" s="176"/>
      <c r="V10" s="176"/>
      <c r="W10" s="176"/>
      <c r="X10" s="215"/>
    </row>
    <row r="11" spans="2:30" x14ac:dyDescent="0.2">
      <c r="B11" s="34"/>
      <c r="C11" s="39" t="s">
        <v>90</v>
      </c>
      <c r="D11" s="137"/>
      <c r="E11" s="137"/>
      <c r="F11" s="185"/>
      <c r="G11" s="186"/>
      <c r="J11" s="185"/>
      <c r="K11" s="186"/>
      <c r="N11" s="185"/>
      <c r="O11" s="183"/>
      <c r="P11" s="184"/>
      <c r="Q11" s="108"/>
      <c r="R11" s="30"/>
      <c r="S11" s="30">
        <f>H52</f>
        <v>3576</v>
      </c>
    </row>
    <row r="12" spans="2:30" x14ac:dyDescent="0.2">
      <c r="B12" s="34"/>
      <c r="C12" s="25" t="s">
        <v>32</v>
      </c>
      <c r="D12" s="26">
        <v>5000</v>
      </c>
      <c r="E12" s="93" t="s">
        <v>56</v>
      </c>
      <c r="F12" s="183">
        <f>'Rates Comp OR'!F18</f>
        <v>33.53</v>
      </c>
      <c r="G12" s="183"/>
      <c r="H12" s="12" t="s">
        <v>85</v>
      </c>
      <c r="J12" s="183">
        <f>'Rates Comp OR'!I18</f>
        <v>48.35</v>
      </c>
      <c r="K12" s="183"/>
      <c r="L12" s="12" t="s">
        <v>85</v>
      </c>
      <c r="N12" s="183">
        <f t="shared" ref="N12:N16" si="5">J12-F12</f>
        <v>14.82</v>
      </c>
      <c r="O12" s="183"/>
      <c r="P12" s="184">
        <f>ROUND(N12/F12,4)</f>
        <v>0.442</v>
      </c>
      <c r="Q12" s="108"/>
      <c r="R12" s="30">
        <f>D12</f>
        <v>5000</v>
      </c>
      <c r="S12" s="30">
        <f>R12</f>
        <v>5000</v>
      </c>
      <c r="U12" s="176">
        <f>F12</f>
        <v>33.53</v>
      </c>
      <c r="V12" s="176">
        <f>J12</f>
        <v>48.35</v>
      </c>
    </row>
    <row r="13" spans="2:30" x14ac:dyDescent="0.2">
      <c r="B13" s="34"/>
      <c r="C13" s="25" t="s">
        <v>33</v>
      </c>
      <c r="D13" s="26">
        <v>5000</v>
      </c>
      <c r="E13" s="93" t="s">
        <v>56</v>
      </c>
      <c r="F13" s="185">
        <f>'Rates Comp OR'!F19</f>
        <v>6.0299999999999998E-3</v>
      </c>
      <c r="G13" s="186"/>
      <c r="H13" s="12" t="s">
        <v>84</v>
      </c>
      <c r="J13" s="185">
        <f>'Rates Comp OR'!I19</f>
        <v>8.709999999999999E-3</v>
      </c>
      <c r="K13" s="186"/>
      <c r="L13" s="12" t="s">
        <v>84</v>
      </c>
      <c r="M13" s="187"/>
      <c r="N13" s="185">
        <f t="shared" si="5"/>
        <v>2.6799999999999992E-3</v>
      </c>
      <c r="O13" s="183"/>
      <c r="P13" s="184">
        <f t="shared" ref="P13:P16" si="6">ROUND(N13/F13,4)</f>
        <v>0.44440000000000002</v>
      </c>
      <c r="Q13" s="108"/>
      <c r="R13" s="30">
        <f>D13</f>
        <v>5000</v>
      </c>
      <c r="S13" s="30">
        <f>R13</f>
        <v>5000</v>
      </c>
      <c r="U13" s="12">
        <f>ROUND(S13*$F13,2)</f>
        <v>30.15</v>
      </c>
      <c r="V13" s="12">
        <f>ROUND(S13*$J13,2)</f>
        <v>43.55</v>
      </c>
      <c r="X13" s="133"/>
    </row>
    <row r="14" spans="2:30" x14ac:dyDescent="0.2">
      <c r="B14" s="34"/>
      <c r="C14" s="25" t="s">
        <v>33</v>
      </c>
      <c r="D14" s="26">
        <v>10000</v>
      </c>
      <c r="E14" s="93" t="s">
        <v>56</v>
      </c>
      <c r="F14" s="185">
        <f>'Rates Comp OR'!F20</f>
        <v>5.4000000000000003E-3</v>
      </c>
      <c r="G14" s="186"/>
      <c r="H14" s="12" t="s">
        <v>84</v>
      </c>
      <c r="J14" s="185">
        <f>'Rates Comp OR'!I20</f>
        <v>7.8000000000000005E-3</v>
      </c>
      <c r="K14" s="186"/>
      <c r="L14" s="12" t="s">
        <v>84</v>
      </c>
      <c r="N14" s="185">
        <f t="shared" si="5"/>
        <v>2.4000000000000002E-3</v>
      </c>
      <c r="O14" s="183"/>
      <c r="P14" s="184">
        <f t="shared" si="6"/>
        <v>0.44440000000000002</v>
      </c>
      <c r="Q14" s="108"/>
      <c r="R14" s="30">
        <f t="shared" ref="R14" si="7">D14</f>
        <v>10000</v>
      </c>
      <c r="S14" s="30">
        <f>S11-S12-S13</f>
        <v>-6424</v>
      </c>
      <c r="U14" s="12">
        <f>ROUND(S14*$F14,2)</f>
        <v>-34.69</v>
      </c>
      <c r="V14" s="12">
        <f>ROUND(S14*$J14,2)</f>
        <v>-50.11</v>
      </c>
      <c r="X14" s="133"/>
    </row>
    <row r="15" spans="2:30" x14ac:dyDescent="0.2">
      <c r="B15" s="34"/>
      <c r="C15" s="25" t="s">
        <v>33</v>
      </c>
      <c r="D15" s="26">
        <v>30000</v>
      </c>
      <c r="E15" s="93" t="s">
        <v>56</v>
      </c>
      <c r="F15" s="185">
        <f>'Rates Comp OR'!F21</f>
        <v>4.7699999999999999E-3</v>
      </c>
      <c r="G15" s="186"/>
      <c r="H15" s="12" t="s">
        <v>84</v>
      </c>
      <c r="J15" s="185">
        <f>'Rates Comp OR'!I21</f>
        <v>6.8999999999999999E-3</v>
      </c>
      <c r="K15" s="186"/>
      <c r="L15" s="12" t="s">
        <v>84</v>
      </c>
      <c r="N15" s="185">
        <f t="shared" si="5"/>
        <v>2.1299999999999999E-3</v>
      </c>
      <c r="O15" s="183"/>
      <c r="P15" s="184">
        <f t="shared" si="6"/>
        <v>0.44650000000000001</v>
      </c>
      <c r="Q15" s="108"/>
      <c r="R15" s="30"/>
      <c r="S15" s="188">
        <f>SUM(S12:S14)</f>
        <v>3576</v>
      </c>
      <c r="U15" s="176">
        <f>SUM(U12:U14)</f>
        <v>28.990000000000002</v>
      </c>
      <c r="V15" s="176">
        <f>SUM(V12:V14)</f>
        <v>41.790000000000006</v>
      </c>
      <c r="W15" s="176">
        <f>V15-U15</f>
        <v>12.800000000000004</v>
      </c>
      <c r="X15" s="215">
        <f>ROUND(W15/U15,5)</f>
        <v>0.44152999999999998</v>
      </c>
    </row>
    <row r="16" spans="2:30" x14ac:dyDescent="0.2">
      <c r="B16" s="34"/>
      <c r="C16" s="25" t="s">
        <v>44</v>
      </c>
      <c r="D16" s="26">
        <f>SUM(D12:D15)</f>
        <v>50000</v>
      </c>
      <c r="E16" s="93" t="s">
        <v>56</v>
      </c>
      <c r="F16" s="185">
        <f>'Rates Comp OR'!F22</f>
        <v>4.1399999999999996E-3</v>
      </c>
      <c r="G16" s="186"/>
      <c r="H16" s="12" t="s">
        <v>84</v>
      </c>
      <c r="J16" s="185">
        <f>'Rates Comp OR'!I22</f>
        <v>5.9899999999999997E-3</v>
      </c>
      <c r="K16" s="186"/>
      <c r="L16" s="12" t="s">
        <v>84</v>
      </c>
      <c r="N16" s="185">
        <f t="shared" si="5"/>
        <v>1.8500000000000001E-3</v>
      </c>
      <c r="O16" s="183"/>
      <c r="P16" s="184">
        <f t="shared" si="6"/>
        <v>0.44690000000000002</v>
      </c>
      <c r="Q16" s="108"/>
      <c r="R16" s="39" t="s">
        <v>151</v>
      </c>
      <c r="S16" s="188"/>
      <c r="U16" s="176"/>
      <c r="V16" s="176"/>
      <c r="W16" s="176"/>
      <c r="X16" s="215"/>
    </row>
    <row r="17" spans="2:24" x14ac:dyDescent="0.2">
      <c r="B17" s="34"/>
      <c r="C17"/>
      <c r="D17" s="137"/>
      <c r="E17" s="137"/>
      <c r="F17" s="185"/>
      <c r="G17" s="186"/>
      <c r="J17" s="185"/>
      <c r="K17" s="186"/>
      <c r="N17" s="185"/>
      <c r="O17" s="183"/>
      <c r="P17" s="184"/>
      <c r="Q17" s="108"/>
      <c r="R17" s="30"/>
      <c r="S17" s="188">
        <f>H53</f>
        <v>12675</v>
      </c>
      <c r="U17" s="176"/>
    </row>
    <row r="18" spans="2:24" x14ac:dyDescent="0.2">
      <c r="B18" s="34"/>
      <c r="C18" s="39" t="s">
        <v>151</v>
      </c>
      <c r="D18" s="137"/>
      <c r="E18" s="137"/>
      <c r="F18" s="183"/>
      <c r="G18" s="183"/>
      <c r="J18" s="183"/>
      <c r="K18" s="183"/>
      <c r="N18" s="183"/>
      <c r="O18" s="183"/>
      <c r="P18" s="184"/>
      <c r="Q18" s="108"/>
      <c r="R18" s="30">
        <f>D19</f>
        <v>7500</v>
      </c>
      <c r="S18" s="30">
        <f>S17-R18</f>
        <v>5175</v>
      </c>
      <c r="U18" s="176">
        <f>F19</f>
        <v>48.62</v>
      </c>
      <c r="V18" s="176">
        <f>J19</f>
        <v>70.099999999999994</v>
      </c>
      <c r="W18" s="176"/>
      <c r="X18" s="190"/>
    </row>
    <row r="19" spans="2:24" x14ac:dyDescent="0.2">
      <c r="B19" s="34"/>
      <c r="C19" s="25" t="s">
        <v>32</v>
      </c>
      <c r="D19" s="26">
        <v>7500</v>
      </c>
      <c r="E19" s="93" t="s">
        <v>56</v>
      </c>
      <c r="F19" s="183">
        <f>'Rates Comp OR'!F25</f>
        <v>48.62</v>
      </c>
      <c r="G19" s="183"/>
      <c r="H19" s="12" t="s">
        <v>85</v>
      </c>
      <c r="J19" s="183">
        <f>'Rates Comp OR'!I25</f>
        <v>70.099999999999994</v>
      </c>
      <c r="K19" s="183"/>
      <c r="L19" s="12" t="s">
        <v>85</v>
      </c>
      <c r="N19" s="183">
        <f t="shared" ref="N19:N23" si="8">J19-F19</f>
        <v>21.479999999999997</v>
      </c>
      <c r="O19" s="183"/>
      <c r="P19" s="184">
        <f>ROUND(N19/F19,4)</f>
        <v>0.44180000000000003</v>
      </c>
      <c r="Q19" s="108"/>
      <c r="R19" s="30">
        <f>D20</f>
        <v>2500</v>
      </c>
      <c r="S19" s="188">
        <f>R19</f>
        <v>2500</v>
      </c>
      <c r="U19" s="12">
        <f>ROUND(S19*F20,2)</f>
        <v>15.08</v>
      </c>
      <c r="V19" s="12">
        <f>ROUND(S19*J20,2)</f>
        <v>21.78</v>
      </c>
      <c r="X19" s="133"/>
    </row>
    <row r="20" spans="2:24" x14ac:dyDescent="0.2">
      <c r="B20" s="34"/>
      <c r="C20" s="25" t="s">
        <v>33</v>
      </c>
      <c r="D20" s="26">
        <v>2500</v>
      </c>
      <c r="E20" s="93" t="s">
        <v>56</v>
      </c>
      <c r="F20" s="185">
        <f>'Rates Comp OR'!F26</f>
        <v>6.0299999999999998E-3</v>
      </c>
      <c r="G20" s="186"/>
      <c r="H20" s="12" t="s">
        <v>84</v>
      </c>
      <c r="J20" s="185">
        <f>'Rates Comp OR'!I26</f>
        <v>8.709999999999999E-3</v>
      </c>
      <c r="K20" s="186"/>
      <c r="L20" s="12" t="s">
        <v>84</v>
      </c>
      <c r="M20" s="187"/>
      <c r="N20" s="185">
        <f t="shared" si="8"/>
        <v>2.6799999999999992E-3</v>
      </c>
      <c r="O20" s="183"/>
      <c r="P20" s="184">
        <f t="shared" ref="P20:P23" si="9">ROUND(N20/F20,4)</f>
        <v>0.44440000000000002</v>
      </c>
      <c r="Q20" s="108"/>
      <c r="R20" s="30">
        <f>D21</f>
        <v>10000</v>
      </c>
      <c r="S20" s="30">
        <f>S17-R19-R20</f>
        <v>175</v>
      </c>
      <c r="U20" s="12">
        <f>ROUND(S20*F21,2)</f>
        <v>0.95</v>
      </c>
      <c r="V20" s="12">
        <f>ROUND(S20*J21,2)</f>
        <v>1.37</v>
      </c>
      <c r="W20" s="176"/>
      <c r="X20" s="215"/>
    </row>
    <row r="21" spans="2:24" x14ac:dyDescent="0.2">
      <c r="B21" s="34"/>
      <c r="C21" s="25" t="s">
        <v>33</v>
      </c>
      <c r="D21" s="26">
        <v>10000</v>
      </c>
      <c r="E21" s="93" t="s">
        <v>56</v>
      </c>
      <c r="F21" s="185">
        <f>'Rates Comp OR'!F27</f>
        <v>5.4000000000000003E-3</v>
      </c>
      <c r="G21" s="186"/>
      <c r="H21" s="12" t="s">
        <v>84</v>
      </c>
      <c r="J21" s="185">
        <f>'Rates Comp OR'!I27</f>
        <v>7.8000000000000005E-3</v>
      </c>
      <c r="K21" s="186"/>
      <c r="L21" s="12" t="s">
        <v>84</v>
      </c>
      <c r="N21" s="185">
        <f t="shared" si="8"/>
        <v>2.4000000000000002E-3</v>
      </c>
      <c r="O21" s="183"/>
      <c r="P21" s="184">
        <f t="shared" si="9"/>
        <v>0.44440000000000002</v>
      </c>
      <c r="Q21" s="108"/>
      <c r="R21" s="30" t="s">
        <v>225</v>
      </c>
      <c r="S21" s="30"/>
      <c r="U21" s="176">
        <f>SUM(U18:U20)</f>
        <v>64.649999999999991</v>
      </c>
      <c r="V21" s="176">
        <f>SUM(V18:V20)</f>
        <v>93.25</v>
      </c>
      <c r="W21" s="176">
        <f>V21-U21</f>
        <v>28.600000000000009</v>
      </c>
      <c r="X21" s="215">
        <f>ROUND(W21/U21,5)</f>
        <v>0.44238</v>
      </c>
    </row>
    <row r="22" spans="2:24" x14ac:dyDescent="0.2">
      <c r="B22" s="34"/>
      <c r="C22" s="25" t="s">
        <v>33</v>
      </c>
      <c r="D22" s="26">
        <v>30000</v>
      </c>
      <c r="E22" s="93" t="s">
        <v>56</v>
      </c>
      <c r="F22" s="185">
        <f>'Rates Comp OR'!F28</f>
        <v>4.7699999999999999E-3</v>
      </c>
      <c r="G22" s="186"/>
      <c r="H22" s="12" t="s">
        <v>84</v>
      </c>
      <c r="J22" s="185">
        <f>'Rates Comp OR'!I28</f>
        <v>6.8999999999999999E-3</v>
      </c>
      <c r="K22" s="186"/>
      <c r="L22" s="12" t="s">
        <v>84</v>
      </c>
      <c r="N22" s="185">
        <f t="shared" si="8"/>
        <v>2.1299999999999999E-3</v>
      </c>
      <c r="O22" s="183"/>
      <c r="P22" s="184">
        <f t="shared" si="9"/>
        <v>0.44650000000000001</v>
      </c>
      <c r="Q22" s="108"/>
      <c r="S22" s="30">
        <f>H54</f>
        <v>25070</v>
      </c>
      <c r="X22" s="133"/>
    </row>
    <row r="23" spans="2:24" x14ac:dyDescent="0.2">
      <c r="B23" s="34"/>
      <c r="C23" s="25" t="s">
        <v>44</v>
      </c>
      <c r="D23" s="26">
        <f>SUM(D19:D22)</f>
        <v>50000</v>
      </c>
      <c r="E23" s="93" t="s">
        <v>56</v>
      </c>
      <c r="F23" s="185">
        <f>'Rates Comp OR'!F29</f>
        <v>4.1399999999999996E-3</v>
      </c>
      <c r="G23" s="186"/>
      <c r="H23" s="12" t="s">
        <v>84</v>
      </c>
      <c r="J23" s="185">
        <f>'Rates Comp OR'!I29</f>
        <v>5.9899999999999997E-3</v>
      </c>
      <c r="K23" s="186"/>
      <c r="L23" s="12" t="s">
        <v>84</v>
      </c>
      <c r="N23" s="185">
        <f t="shared" si="8"/>
        <v>1.8500000000000001E-3</v>
      </c>
      <c r="O23" s="183"/>
      <c r="P23" s="184">
        <f t="shared" si="9"/>
        <v>0.44690000000000002</v>
      </c>
      <c r="Q23" s="108"/>
      <c r="R23" s="30">
        <f>D26</f>
        <v>20000</v>
      </c>
      <c r="S23" s="30">
        <f>R23</f>
        <v>20000</v>
      </c>
      <c r="U23" s="176">
        <f>F26</f>
        <v>117.68</v>
      </c>
      <c r="V23" s="176">
        <f>J26</f>
        <v>169.64000000000001</v>
      </c>
      <c r="W23" s="176"/>
      <c r="X23" s="190"/>
    </row>
    <row r="24" spans="2:24" x14ac:dyDescent="0.2">
      <c r="B24" s="34"/>
      <c r="C24"/>
      <c r="D24" s="137"/>
      <c r="E24" s="137"/>
      <c r="F24" s="185"/>
      <c r="G24" s="186"/>
      <c r="J24" s="185"/>
      <c r="K24" s="186"/>
      <c r="N24" s="185"/>
      <c r="O24" s="183"/>
      <c r="P24" s="184"/>
      <c r="Q24" s="108"/>
      <c r="R24" s="30">
        <f t="shared" ref="R24:R25" si="10">D27</f>
        <v>30000</v>
      </c>
      <c r="S24" s="188">
        <f>S22-S23</f>
        <v>5070</v>
      </c>
      <c r="U24" s="12">
        <f>ROUND(S24*F27,2)</f>
        <v>24.18</v>
      </c>
      <c r="V24" s="12">
        <f>ROUND(S24*J27,2)</f>
        <v>34.979999999999997</v>
      </c>
      <c r="X24" s="133"/>
    </row>
    <row r="25" spans="2:24" x14ac:dyDescent="0.2">
      <c r="B25" s="34"/>
      <c r="C25" s="30" t="s">
        <v>225</v>
      </c>
      <c r="D25" s="137"/>
      <c r="E25" s="137"/>
      <c r="F25" s="183"/>
      <c r="G25" s="183"/>
      <c r="J25" s="183"/>
      <c r="K25" s="183"/>
      <c r="N25" s="183"/>
      <c r="O25" s="183"/>
      <c r="P25" s="184"/>
      <c r="Q25" s="108"/>
      <c r="R25" s="30">
        <f t="shared" si="10"/>
        <v>50000</v>
      </c>
      <c r="S25" s="30">
        <v>0</v>
      </c>
      <c r="U25" s="12">
        <f>ROUND(S25*F28,2)</f>
        <v>0</v>
      </c>
      <c r="V25" s="12">
        <f>ROUND(S25*J28,2)</f>
        <v>0</v>
      </c>
      <c r="W25" s="176"/>
      <c r="X25" s="215"/>
    </row>
    <row r="26" spans="2:24" x14ac:dyDescent="0.2">
      <c r="B26" s="34"/>
      <c r="C26" s="25" t="s">
        <v>32</v>
      </c>
      <c r="D26" s="26">
        <v>20000</v>
      </c>
      <c r="E26" s="93" t="s">
        <v>56</v>
      </c>
      <c r="F26" s="183">
        <f>'Rates Comp OR'!F32</f>
        <v>117.68</v>
      </c>
      <c r="G26" s="183"/>
      <c r="H26" s="12" t="s">
        <v>85</v>
      </c>
      <c r="J26" s="183">
        <f>'Rates Comp OR'!I32</f>
        <v>169.64000000000001</v>
      </c>
      <c r="K26" s="183"/>
      <c r="L26" s="12" t="s">
        <v>85</v>
      </c>
      <c r="N26" s="183">
        <f t="shared" ref="N26:N28" si="11">J26-F26</f>
        <v>51.960000000000008</v>
      </c>
      <c r="O26" s="183"/>
      <c r="P26" s="184">
        <f>ROUND(N26/F26,4)</f>
        <v>0.4415</v>
      </c>
      <c r="Q26" s="108"/>
      <c r="S26" s="30">
        <f>SUM(S24:S25)</f>
        <v>5070</v>
      </c>
      <c r="U26" s="176">
        <f>SUM(U24:U25)</f>
        <v>24.18</v>
      </c>
      <c r="V26" s="176">
        <f>SUM(V24:V25)</f>
        <v>34.979999999999997</v>
      </c>
      <c r="W26" s="176">
        <f>V26-U26</f>
        <v>10.799999999999997</v>
      </c>
      <c r="X26" s="215">
        <f>ROUND(W26/U26,5)</f>
        <v>0.44664999999999999</v>
      </c>
    </row>
    <row r="27" spans="2:24" x14ac:dyDescent="0.2">
      <c r="B27" s="34"/>
      <c r="C27" s="25" t="s">
        <v>33</v>
      </c>
      <c r="D27" s="26">
        <v>30000</v>
      </c>
      <c r="E27" s="93" t="s">
        <v>56</v>
      </c>
      <c r="F27" s="185">
        <f>'Rates Comp OR'!F33</f>
        <v>4.7699999999999999E-3</v>
      </c>
      <c r="G27" s="186"/>
      <c r="H27" s="12" t="s">
        <v>84</v>
      </c>
      <c r="J27" s="185">
        <f>'Rates Comp OR'!I33</f>
        <v>6.8999999999999999E-3</v>
      </c>
      <c r="K27" s="186"/>
      <c r="L27" s="12" t="s">
        <v>84</v>
      </c>
      <c r="M27" s="187"/>
      <c r="N27" s="185">
        <f t="shared" si="11"/>
        <v>2.1299999999999999E-3</v>
      </c>
      <c r="O27" s="183"/>
      <c r="P27" s="184">
        <f t="shared" ref="P27:P28" si="12">ROUND(N27/F27,4)</f>
        <v>0.44650000000000001</v>
      </c>
      <c r="Q27" s="108"/>
    </row>
    <row r="28" spans="2:24" x14ac:dyDescent="0.2">
      <c r="B28" s="34"/>
      <c r="C28" s="25" t="s">
        <v>44</v>
      </c>
      <c r="D28" s="26">
        <f>SUM(D26:D27)</f>
        <v>50000</v>
      </c>
      <c r="E28" s="93" t="s">
        <v>56</v>
      </c>
      <c r="F28" s="185">
        <f>'Rates Comp OR'!F34</f>
        <v>4.1399999999999996E-3</v>
      </c>
      <c r="G28" s="186"/>
      <c r="H28" s="12" t="s">
        <v>84</v>
      </c>
      <c r="J28" s="185">
        <f>'Rates Comp OR'!I34</f>
        <v>5.9899999999999997E-3</v>
      </c>
      <c r="K28" s="186"/>
      <c r="L28" s="12" t="s">
        <v>84</v>
      </c>
      <c r="N28" s="185">
        <f t="shared" si="11"/>
        <v>1.8500000000000001E-3</v>
      </c>
      <c r="O28" s="183"/>
      <c r="P28" s="184">
        <f t="shared" si="12"/>
        <v>0.44690000000000002</v>
      </c>
      <c r="Q28" s="108"/>
      <c r="R28" s="30" t="s">
        <v>226</v>
      </c>
      <c r="S28" s="30"/>
      <c r="U28" s="176"/>
      <c r="V28" s="176"/>
      <c r="W28" s="176"/>
      <c r="X28" s="215"/>
    </row>
    <row r="29" spans="2:24" x14ac:dyDescent="0.2">
      <c r="B29" s="34"/>
      <c r="C29" s="25"/>
      <c r="D29" s="26"/>
      <c r="E29" s="93"/>
      <c r="F29" s="185"/>
      <c r="G29" s="186"/>
      <c r="J29" s="185"/>
      <c r="K29" s="186"/>
      <c r="N29" s="185"/>
      <c r="O29" s="183"/>
      <c r="P29" s="184"/>
      <c r="Q29" s="108"/>
      <c r="R29" s="30"/>
      <c r="S29" s="30">
        <f>H55</f>
        <v>7419</v>
      </c>
    </row>
    <row r="30" spans="2:24" x14ac:dyDescent="0.2">
      <c r="B30" s="34"/>
      <c r="C30" s="30" t="s">
        <v>226</v>
      </c>
      <c r="D30" s="137"/>
      <c r="E30" s="137"/>
      <c r="F30" s="183"/>
      <c r="J30" s="183"/>
      <c r="N30" s="183"/>
      <c r="O30" s="183"/>
      <c r="P30" s="184"/>
      <c r="Q30" s="108"/>
      <c r="R30" s="30">
        <f>D31</f>
        <v>30000</v>
      </c>
      <c r="S30" s="30">
        <f>S29</f>
        <v>7419</v>
      </c>
      <c r="U30" s="176">
        <f>F31</f>
        <v>165.58</v>
      </c>
      <c r="V30" s="176">
        <f>J31</f>
        <v>238.69000000000003</v>
      </c>
      <c r="W30" s="176"/>
      <c r="X30" s="190"/>
    </row>
    <row r="31" spans="2:24" x14ac:dyDescent="0.2">
      <c r="B31" s="34"/>
      <c r="C31" s="25" t="s">
        <v>32</v>
      </c>
      <c r="D31" s="26">
        <v>30000</v>
      </c>
      <c r="E31" s="93" t="s">
        <v>56</v>
      </c>
      <c r="F31" s="183">
        <f>'Rates Comp OR'!F37</f>
        <v>165.58</v>
      </c>
      <c r="G31" s="183"/>
      <c r="H31" s="12" t="s">
        <v>85</v>
      </c>
      <c r="J31" s="183">
        <f>'Rates Comp OR'!I37</f>
        <v>238.69000000000003</v>
      </c>
      <c r="K31" s="183"/>
      <c r="L31" s="12" t="s">
        <v>85</v>
      </c>
      <c r="N31" s="183">
        <f t="shared" ref="N31:N33" si="13">J31-F31</f>
        <v>73.110000000000014</v>
      </c>
      <c r="O31" s="183"/>
      <c r="P31" s="184">
        <f>ROUND(N31/F31,4)</f>
        <v>0.4415</v>
      </c>
      <c r="Q31" s="108"/>
      <c r="R31" s="30">
        <f t="shared" ref="R31:R32" si="14">D32</f>
        <v>20000</v>
      </c>
      <c r="S31" s="188">
        <v>0</v>
      </c>
      <c r="U31" s="12">
        <f>ROUND(S31*$F29,2)</f>
        <v>0</v>
      </c>
      <c r="V31" s="12">
        <f>ROUND(S31*$J29,2)</f>
        <v>0</v>
      </c>
      <c r="X31" s="133"/>
    </row>
    <row r="32" spans="2:24" x14ac:dyDescent="0.2">
      <c r="B32" s="34"/>
      <c r="C32" s="25" t="s">
        <v>33</v>
      </c>
      <c r="D32" s="26">
        <v>20000</v>
      </c>
      <c r="E32" s="93" t="s">
        <v>56</v>
      </c>
      <c r="F32" s="185">
        <f>'Rates Comp OR'!F38</f>
        <v>4.7699999999999999E-3</v>
      </c>
      <c r="G32" s="186"/>
      <c r="H32" s="12" t="s">
        <v>84</v>
      </c>
      <c r="J32" s="185">
        <f>'Rates Comp OR'!I38</f>
        <v>6.8999999999999999E-3</v>
      </c>
      <c r="K32" s="186"/>
      <c r="L32" s="12" t="s">
        <v>84</v>
      </c>
      <c r="M32" s="187"/>
      <c r="N32" s="185">
        <f t="shared" si="13"/>
        <v>2.1299999999999999E-3</v>
      </c>
      <c r="O32" s="183"/>
      <c r="P32" s="184">
        <f t="shared" ref="P32:P33" si="15">ROUND(N32/F32,4)</f>
        <v>0.44650000000000001</v>
      </c>
      <c r="Q32" s="108"/>
      <c r="R32" s="30">
        <f t="shared" si="14"/>
        <v>50000</v>
      </c>
      <c r="S32" s="30">
        <v>0</v>
      </c>
      <c r="U32" s="176">
        <v>0</v>
      </c>
      <c r="V32" s="176">
        <v>0</v>
      </c>
      <c r="W32" s="176">
        <f>V32-U32</f>
        <v>0</v>
      </c>
      <c r="X32" s="215"/>
    </row>
    <row r="33" spans="2:24" x14ac:dyDescent="0.2">
      <c r="B33" s="34"/>
      <c r="C33" s="25" t="s">
        <v>44</v>
      </c>
      <c r="D33" s="26">
        <f>SUM(D31:D32)</f>
        <v>50000</v>
      </c>
      <c r="E33" s="93" t="s">
        <v>56</v>
      </c>
      <c r="F33" s="185">
        <f>'Rates Comp OR'!F39</f>
        <v>4.1399999999999996E-3</v>
      </c>
      <c r="G33" s="186"/>
      <c r="H33" s="12" t="s">
        <v>84</v>
      </c>
      <c r="J33" s="185">
        <f>'Rates Comp OR'!I39</f>
        <v>5.9899999999999997E-3</v>
      </c>
      <c r="K33" s="186"/>
      <c r="L33" s="12" t="s">
        <v>84</v>
      </c>
      <c r="N33" s="185">
        <f t="shared" si="13"/>
        <v>1.8500000000000001E-3</v>
      </c>
      <c r="O33" s="183"/>
      <c r="P33" s="184">
        <f t="shared" si="15"/>
        <v>0.44690000000000002</v>
      </c>
      <c r="Q33" s="108"/>
      <c r="R33" s="30"/>
      <c r="S33" s="30">
        <f>SUM(S31:S32)</f>
        <v>0</v>
      </c>
      <c r="U33" s="176">
        <f>SUM(U30:U32)</f>
        <v>165.58</v>
      </c>
      <c r="V33" s="176">
        <f>SUM(V30:V32)</f>
        <v>238.69000000000003</v>
      </c>
      <c r="W33" s="176">
        <f>V33-U33</f>
        <v>73.110000000000014</v>
      </c>
      <c r="X33" s="215">
        <f>ROUND(W33/U33,5)</f>
        <v>0.44153999999999999</v>
      </c>
    </row>
    <row r="34" spans="2:24" x14ac:dyDescent="0.2">
      <c r="B34" s="34"/>
      <c r="C34" s="25"/>
      <c r="D34" s="26"/>
      <c r="E34" s="93"/>
      <c r="F34" s="185"/>
      <c r="G34" s="186"/>
      <c r="J34" s="185"/>
      <c r="K34" s="186"/>
      <c r="N34" s="185"/>
      <c r="O34" s="183"/>
      <c r="P34" s="184"/>
      <c r="Q34" s="108"/>
      <c r="R34" s="30" t="s">
        <v>227</v>
      </c>
    </row>
    <row r="35" spans="2:24" x14ac:dyDescent="0.2">
      <c r="B35" s="34"/>
      <c r="C35" s="30" t="s">
        <v>227</v>
      </c>
      <c r="D35" s="137"/>
      <c r="E35" s="137"/>
      <c r="F35" s="191"/>
      <c r="J35" s="191"/>
      <c r="N35" s="186"/>
      <c r="O35" s="183"/>
      <c r="P35" s="184"/>
      <c r="Q35" s="108"/>
      <c r="R35" s="30"/>
      <c r="S35" s="188">
        <f>H56</f>
        <v>122008</v>
      </c>
      <c r="X35" s="133"/>
    </row>
    <row r="36" spans="2:24" x14ac:dyDescent="0.2">
      <c r="B36" s="34"/>
      <c r="C36" s="25" t="s">
        <v>32</v>
      </c>
      <c r="D36" s="26">
        <v>50000</v>
      </c>
      <c r="E36" s="93" t="s">
        <v>56</v>
      </c>
      <c r="F36" s="183">
        <f>'Rates Comp OR'!F42</f>
        <v>260.85000000000002</v>
      </c>
      <c r="G36" s="183"/>
      <c r="H36" s="12" t="s">
        <v>85</v>
      </c>
      <c r="J36" s="183">
        <f>'Rates Comp OR'!I42</f>
        <v>376.01</v>
      </c>
      <c r="K36" s="183"/>
      <c r="L36" s="12" t="s">
        <v>85</v>
      </c>
      <c r="N36" s="183">
        <f t="shared" ref="N36:N37" si="16">J36-F36</f>
        <v>115.15999999999997</v>
      </c>
      <c r="O36" s="183"/>
      <c r="P36" s="184">
        <f>ROUND(N36/F36,4)</f>
        <v>0.4415</v>
      </c>
      <c r="Q36" s="108"/>
      <c r="R36" s="30">
        <f>D33</f>
        <v>50000</v>
      </c>
      <c r="S36" s="30">
        <f>R36</f>
        <v>50000</v>
      </c>
      <c r="U36" s="176">
        <f>F36</f>
        <v>260.85000000000002</v>
      </c>
      <c r="V36" s="176">
        <f>J36</f>
        <v>376.01</v>
      </c>
      <c r="W36" s="176"/>
      <c r="X36" s="190"/>
    </row>
    <row r="37" spans="2:24" x14ac:dyDescent="0.2">
      <c r="B37" s="34"/>
      <c r="C37" s="25" t="s">
        <v>44</v>
      </c>
      <c r="D37" s="26">
        <f>SUM(D36:D36)</f>
        <v>50000</v>
      </c>
      <c r="E37" s="93" t="s">
        <v>56</v>
      </c>
      <c r="F37" s="185">
        <f>'Rates Comp OR'!F43</f>
        <v>4.1399999999999996E-3</v>
      </c>
      <c r="G37" s="186"/>
      <c r="H37" s="12" t="s">
        <v>84</v>
      </c>
      <c r="J37" s="185">
        <f>'Rates Comp OR'!I43</f>
        <v>5.9899999999999997E-3</v>
      </c>
      <c r="K37" s="186"/>
      <c r="L37" s="12" t="s">
        <v>84</v>
      </c>
      <c r="M37" s="187"/>
      <c r="N37" s="185">
        <f t="shared" si="16"/>
        <v>1.8500000000000001E-3</v>
      </c>
      <c r="O37" s="183"/>
      <c r="P37" s="184">
        <f t="shared" ref="P37" si="17">ROUND(N37/F37,4)</f>
        <v>0.44690000000000002</v>
      </c>
      <c r="Q37" s="108"/>
      <c r="R37" s="30">
        <f>D37</f>
        <v>50000</v>
      </c>
      <c r="S37" s="188">
        <f>S35-R37</f>
        <v>72008</v>
      </c>
      <c r="U37" s="12">
        <f>ROUND(S37*F37,2)</f>
        <v>298.11</v>
      </c>
      <c r="V37" s="12">
        <f>ROUND(S37*J37,2)</f>
        <v>431.33</v>
      </c>
      <c r="X37" s="133"/>
    </row>
    <row r="38" spans="2:24" x14ac:dyDescent="0.2">
      <c r="B38" s="34"/>
      <c r="C38" s="25"/>
      <c r="D38" s="26"/>
      <c r="E38" s="93"/>
      <c r="F38" s="176"/>
      <c r="J38" s="176"/>
      <c r="N38" s="186"/>
      <c r="O38" s="183"/>
      <c r="P38" s="184"/>
      <c r="Q38" s="108"/>
      <c r="R38" s="30"/>
      <c r="S38" s="30">
        <f>SUM(S36:S37)</f>
        <v>122008</v>
      </c>
      <c r="U38" s="176">
        <f>SUM(U36:U37)</f>
        <v>558.96</v>
      </c>
      <c r="V38" s="176">
        <f>SUM(V36:V37)</f>
        <v>807.33999999999992</v>
      </c>
      <c r="W38" s="176">
        <f>V38-U38</f>
        <v>248.37999999999988</v>
      </c>
      <c r="X38" s="215">
        <f>ROUND(W38/U38,5)</f>
        <v>0.44435999999999998</v>
      </c>
    </row>
    <row r="39" spans="2:24" x14ac:dyDescent="0.2">
      <c r="B39" s="34"/>
      <c r="C39" s="205" t="s">
        <v>91</v>
      </c>
      <c r="D39" s="26"/>
      <c r="E39" s="93"/>
      <c r="F39" s="185">
        <f>'Rates Comp OR'!F45</f>
        <v>3.0699999999999998E-3</v>
      </c>
      <c r="G39" s="186"/>
      <c r="H39" s="12" t="s">
        <v>84</v>
      </c>
      <c r="J39" s="185">
        <f>'Rates Comp OR'!I45</f>
        <v>4.45E-3</v>
      </c>
      <c r="K39" s="186"/>
      <c r="L39" s="12" t="s">
        <v>84</v>
      </c>
      <c r="M39" s="187"/>
      <c r="N39" s="185">
        <f t="shared" ref="N39" si="18">J39-F39</f>
        <v>1.3800000000000002E-3</v>
      </c>
      <c r="O39" s="183"/>
      <c r="P39" s="184">
        <f t="shared" ref="P39" si="19">ROUND(N39/F39,4)</f>
        <v>0.44950000000000001</v>
      </c>
      <c r="Q39" s="108"/>
      <c r="R39" s="30"/>
      <c r="S39" s="30"/>
    </row>
    <row r="40" spans="2:24" x14ac:dyDescent="0.2">
      <c r="B40" s="34"/>
      <c r="C40" s="25"/>
      <c r="D40" s="26"/>
      <c r="E40" s="93"/>
      <c r="F40" s="176"/>
      <c r="J40" s="176"/>
      <c r="N40" s="186"/>
      <c r="O40" s="183"/>
      <c r="P40" s="184"/>
      <c r="Q40" s="108"/>
      <c r="R40" s="30"/>
      <c r="S40" s="30">
        <f>H57</f>
        <v>611888</v>
      </c>
      <c r="U40" s="176">
        <f>ROUND(S40*F39,2)</f>
        <v>1878.5</v>
      </c>
      <c r="V40" s="176">
        <f>ROUND(S40*J39,2)</f>
        <v>2722.9</v>
      </c>
      <c r="W40" s="176">
        <f>V40-U40</f>
        <v>844.40000000000009</v>
      </c>
      <c r="X40" s="215">
        <f>ROUND(W40/U40,5)</f>
        <v>0.44951000000000002</v>
      </c>
    </row>
    <row r="41" spans="2:24" x14ac:dyDescent="0.2">
      <c r="B41" s="34"/>
      <c r="C41" s="205" t="s">
        <v>229</v>
      </c>
      <c r="D41" s="26"/>
      <c r="E41" s="93"/>
      <c r="F41" s="176"/>
      <c r="J41" s="176"/>
      <c r="N41" s="186"/>
      <c r="O41" s="183"/>
      <c r="P41" s="184"/>
      <c r="Q41" s="108"/>
      <c r="R41" s="30"/>
    </row>
    <row r="42" spans="2:24" x14ac:dyDescent="0.2">
      <c r="B42" s="34"/>
      <c r="C42" s="205" t="s">
        <v>230</v>
      </c>
      <c r="D42" s="26"/>
      <c r="E42" s="93"/>
      <c r="F42" s="183">
        <f>'Rates Comp OR'!F48</f>
        <v>5</v>
      </c>
      <c r="G42" s="183"/>
      <c r="H42" s="12" t="s">
        <v>85</v>
      </c>
      <c r="J42" s="183">
        <f>'Rates Comp OR'!I48</f>
        <v>5</v>
      </c>
      <c r="K42" s="183"/>
      <c r="L42" s="12" t="s">
        <v>85</v>
      </c>
      <c r="N42" s="183">
        <f t="shared" ref="N42" si="20">J42-F42</f>
        <v>0</v>
      </c>
      <c r="O42" s="183"/>
      <c r="P42" s="184">
        <f>ROUND(N42/F42,4)</f>
        <v>0</v>
      </c>
      <c r="Q42" s="108"/>
      <c r="R42" s="30"/>
    </row>
    <row r="43" spans="2:24" x14ac:dyDescent="0.2">
      <c r="B43" s="34"/>
      <c r="C43"/>
      <c r="D43" s="137"/>
      <c r="E43" s="137"/>
      <c r="F43" s="176"/>
      <c r="J43" s="176"/>
      <c r="N43" s="186"/>
      <c r="O43" s="183"/>
      <c r="P43" s="184"/>
      <c r="Q43" s="108"/>
      <c r="R43" s="30"/>
    </row>
    <row r="44" spans="2:24" x14ac:dyDescent="0.2">
      <c r="B44" s="35"/>
      <c r="C44" s="27"/>
      <c r="D44" s="27"/>
      <c r="E44" s="27"/>
      <c r="F44" s="193"/>
      <c r="G44" s="192"/>
      <c r="H44" s="192"/>
      <c r="I44" s="192"/>
      <c r="J44" s="193"/>
      <c r="K44" s="192"/>
      <c r="L44" s="192"/>
      <c r="M44" s="192"/>
      <c r="N44" s="194"/>
      <c r="O44" s="195"/>
      <c r="P44" s="166"/>
      <c r="Q44" s="196"/>
      <c r="R44" s="30"/>
    </row>
    <row r="45" spans="2:24" x14ac:dyDescent="0.2">
      <c r="C45"/>
      <c r="F45" s="176"/>
      <c r="J45" s="176"/>
      <c r="N45" s="186"/>
      <c r="O45" s="183"/>
      <c r="P45" s="298"/>
      <c r="R45" s="30"/>
    </row>
    <row r="47" spans="2:24" x14ac:dyDescent="0.2">
      <c r="B47" s="33"/>
      <c r="C47" s="358" t="s">
        <v>139</v>
      </c>
      <c r="D47" s="358"/>
      <c r="E47" s="358"/>
      <c r="F47" s="358"/>
      <c r="G47" s="358"/>
      <c r="H47" s="358"/>
      <c r="I47" s="358"/>
      <c r="J47" s="358"/>
      <c r="K47" s="358"/>
      <c r="L47" s="358"/>
      <c r="M47" s="358"/>
      <c r="N47" s="358"/>
      <c r="O47" s="358"/>
      <c r="P47" s="358"/>
      <c r="Q47" s="181"/>
    </row>
    <row r="48" spans="2:24" x14ac:dyDescent="0.2">
      <c r="B48" s="34"/>
      <c r="H48" s="94" t="s">
        <v>140</v>
      </c>
      <c r="I48" s="94"/>
      <c r="J48" s="94" t="s">
        <v>141</v>
      </c>
      <c r="L48" s="94" t="s">
        <v>141</v>
      </c>
      <c r="M48" s="94"/>
      <c r="Q48" s="108"/>
    </row>
    <row r="49" spans="2:18" x14ac:dyDescent="0.2">
      <c r="B49" s="34"/>
      <c r="H49" s="94" t="s">
        <v>46</v>
      </c>
      <c r="I49" s="94"/>
      <c r="J49" s="94" t="s">
        <v>46</v>
      </c>
      <c r="L49" s="94" t="s">
        <v>46</v>
      </c>
      <c r="M49" s="94"/>
      <c r="N49" s="345" t="s">
        <v>82</v>
      </c>
      <c r="O49" s="345"/>
      <c r="P49" s="345"/>
      <c r="Q49" s="108"/>
      <c r="R49" s="12" t="s">
        <v>142</v>
      </c>
    </row>
    <row r="50" spans="2:18" x14ac:dyDescent="0.2">
      <c r="B50" s="34"/>
      <c r="H50" s="112" t="s">
        <v>54</v>
      </c>
      <c r="I50" s="94"/>
      <c r="J50" s="112" t="s">
        <v>55</v>
      </c>
      <c r="L50" s="112" t="s">
        <v>55</v>
      </c>
      <c r="M50" s="94"/>
      <c r="N50" s="112" t="s">
        <v>138</v>
      </c>
      <c r="P50" s="112" t="s">
        <v>77</v>
      </c>
      <c r="Q50" s="108"/>
    </row>
    <row r="51" spans="2:18" x14ac:dyDescent="0.2">
      <c r="B51" s="34"/>
      <c r="C51" s="30" t="str">
        <f>C4</f>
        <v>5/8-Inch x 3/4-Inch Meter</v>
      </c>
      <c r="H51" s="30">
        <f>ROUND(ExBA!F34/ExBA!D34,0)</f>
        <v>2179</v>
      </c>
      <c r="I51" s="94"/>
      <c r="J51" s="176">
        <f>U9</f>
        <v>16.53</v>
      </c>
      <c r="L51" s="176">
        <f>V9</f>
        <v>23.849999999999998</v>
      </c>
      <c r="M51" s="94"/>
      <c r="N51" s="176">
        <f>L51-J51</f>
        <v>7.3199999999999967</v>
      </c>
      <c r="P51" s="204">
        <f>ROUND(N51/J51,4)</f>
        <v>0.44280000000000003</v>
      </c>
      <c r="Q51" s="108"/>
    </row>
    <row r="52" spans="2:18" x14ac:dyDescent="0.2">
      <c r="B52" s="34"/>
      <c r="C52" s="30" t="str">
        <f>C11</f>
        <v>1-Inch Meter</v>
      </c>
      <c r="H52" s="30">
        <f>ROUND(ExBA!F43/ExBA!D43,0)</f>
        <v>3576</v>
      </c>
      <c r="I52" s="94"/>
      <c r="J52" s="176">
        <f>U15</f>
        <v>28.990000000000002</v>
      </c>
      <c r="L52" s="176">
        <f>V15</f>
        <v>41.790000000000006</v>
      </c>
      <c r="M52" s="94"/>
      <c r="N52" s="176">
        <f t="shared" ref="N52:N56" si="21">L52-J52</f>
        <v>12.800000000000004</v>
      </c>
      <c r="P52" s="184">
        <f t="shared" ref="P52:P56" si="22">ROUND(N52/J52,4)</f>
        <v>0.4415</v>
      </c>
      <c r="Q52" s="108"/>
    </row>
    <row r="53" spans="2:18" x14ac:dyDescent="0.2">
      <c r="B53" s="34"/>
      <c r="C53" s="30" t="str">
        <f>C18</f>
        <v>1 1/2-Inch Meter</v>
      </c>
      <c r="H53" s="30">
        <f>ROUND(ExBA!F52/ExBA!D52,0)</f>
        <v>12675</v>
      </c>
      <c r="I53" s="94"/>
      <c r="J53" s="176">
        <f>U21</f>
        <v>64.649999999999991</v>
      </c>
      <c r="L53" s="176">
        <f>V21</f>
        <v>93.25</v>
      </c>
      <c r="M53" s="94"/>
      <c r="N53" s="176">
        <f t="shared" si="21"/>
        <v>28.600000000000009</v>
      </c>
      <c r="P53" s="184">
        <f t="shared" si="22"/>
        <v>0.44240000000000002</v>
      </c>
      <c r="Q53" s="108"/>
    </row>
    <row r="54" spans="2:18" x14ac:dyDescent="0.2">
      <c r="B54" s="34"/>
      <c r="C54" s="30" t="str">
        <f>C25</f>
        <v>2-Inch Meter</v>
      </c>
      <c r="H54" s="30">
        <f>ROUND(ExBA!F59/ExBA!D59,0)</f>
        <v>25070</v>
      </c>
      <c r="I54" s="30"/>
      <c r="J54" s="176">
        <f>U26</f>
        <v>24.18</v>
      </c>
      <c r="L54" s="176">
        <f>V26</f>
        <v>34.979999999999997</v>
      </c>
      <c r="N54" s="176">
        <f t="shared" si="21"/>
        <v>10.799999999999997</v>
      </c>
      <c r="P54" s="184">
        <f t="shared" si="22"/>
        <v>0.44669999999999999</v>
      </c>
      <c r="Q54" s="108"/>
    </row>
    <row r="55" spans="2:18" x14ac:dyDescent="0.2">
      <c r="B55" s="34"/>
      <c r="C55" s="30" t="str">
        <f>C30</f>
        <v>3-Inch Meter</v>
      </c>
      <c r="H55" s="30">
        <f>ROUND(ExBA!F66/ExBA!D66,0)</f>
        <v>7419</v>
      </c>
      <c r="I55" s="30"/>
      <c r="J55" s="176">
        <f>U33</f>
        <v>165.58</v>
      </c>
      <c r="K55" s="176">
        <f>V36</f>
        <v>376.01</v>
      </c>
      <c r="L55" s="176">
        <f>V33</f>
        <v>238.69000000000003</v>
      </c>
      <c r="N55" s="176">
        <f t="shared" si="21"/>
        <v>73.110000000000014</v>
      </c>
      <c r="P55" s="184">
        <f t="shared" si="22"/>
        <v>0.4415</v>
      </c>
      <c r="Q55" s="108"/>
    </row>
    <row r="56" spans="2:18" x14ac:dyDescent="0.2">
      <c r="B56" s="34"/>
      <c r="C56" s="30" t="str">
        <f>C35</f>
        <v>4-Inch Meter</v>
      </c>
      <c r="H56" s="30">
        <f>ROUND(ExBA!F72/ExBA!D72,0)</f>
        <v>122008</v>
      </c>
      <c r="I56" s="30"/>
      <c r="J56" s="176">
        <f>U38</f>
        <v>558.96</v>
      </c>
      <c r="L56" s="176">
        <f>V38</f>
        <v>807.33999999999992</v>
      </c>
      <c r="N56" s="176">
        <f t="shared" si="21"/>
        <v>248.37999999999988</v>
      </c>
      <c r="P56" s="184">
        <f t="shared" si="22"/>
        <v>0.44440000000000002</v>
      </c>
      <c r="Q56" s="108"/>
    </row>
    <row r="57" spans="2:18" x14ac:dyDescent="0.2">
      <c r="B57" s="34"/>
      <c r="C57" s="30" t="str">
        <f>C39</f>
        <v>Wholesale</v>
      </c>
      <c r="H57" s="30">
        <f>ROUND(ExBA!F74/ExBA!D74,0)</f>
        <v>611888</v>
      </c>
      <c r="I57" s="30"/>
      <c r="J57" s="176">
        <f>U40</f>
        <v>1878.5</v>
      </c>
      <c r="L57" s="176">
        <f>V40</f>
        <v>2722.9</v>
      </c>
      <c r="N57" s="176">
        <f t="shared" ref="N57" si="23">L57-J57</f>
        <v>844.40000000000009</v>
      </c>
      <c r="P57" s="184">
        <f t="shared" ref="P57" si="24">ROUND(N57/J57,4)</f>
        <v>0.44950000000000001</v>
      </c>
      <c r="Q57" s="108"/>
    </row>
    <row r="58" spans="2:18" x14ac:dyDescent="0.2">
      <c r="B58" s="34"/>
      <c r="C58" s="12" t="str">
        <f>C41</f>
        <v>Water Loss Detection and Repair</v>
      </c>
      <c r="Q58" s="108"/>
    </row>
    <row r="59" spans="2:18" x14ac:dyDescent="0.2">
      <c r="B59" s="35"/>
      <c r="C59" s="192" t="str">
        <f>C42</f>
        <v>Surcharge</v>
      </c>
      <c r="D59" s="192"/>
      <c r="E59" s="192"/>
      <c r="F59" s="192"/>
      <c r="G59" s="192"/>
      <c r="H59" s="192"/>
      <c r="I59" s="192"/>
      <c r="J59" s="193">
        <f>F42</f>
        <v>5</v>
      </c>
      <c r="K59" s="192"/>
      <c r="L59" s="193">
        <f>F42</f>
        <v>5</v>
      </c>
      <c r="M59" s="192"/>
      <c r="N59" s="193">
        <f t="shared" ref="N59" si="25">L59-J59</f>
        <v>0</v>
      </c>
      <c r="O59" s="192"/>
      <c r="P59" s="166">
        <f t="shared" ref="P59" si="26">ROUND(N59/J59,4)</f>
        <v>0</v>
      </c>
      <c r="Q59" s="196"/>
    </row>
  </sheetData>
  <mergeCells count="5">
    <mergeCell ref="N49:P49"/>
    <mergeCell ref="C47:P47"/>
    <mergeCell ref="N3:P3"/>
    <mergeCell ref="F4:H4"/>
    <mergeCell ref="J4:L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95392-D510-46E9-9769-1DC99CA22701}">
  <dimension ref="A2:Z27"/>
  <sheetViews>
    <sheetView workbookViewId="0">
      <selection activeCell="K1" sqref="K1:K31"/>
    </sheetView>
  </sheetViews>
  <sheetFormatPr defaultRowHeight="15" x14ac:dyDescent="0.2"/>
  <cols>
    <col min="3" max="3" width="7.109375" style="12" customWidth="1"/>
    <col min="4" max="5" width="10.77734375" style="12" customWidth="1"/>
    <col min="6" max="6" width="1.77734375" style="173" customWidth="1"/>
    <col min="7" max="7" width="10.77734375" style="12" customWidth="1"/>
    <col min="8" max="8" width="1.21875" style="12" customWidth="1"/>
    <col min="9" max="9" width="10.77734375" style="173" customWidth="1"/>
    <col min="10" max="10" width="10.77734375" style="12" customWidth="1"/>
    <col min="11" max="11" width="8.88671875" style="171"/>
    <col min="12" max="12" width="11.44140625" style="39" bestFit="1" customWidth="1"/>
    <col min="13" max="15" width="10.44140625" style="39" bestFit="1" customWidth="1"/>
    <col min="16" max="17" width="10.44140625" style="39" customWidth="1"/>
    <col min="20" max="20" width="11.44140625" style="39" bestFit="1" customWidth="1"/>
    <col min="21" max="23" width="10.44140625" style="39" bestFit="1" customWidth="1"/>
    <col min="24" max="25" width="10.44140625" style="39" customWidth="1"/>
  </cols>
  <sheetData>
    <row r="2" spans="1:26" ht="15.75" x14ac:dyDescent="0.25">
      <c r="C2" s="172"/>
      <c r="I2" s="174"/>
      <c r="L2" s="359" t="s">
        <v>132</v>
      </c>
      <c r="M2" s="359"/>
      <c r="N2" s="359"/>
      <c r="O2" s="359"/>
      <c r="P2" s="359"/>
      <c r="Q2" s="359"/>
      <c r="R2" s="359"/>
      <c r="T2" s="359" t="s">
        <v>132</v>
      </c>
      <c r="U2" s="359"/>
      <c r="V2" s="359"/>
      <c r="W2" s="359"/>
      <c r="X2" s="359"/>
      <c r="Y2" s="359"/>
      <c r="Z2" s="359"/>
    </row>
    <row r="3" spans="1:26" ht="15.75" x14ac:dyDescent="0.25">
      <c r="A3" s="12" t="s">
        <v>288</v>
      </c>
      <c r="B3" s="30"/>
      <c r="D3" s="175"/>
      <c r="E3" s="108"/>
      <c r="F3" s="4"/>
      <c r="H3" s="30"/>
      <c r="I3" s="12"/>
      <c r="J3" s="175"/>
      <c r="K3" s="108"/>
      <c r="M3" s="137">
        <v>2000</v>
      </c>
      <c r="N3" s="137">
        <v>8000</v>
      </c>
      <c r="O3" s="137">
        <v>10000</v>
      </c>
      <c r="P3" s="137">
        <v>30000</v>
      </c>
      <c r="Q3" s="137">
        <f>SUM(M3:P3)</f>
        <v>50000</v>
      </c>
      <c r="U3" s="30">
        <f>M3</f>
        <v>2000</v>
      </c>
      <c r="V3" s="30">
        <f>N3</f>
        <v>8000</v>
      </c>
      <c r="W3" s="30">
        <f>O3</f>
        <v>10000</v>
      </c>
      <c r="X3" s="30">
        <f>P3</f>
        <v>30000</v>
      </c>
      <c r="Y3" s="30">
        <f>Q3</f>
        <v>50000</v>
      </c>
    </row>
    <row r="4" spans="1:26" ht="15.75" x14ac:dyDescent="0.25">
      <c r="A4" s="25" t="s">
        <v>32</v>
      </c>
      <c r="B4" s="137">
        <v>2000</v>
      </c>
      <c r="C4" s="12" t="s">
        <v>56</v>
      </c>
      <c r="D4" s="176">
        <f>'Rates Comp OR'!F11</f>
        <v>15.45</v>
      </c>
      <c r="E4" s="108" t="s">
        <v>85</v>
      </c>
      <c r="F4" s="4"/>
      <c r="G4" s="176">
        <f>'Rates Comp OR'!I11</f>
        <v>22.29</v>
      </c>
      <c r="H4" s="108" t="s">
        <v>85</v>
      </c>
      <c r="I4" s="12"/>
      <c r="M4" s="28">
        <f>D4</f>
        <v>15.45</v>
      </c>
      <c r="N4" s="177">
        <f>D5</f>
        <v>6.0299999999999998E-3</v>
      </c>
      <c r="O4" s="177">
        <f>D6</f>
        <v>5.4000000000000003E-3</v>
      </c>
      <c r="P4" s="177">
        <f>D7</f>
        <v>4.7699999999999999E-3</v>
      </c>
      <c r="Q4" s="177">
        <f>D8</f>
        <v>4.1399999999999996E-3</v>
      </c>
      <c r="U4" s="28">
        <f>G4</f>
        <v>22.29</v>
      </c>
      <c r="V4" s="177">
        <f>G5</f>
        <v>8.709999999999999E-3</v>
      </c>
      <c r="W4" s="177">
        <f>G6</f>
        <v>7.8000000000000005E-3</v>
      </c>
      <c r="X4" s="177">
        <f>G7</f>
        <v>6.8999999999999999E-3</v>
      </c>
      <c r="Y4" s="177">
        <f>G8</f>
        <v>5.9899999999999997E-3</v>
      </c>
    </row>
    <row r="5" spans="1:26" ht="15.75" x14ac:dyDescent="0.25">
      <c r="A5" s="25" t="s">
        <v>33</v>
      </c>
      <c r="B5" s="137">
        <v>8000</v>
      </c>
      <c r="C5" s="12" t="s">
        <v>56</v>
      </c>
      <c r="D5" s="178">
        <f>'Rates Comp OR'!F12</f>
        <v>6.0299999999999998E-3</v>
      </c>
      <c r="E5" s="108" t="s">
        <v>84</v>
      </c>
      <c r="F5" s="4"/>
      <c r="G5" s="178">
        <f>'Rates Comp OR'!I12</f>
        <v>8.709999999999999E-3</v>
      </c>
      <c r="H5" s="108" t="s">
        <v>84</v>
      </c>
      <c r="I5" s="12"/>
      <c r="L5" s="39">
        <v>2000</v>
      </c>
      <c r="M5" s="39">
        <v>2000</v>
      </c>
      <c r="N5" s="39">
        <f>L5-M5</f>
        <v>0</v>
      </c>
      <c r="O5" s="39">
        <f>L5-M5-N5</f>
        <v>0</v>
      </c>
      <c r="P5" s="39">
        <f>L5-M5-N5-O5</f>
        <v>0</v>
      </c>
      <c r="R5" s="39">
        <f>SUM(M5:Q5)</f>
        <v>2000</v>
      </c>
      <c r="T5" s="39">
        <f>L5</f>
        <v>2000</v>
      </c>
      <c r="U5" s="39">
        <f t="shared" ref="U5:U14" si="0">M5</f>
        <v>2000</v>
      </c>
      <c r="V5" s="39">
        <f t="shared" ref="V5:V14" si="1">N5</f>
        <v>0</v>
      </c>
      <c r="W5" s="39">
        <f t="shared" ref="W5:W14" si="2">O5</f>
        <v>0</v>
      </c>
      <c r="X5" s="39">
        <f t="shared" ref="X5:Y14" si="3">P5</f>
        <v>0</v>
      </c>
      <c r="Y5" s="39">
        <f t="shared" si="3"/>
        <v>0</v>
      </c>
    </row>
    <row r="6" spans="1:26" ht="15.75" x14ac:dyDescent="0.25">
      <c r="A6" s="25" t="s">
        <v>33</v>
      </c>
      <c r="B6" s="137">
        <v>10000</v>
      </c>
      <c r="C6" s="12" t="s">
        <v>56</v>
      </c>
      <c r="D6" s="178">
        <f>'Rates Comp OR'!F13</f>
        <v>5.4000000000000003E-3</v>
      </c>
      <c r="E6" s="108" t="s">
        <v>84</v>
      </c>
      <c r="F6" s="4"/>
      <c r="G6" s="178">
        <f>'Rates Comp OR'!I13</f>
        <v>7.8000000000000005E-3</v>
      </c>
      <c r="H6" s="108" t="s">
        <v>84</v>
      </c>
      <c r="I6" s="12"/>
      <c r="L6" s="39">
        <v>4000</v>
      </c>
      <c r="M6" s="39">
        <v>2000</v>
      </c>
      <c r="N6" s="30">
        <f>L6-M6</f>
        <v>2000</v>
      </c>
      <c r="O6" s="39">
        <f t="shared" ref="O6:O11" si="4">L6-M6-N6</f>
        <v>0</v>
      </c>
      <c r="P6" s="39">
        <f t="shared" ref="P6:P12" si="5">L6-M6-N6-O6</f>
        <v>0</v>
      </c>
      <c r="R6" s="39">
        <f t="shared" ref="R6:R14" si="6">SUM(M6:P6)</f>
        <v>4000</v>
      </c>
      <c r="T6" s="39">
        <f t="shared" ref="T6:T14" si="7">L6</f>
        <v>4000</v>
      </c>
      <c r="U6" s="39">
        <f t="shared" si="0"/>
        <v>2000</v>
      </c>
      <c r="V6" s="39">
        <f t="shared" si="1"/>
        <v>2000</v>
      </c>
      <c r="W6" s="39">
        <f t="shared" si="2"/>
        <v>0</v>
      </c>
      <c r="X6" s="39">
        <f t="shared" si="3"/>
        <v>0</v>
      </c>
      <c r="Y6" s="39">
        <f t="shared" si="3"/>
        <v>0</v>
      </c>
      <c r="Z6" s="39">
        <f t="shared" ref="Z6:Z14" si="8">SUM(U6:X6)</f>
        <v>4000</v>
      </c>
    </row>
    <row r="7" spans="1:26" ht="15.75" x14ac:dyDescent="0.25">
      <c r="A7" s="25" t="s">
        <v>33</v>
      </c>
      <c r="B7" s="137">
        <v>30000</v>
      </c>
      <c r="C7" s="12" t="s">
        <v>56</v>
      </c>
      <c r="D7" s="178">
        <f>'Rates Comp OR'!F14</f>
        <v>4.7699999999999999E-3</v>
      </c>
      <c r="E7" s="108" t="s">
        <v>84</v>
      </c>
      <c r="F7" s="4"/>
      <c r="G7" s="178">
        <f>'Rates Comp OR'!I14</f>
        <v>6.8999999999999999E-3</v>
      </c>
      <c r="H7" s="108" t="s">
        <v>84</v>
      </c>
      <c r="I7" s="12"/>
      <c r="L7" s="39">
        <v>6000</v>
      </c>
      <c r="M7" s="39">
        <v>2000</v>
      </c>
      <c r="N7" s="39">
        <v>4000</v>
      </c>
      <c r="O7" s="39">
        <f t="shared" si="4"/>
        <v>0</v>
      </c>
      <c r="P7" s="39">
        <f t="shared" si="5"/>
        <v>0</v>
      </c>
      <c r="R7" s="39">
        <f t="shared" si="6"/>
        <v>6000</v>
      </c>
      <c r="T7" s="39">
        <f t="shared" si="7"/>
        <v>6000</v>
      </c>
      <c r="U7" s="39">
        <f t="shared" si="0"/>
        <v>2000</v>
      </c>
      <c r="V7" s="39">
        <f t="shared" si="1"/>
        <v>4000</v>
      </c>
      <c r="W7" s="39">
        <f t="shared" si="2"/>
        <v>0</v>
      </c>
      <c r="X7" s="39">
        <f t="shared" si="3"/>
        <v>0</v>
      </c>
      <c r="Y7" s="39">
        <f t="shared" si="3"/>
        <v>0</v>
      </c>
      <c r="Z7" s="39">
        <f t="shared" si="8"/>
        <v>6000</v>
      </c>
    </row>
    <row r="8" spans="1:26" x14ac:dyDescent="0.2">
      <c r="A8" s="25" t="s">
        <v>44</v>
      </c>
      <c r="B8" s="137">
        <f>SUM(B4:B7)</f>
        <v>50000</v>
      </c>
      <c r="C8" s="12" t="s">
        <v>56</v>
      </c>
      <c r="D8" s="178">
        <f>'Rates Comp OR'!F15</f>
        <v>4.1399999999999996E-3</v>
      </c>
      <c r="E8" s="108" t="s">
        <v>84</v>
      </c>
      <c r="F8" s="12"/>
      <c r="G8" s="178">
        <f>'Rates Comp OR'!I15</f>
        <v>5.9899999999999997E-3</v>
      </c>
      <c r="H8" s="108" t="s">
        <v>84</v>
      </c>
      <c r="I8" s="12"/>
      <c r="L8" s="39">
        <v>8000</v>
      </c>
      <c r="M8" s="39">
        <v>2000</v>
      </c>
      <c r="N8" s="39">
        <v>6000</v>
      </c>
      <c r="O8" s="39">
        <f t="shared" si="4"/>
        <v>0</v>
      </c>
      <c r="P8" s="39">
        <f t="shared" si="5"/>
        <v>0</v>
      </c>
      <c r="R8" s="39">
        <f t="shared" si="6"/>
        <v>8000</v>
      </c>
      <c r="T8" s="39">
        <f t="shared" si="7"/>
        <v>8000</v>
      </c>
      <c r="U8" s="39">
        <f t="shared" si="0"/>
        <v>2000</v>
      </c>
      <c r="V8" s="39">
        <f t="shared" si="1"/>
        <v>6000</v>
      </c>
      <c r="W8" s="39">
        <f t="shared" si="2"/>
        <v>0</v>
      </c>
      <c r="X8" s="39">
        <f t="shared" si="3"/>
        <v>0</v>
      </c>
      <c r="Y8" s="39">
        <f t="shared" si="3"/>
        <v>0</v>
      </c>
      <c r="Z8" s="39">
        <f t="shared" si="8"/>
        <v>8000</v>
      </c>
    </row>
    <row r="9" spans="1:26" x14ac:dyDescent="0.2">
      <c r="A9" s="25"/>
      <c r="B9" s="137"/>
      <c r="D9" s="178"/>
      <c r="E9" s="108"/>
      <c r="F9" s="12"/>
      <c r="G9" s="178"/>
      <c r="H9" s="178"/>
      <c r="I9" s="178"/>
      <c r="L9" s="39">
        <v>10000</v>
      </c>
      <c r="M9" s="39">
        <v>2000</v>
      </c>
      <c r="N9" s="39">
        <v>8000</v>
      </c>
      <c r="O9" s="39">
        <f t="shared" si="4"/>
        <v>0</v>
      </c>
      <c r="P9" s="39">
        <f t="shared" si="5"/>
        <v>0</v>
      </c>
      <c r="R9" s="39">
        <f t="shared" si="6"/>
        <v>10000</v>
      </c>
      <c r="T9" s="39">
        <f t="shared" si="7"/>
        <v>10000</v>
      </c>
      <c r="U9" s="39">
        <f t="shared" si="0"/>
        <v>2000</v>
      </c>
      <c r="V9" s="39">
        <f t="shared" si="1"/>
        <v>8000</v>
      </c>
      <c r="W9" s="39">
        <f t="shared" si="2"/>
        <v>0</v>
      </c>
      <c r="X9" s="39">
        <f t="shared" si="3"/>
        <v>0</v>
      </c>
      <c r="Y9" s="39">
        <f t="shared" si="3"/>
        <v>0</v>
      </c>
      <c r="Z9" s="39">
        <f t="shared" si="8"/>
        <v>10000</v>
      </c>
    </row>
    <row r="10" spans="1:26" x14ac:dyDescent="0.2">
      <c r="E10" s="179"/>
      <c r="F10" s="12"/>
      <c r="L10" s="39">
        <v>12000</v>
      </c>
      <c r="M10" s="39">
        <v>2000</v>
      </c>
      <c r="N10" s="39">
        <v>8000</v>
      </c>
      <c r="O10" s="39">
        <f t="shared" si="4"/>
        <v>2000</v>
      </c>
      <c r="P10" s="39">
        <f t="shared" si="5"/>
        <v>0</v>
      </c>
      <c r="R10" s="39">
        <f t="shared" si="6"/>
        <v>12000</v>
      </c>
      <c r="T10" s="39">
        <f t="shared" si="7"/>
        <v>12000</v>
      </c>
      <c r="U10" s="39">
        <f t="shared" si="0"/>
        <v>2000</v>
      </c>
      <c r="V10" s="39">
        <f t="shared" si="1"/>
        <v>8000</v>
      </c>
      <c r="W10" s="39">
        <f t="shared" si="2"/>
        <v>2000</v>
      </c>
      <c r="X10" s="39">
        <f t="shared" si="3"/>
        <v>0</v>
      </c>
      <c r="Y10" s="39">
        <f t="shared" si="3"/>
        <v>0</v>
      </c>
      <c r="Z10" s="39">
        <f t="shared" si="8"/>
        <v>12000</v>
      </c>
    </row>
    <row r="11" spans="1:26" x14ac:dyDescent="0.2">
      <c r="E11" s="179"/>
      <c r="F11" s="12"/>
      <c r="L11" s="39">
        <v>14000</v>
      </c>
      <c r="M11" s="39">
        <v>2000</v>
      </c>
      <c r="N11" s="39">
        <v>8000</v>
      </c>
      <c r="O11" s="39">
        <f t="shared" si="4"/>
        <v>4000</v>
      </c>
      <c r="P11" s="39">
        <f t="shared" si="5"/>
        <v>0</v>
      </c>
      <c r="R11" s="39">
        <f t="shared" si="6"/>
        <v>14000</v>
      </c>
      <c r="T11" s="39">
        <f t="shared" si="7"/>
        <v>14000</v>
      </c>
      <c r="U11" s="39">
        <f t="shared" si="0"/>
        <v>2000</v>
      </c>
      <c r="V11" s="39">
        <f t="shared" si="1"/>
        <v>8000</v>
      </c>
      <c r="W11" s="39">
        <f t="shared" si="2"/>
        <v>4000</v>
      </c>
      <c r="X11" s="39">
        <f t="shared" si="3"/>
        <v>0</v>
      </c>
      <c r="Y11" s="39">
        <f t="shared" si="3"/>
        <v>0</v>
      </c>
      <c r="Z11" s="39">
        <f t="shared" si="8"/>
        <v>14000</v>
      </c>
    </row>
    <row r="12" spans="1:26" x14ac:dyDescent="0.2">
      <c r="E12" s="179"/>
      <c r="F12" s="12"/>
      <c r="L12" s="39">
        <v>22000</v>
      </c>
      <c r="M12" s="39">
        <v>2000</v>
      </c>
      <c r="N12" s="39">
        <v>8000</v>
      </c>
      <c r="O12" s="39">
        <v>10000</v>
      </c>
      <c r="P12" s="39">
        <f t="shared" si="5"/>
        <v>2000</v>
      </c>
      <c r="R12" s="39">
        <f t="shared" si="6"/>
        <v>22000</v>
      </c>
      <c r="T12" s="39">
        <f t="shared" si="7"/>
        <v>22000</v>
      </c>
      <c r="U12" s="39">
        <f t="shared" si="0"/>
        <v>2000</v>
      </c>
      <c r="V12" s="39">
        <f t="shared" si="1"/>
        <v>8000</v>
      </c>
      <c r="W12" s="39">
        <f t="shared" si="2"/>
        <v>10000</v>
      </c>
      <c r="X12" s="39">
        <f t="shared" si="3"/>
        <v>2000</v>
      </c>
      <c r="Y12" s="39">
        <f t="shared" si="3"/>
        <v>0</v>
      </c>
      <c r="Z12" s="39">
        <f t="shared" si="8"/>
        <v>22000</v>
      </c>
    </row>
    <row r="13" spans="1:26" x14ac:dyDescent="0.2">
      <c r="E13" s="179"/>
      <c r="F13" s="12"/>
      <c r="L13" s="39">
        <v>70000</v>
      </c>
      <c r="M13" s="39">
        <v>2000</v>
      </c>
      <c r="N13" s="39">
        <v>8000</v>
      </c>
      <c r="O13" s="39">
        <v>10000</v>
      </c>
      <c r="P13" s="39">
        <v>30000</v>
      </c>
      <c r="Q13" s="39">
        <f>L13-M13-N13-O13-P13</f>
        <v>20000</v>
      </c>
      <c r="R13" s="39">
        <f t="shared" si="6"/>
        <v>50000</v>
      </c>
      <c r="T13" s="39">
        <f t="shared" si="7"/>
        <v>70000</v>
      </c>
      <c r="U13" s="39">
        <f t="shared" si="0"/>
        <v>2000</v>
      </c>
      <c r="V13" s="39">
        <f t="shared" si="1"/>
        <v>8000</v>
      </c>
      <c r="W13" s="39">
        <f t="shared" si="2"/>
        <v>10000</v>
      </c>
      <c r="X13" s="39">
        <f t="shared" si="3"/>
        <v>30000</v>
      </c>
      <c r="Y13" s="39">
        <f t="shared" si="3"/>
        <v>20000</v>
      </c>
      <c r="Z13" s="39">
        <f t="shared" si="8"/>
        <v>50000</v>
      </c>
    </row>
    <row r="14" spans="1:26" x14ac:dyDescent="0.2">
      <c r="E14" s="179"/>
      <c r="F14" s="12"/>
      <c r="L14" s="39">
        <v>80000</v>
      </c>
      <c r="M14" s="39">
        <v>2000</v>
      </c>
      <c r="N14" s="39">
        <v>8000</v>
      </c>
      <c r="O14" s="39">
        <v>10000</v>
      </c>
      <c r="P14" s="39">
        <v>30000</v>
      </c>
      <c r="Q14" s="39">
        <f>L14-M14-N14-O14-P14</f>
        <v>30000</v>
      </c>
      <c r="R14" s="39">
        <f t="shared" si="6"/>
        <v>50000</v>
      </c>
      <c r="T14" s="39">
        <f t="shared" si="7"/>
        <v>80000</v>
      </c>
      <c r="U14" s="39">
        <f t="shared" si="0"/>
        <v>2000</v>
      </c>
      <c r="V14" s="39">
        <f t="shared" si="1"/>
        <v>8000</v>
      </c>
      <c r="W14" s="39">
        <f t="shared" si="2"/>
        <v>10000</v>
      </c>
      <c r="X14" s="39">
        <f t="shared" si="3"/>
        <v>30000</v>
      </c>
      <c r="Y14" s="39">
        <f t="shared" si="3"/>
        <v>30000</v>
      </c>
      <c r="Z14" s="39">
        <f t="shared" si="8"/>
        <v>50000</v>
      </c>
    </row>
    <row r="15" spans="1:26" x14ac:dyDescent="0.2">
      <c r="E15" s="179"/>
      <c r="F15" s="12"/>
    </row>
    <row r="16" spans="1:26" x14ac:dyDescent="0.2">
      <c r="E16" s="179"/>
      <c r="F16" s="12"/>
      <c r="L16" s="39">
        <f>L5</f>
        <v>2000</v>
      </c>
      <c r="M16" s="28">
        <f>M4</f>
        <v>15.45</v>
      </c>
      <c r="N16" s="28">
        <f>N5*N$4</f>
        <v>0</v>
      </c>
      <c r="O16" s="28">
        <f>O5*O$4</f>
        <v>0</v>
      </c>
      <c r="P16" s="28">
        <f>P5*P$4</f>
        <v>0</v>
      </c>
      <c r="Q16" s="28">
        <f>Q5*Q$4</f>
        <v>0</v>
      </c>
      <c r="R16" s="28">
        <f>SUM(M16:Q16)</f>
        <v>15.45</v>
      </c>
      <c r="T16" s="39">
        <f>L16</f>
        <v>2000</v>
      </c>
      <c r="U16" s="28">
        <f>U4</f>
        <v>22.29</v>
      </c>
      <c r="V16" s="28">
        <f>V5*V$4</f>
        <v>0</v>
      </c>
      <c r="W16" s="28">
        <f>W5*W$4</f>
        <v>0</v>
      </c>
      <c r="X16" s="28">
        <f>X5*X$4</f>
        <v>0</v>
      </c>
      <c r="Y16" s="28">
        <f>Y5*Y$4</f>
        <v>0</v>
      </c>
      <c r="Z16" s="28">
        <f>SUM(U16:Y16)</f>
        <v>22.29</v>
      </c>
    </row>
    <row r="17" spans="5:26" x14ac:dyDescent="0.2">
      <c r="E17" s="179"/>
      <c r="F17" s="12"/>
      <c r="L17" s="39">
        <f t="shared" ref="L17:L25" si="9">L6</f>
        <v>4000</v>
      </c>
      <c r="M17" s="28">
        <f>M16</f>
        <v>15.45</v>
      </c>
      <c r="N17" s="28">
        <f t="shared" ref="N17:Q17" si="10">N6*N$4</f>
        <v>12.059999999999999</v>
      </c>
      <c r="O17" s="28">
        <f t="shared" si="10"/>
        <v>0</v>
      </c>
      <c r="P17" s="28">
        <f t="shared" si="10"/>
        <v>0</v>
      </c>
      <c r="Q17" s="28">
        <f t="shared" si="10"/>
        <v>0</v>
      </c>
      <c r="R17" s="28">
        <f t="shared" ref="R17:R25" si="11">SUM(M17:Q17)</f>
        <v>27.509999999999998</v>
      </c>
      <c r="T17" s="39">
        <f t="shared" ref="T17:T25" si="12">L17</f>
        <v>4000</v>
      </c>
      <c r="U17" s="28">
        <f>U16</f>
        <v>22.29</v>
      </c>
      <c r="V17" s="28">
        <f t="shared" ref="V17:X17" si="13">V6*V$4</f>
        <v>17.419999999999998</v>
      </c>
      <c r="W17" s="28">
        <f t="shared" si="13"/>
        <v>0</v>
      </c>
      <c r="X17" s="28">
        <f t="shared" si="13"/>
        <v>0</v>
      </c>
      <c r="Y17" s="28">
        <f t="shared" ref="Y17" si="14">Y6*Y$4</f>
        <v>0</v>
      </c>
      <c r="Z17" s="28">
        <f t="shared" ref="Z17:Z25" si="15">SUM(U17:Y17)</f>
        <v>39.709999999999994</v>
      </c>
    </row>
    <row r="18" spans="5:26" x14ac:dyDescent="0.2">
      <c r="E18" s="179"/>
      <c r="F18" s="12"/>
      <c r="L18" s="39">
        <f t="shared" si="9"/>
        <v>6000</v>
      </c>
      <c r="M18" s="28">
        <f t="shared" ref="M18:M25" si="16">M17</f>
        <v>15.45</v>
      </c>
      <c r="N18" s="28">
        <f t="shared" ref="N18:N25" si="17">N7*N$4</f>
        <v>24.119999999999997</v>
      </c>
      <c r="O18" s="28">
        <f t="shared" ref="O18:Q18" si="18">O7*O$4</f>
        <v>0</v>
      </c>
      <c r="P18" s="28">
        <f t="shared" si="18"/>
        <v>0</v>
      </c>
      <c r="Q18" s="28">
        <f t="shared" si="18"/>
        <v>0</v>
      </c>
      <c r="R18" s="28">
        <f t="shared" si="11"/>
        <v>39.569999999999993</v>
      </c>
      <c r="T18" s="39">
        <f t="shared" si="12"/>
        <v>6000</v>
      </c>
      <c r="U18" s="28">
        <f t="shared" ref="U18:U25" si="19">U17</f>
        <v>22.29</v>
      </c>
      <c r="V18" s="28">
        <f t="shared" ref="V18:X18" si="20">V7*V$4</f>
        <v>34.839999999999996</v>
      </c>
      <c r="W18" s="28">
        <f t="shared" si="20"/>
        <v>0</v>
      </c>
      <c r="X18" s="28">
        <f t="shared" si="20"/>
        <v>0</v>
      </c>
      <c r="Y18" s="28">
        <f t="shared" ref="Y18" si="21">Y7*Y$4</f>
        <v>0</v>
      </c>
      <c r="Z18" s="28">
        <f t="shared" si="15"/>
        <v>57.129999999999995</v>
      </c>
    </row>
    <row r="19" spans="5:26" x14ac:dyDescent="0.2">
      <c r="E19" s="179"/>
      <c r="F19" s="12"/>
      <c r="L19" s="39">
        <f t="shared" si="9"/>
        <v>8000</v>
      </c>
      <c r="M19" s="28">
        <f t="shared" si="16"/>
        <v>15.45</v>
      </c>
      <c r="N19" s="28">
        <f t="shared" si="17"/>
        <v>36.18</v>
      </c>
      <c r="O19" s="28">
        <f t="shared" ref="O19:Q19" si="22">O8*O$4</f>
        <v>0</v>
      </c>
      <c r="P19" s="28">
        <f t="shared" si="22"/>
        <v>0</v>
      </c>
      <c r="Q19" s="28">
        <f t="shared" si="22"/>
        <v>0</v>
      </c>
      <c r="R19" s="28">
        <f t="shared" si="11"/>
        <v>51.629999999999995</v>
      </c>
      <c r="T19" s="39">
        <f t="shared" si="12"/>
        <v>8000</v>
      </c>
      <c r="U19" s="28">
        <f t="shared" si="19"/>
        <v>22.29</v>
      </c>
      <c r="V19" s="28">
        <f t="shared" ref="V19:X19" si="23">V8*V$4</f>
        <v>52.259999999999991</v>
      </c>
      <c r="W19" s="28">
        <f t="shared" si="23"/>
        <v>0</v>
      </c>
      <c r="X19" s="28">
        <f t="shared" si="23"/>
        <v>0</v>
      </c>
      <c r="Y19" s="28">
        <f t="shared" ref="Y19" si="24">Y8*Y$4</f>
        <v>0</v>
      </c>
      <c r="Z19" s="28">
        <f t="shared" si="15"/>
        <v>74.549999999999983</v>
      </c>
    </row>
    <row r="20" spans="5:26" x14ac:dyDescent="0.2">
      <c r="E20" s="179"/>
      <c r="F20" s="12"/>
      <c r="L20" s="39">
        <f t="shared" si="9"/>
        <v>10000</v>
      </c>
      <c r="M20" s="28">
        <f t="shared" si="16"/>
        <v>15.45</v>
      </c>
      <c r="N20" s="28">
        <f t="shared" si="17"/>
        <v>48.239999999999995</v>
      </c>
      <c r="O20" s="28">
        <f t="shared" ref="O20:Q20" si="25">O9*O$4</f>
        <v>0</v>
      </c>
      <c r="P20" s="28">
        <f t="shared" si="25"/>
        <v>0</v>
      </c>
      <c r="Q20" s="28">
        <f t="shared" si="25"/>
        <v>0</v>
      </c>
      <c r="R20" s="28">
        <f t="shared" si="11"/>
        <v>63.69</v>
      </c>
      <c r="T20" s="39">
        <f t="shared" si="12"/>
        <v>10000</v>
      </c>
      <c r="U20" s="28">
        <f t="shared" si="19"/>
        <v>22.29</v>
      </c>
      <c r="V20" s="28">
        <f t="shared" ref="V20:X20" si="26">V9*V$4</f>
        <v>69.679999999999993</v>
      </c>
      <c r="W20" s="28">
        <f t="shared" si="26"/>
        <v>0</v>
      </c>
      <c r="X20" s="28">
        <f t="shared" si="26"/>
        <v>0</v>
      </c>
      <c r="Y20" s="28">
        <f t="shared" ref="Y20" si="27">Y9*Y$4</f>
        <v>0</v>
      </c>
      <c r="Z20" s="28">
        <f t="shared" si="15"/>
        <v>91.97</v>
      </c>
    </row>
    <row r="21" spans="5:26" x14ac:dyDescent="0.2">
      <c r="E21" s="179"/>
      <c r="F21" s="12"/>
      <c r="L21" s="39">
        <f t="shared" si="9"/>
        <v>12000</v>
      </c>
      <c r="M21" s="28">
        <f t="shared" si="16"/>
        <v>15.45</v>
      </c>
      <c r="N21" s="28">
        <f t="shared" si="17"/>
        <v>48.239999999999995</v>
      </c>
      <c r="O21" s="28">
        <f t="shared" ref="O21:Q21" si="28">O10*O$4</f>
        <v>10.8</v>
      </c>
      <c r="P21" s="28">
        <f t="shared" si="28"/>
        <v>0</v>
      </c>
      <c r="Q21" s="28">
        <f t="shared" si="28"/>
        <v>0</v>
      </c>
      <c r="R21" s="28">
        <f t="shared" si="11"/>
        <v>74.489999999999995</v>
      </c>
      <c r="T21" s="39">
        <f t="shared" si="12"/>
        <v>12000</v>
      </c>
      <c r="U21" s="28">
        <f t="shared" si="19"/>
        <v>22.29</v>
      </c>
      <c r="V21" s="28">
        <f t="shared" ref="V21:X21" si="29">V10*V$4</f>
        <v>69.679999999999993</v>
      </c>
      <c r="W21" s="28">
        <f t="shared" si="29"/>
        <v>15.600000000000001</v>
      </c>
      <c r="X21" s="28">
        <f t="shared" si="29"/>
        <v>0</v>
      </c>
      <c r="Y21" s="28">
        <f t="shared" ref="Y21" si="30">Y10*Y$4</f>
        <v>0</v>
      </c>
      <c r="Z21" s="28">
        <f t="shared" si="15"/>
        <v>107.57</v>
      </c>
    </row>
    <row r="22" spans="5:26" x14ac:dyDescent="0.2">
      <c r="E22" s="179"/>
      <c r="F22" s="12"/>
      <c r="L22" s="39">
        <f t="shared" si="9"/>
        <v>14000</v>
      </c>
      <c r="M22" s="28">
        <f t="shared" si="16"/>
        <v>15.45</v>
      </c>
      <c r="N22" s="28">
        <f t="shared" si="17"/>
        <v>48.239999999999995</v>
      </c>
      <c r="O22" s="28">
        <f t="shared" ref="O22:Q22" si="31">O11*O$4</f>
        <v>21.6</v>
      </c>
      <c r="P22" s="28">
        <f t="shared" si="31"/>
        <v>0</v>
      </c>
      <c r="Q22" s="28">
        <f t="shared" si="31"/>
        <v>0</v>
      </c>
      <c r="R22" s="28">
        <f t="shared" si="11"/>
        <v>85.289999999999992</v>
      </c>
      <c r="T22" s="39">
        <f t="shared" si="12"/>
        <v>14000</v>
      </c>
      <c r="U22" s="28">
        <f t="shared" si="19"/>
        <v>22.29</v>
      </c>
      <c r="V22" s="28">
        <f t="shared" ref="V22:X22" si="32">V11*V$4</f>
        <v>69.679999999999993</v>
      </c>
      <c r="W22" s="28">
        <f t="shared" si="32"/>
        <v>31.200000000000003</v>
      </c>
      <c r="X22" s="28">
        <f t="shared" si="32"/>
        <v>0</v>
      </c>
      <c r="Y22" s="28">
        <f t="shared" ref="Y22" si="33">Y11*Y$4</f>
        <v>0</v>
      </c>
      <c r="Z22" s="28">
        <f t="shared" si="15"/>
        <v>123.17</v>
      </c>
    </row>
    <row r="23" spans="5:26" x14ac:dyDescent="0.2">
      <c r="E23" s="179"/>
      <c r="F23" s="12"/>
      <c r="L23" s="39">
        <f t="shared" si="9"/>
        <v>22000</v>
      </c>
      <c r="M23" s="28">
        <f t="shared" si="16"/>
        <v>15.45</v>
      </c>
      <c r="N23" s="28">
        <f t="shared" si="17"/>
        <v>48.239999999999995</v>
      </c>
      <c r="O23" s="28">
        <f t="shared" ref="O23:Q23" si="34">O12*O$4</f>
        <v>54</v>
      </c>
      <c r="P23" s="28">
        <f t="shared" si="34"/>
        <v>9.5399999999999991</v>
      </c>
      <c r="Q23" s="28">
        <f t="shared" si="34"/>
        <v>0</v>
      </c>
      <c r="R23" s="28">
        <f t="shared" si="11"/>
        <v>127.22999999999999</v>
      </c>
      <c r="T23" s="39">
        <f t="shared" si="12"/>
        <v>22000</v>
      </c>
      <c r="U23" s="28">
        <f t="shared" si="19"/>
        <v>22.29</v>
      </c>
      <c r="V23" s="28">
        <f t="shared" ref="V23:X23" si="35">V12*V$4</f>
        <v>69.679999999999993</v>
      </c>
      <c r="W23" s="28">
        <f t="shared" si="35"/>
        <v>78</v>
      </c>
      <c r="X23" s="28">
        <f t="shared" si="35"/>
        <v>13.799999999999999</v>
      </c>
      <c r="Y23" s="28">
        <f t="shared" ref="Y23" si="36">Y12*Y$4</f>
        <v>0</v>
      </c>
      <c r="Z23" s="28">
        <f t="shared" si="15"/>
        <v>183.77</v>
      </c>
    </row>
    <row r="24" spans="5:26" x14ac:dyDescent="0.2">
      <c r="E24" s="179"/>
      <c r="F24" s="12"/>
      <c r="L24" s="39">
        <f t="shared" si="9"/>
        <v>70000</v>
      </c>
      <c r="M24" s="28">
        <f t="shared" si="16"/>
        <v>15.45</v>
      </c>
      <c r="N24" s="28">
        <f t="shared" si="17"/>
        <v>48.239999999999995</v>
      </c>
      <c r="O24" s="28">
        <f t="shared" ref="O24:Q24" si="37">O13*O$4</f>
        <v>54</v>
      </c>
      <c r="P24" s="28">
        <f t="shared" si="37"/>
        <v>143.1</v>
      </c>
      <c r="Q24" s="28">
        <f t="shared" si="37"/>
        <v>82.8</v>
      </c>
      <c r="R24" s="28">
        <f t="shared" si="11"/>
        <v>343.59</v>
      </c>
      <c r="T24" s="39">
        <f t="shared" si="12"/>
        <v>70000</v>
      </c>
      <c r="U24" s="28">
        <f t="shared" si="19"/>
        <v>22.29</v>
      </c>
      <c r="V24" s="28">
        <f t="shared" ref="V24:X24" si="38">V13*V$4</f>
        <v>69.679999999999993</v>
      </c>
      <c r="W24" s="28">
        <f t="shared" si="38"/>
        <v>78</v>
      </c>
      <c r="X24" s="28">
        <f t="shared" si="38"/>
        <v>207</v>
      </c>
      <c r="Y24" s="28">
        <f t="shared" ref="Y24" si="39">Y13*Y$4</f>
        <v>119.8</v>
      </c>
      <c r="Z24" s="28">
        <f t="shared" si="15"/>
        <v>496.77000000000004</v>
      </c>
    </row>
    <row r="25" spans="5:26" x14ac:dyDescent="0.2">
      <c r="E25" s="179"/>
      <c r="F25" s="12"/>
      <c r="L25" s="39">
        <f t="shared" si="9"/>
        <v>80000</v>
      </c>
      <c r="M25" s="28">
        <f t="shared" si="16"/>
        <v>15.45</v>
      </c>
      <c r="N25" s="28">
        <f t="shared" si="17"/>
        <v>48.239999999999995</v>
      </c>
      <c r="O25" s="28">
        <f t="shared" ref="O25:Q25" si="40">O14*O$4</f>
        <v>54</v>
      </c>
      <c r="P25" s="28">
        <f t="shared" si="40"/>
        <v>143.1</v>
      </c>
      <c r="Q25" s="28">
        <f t="shared" si="40"/>
        <v>124.19999999999999</v>
      </c>
      <c r="R25" s="28">
        <f t="shared" si="11"/>
        <v>384.98999999999995</v>
      </c>
      <c r="T25" s="39">
        <f t="shared" si="12"/>
        <v>80000</v>
      </c>
      <c r="U25" s="28">
        <f t="shared" si="19"/>
        <v>22.29</v>
      </c>
      <c r="V25" s="28">
        <f t="shared" ref="V25:X25" si="41">V14*V$4</f>
        <v>69.679999999999993</v>
      </c>
      <c r="W25" s="28">
        <f t="shared" si="41"/>
        <v>78</v>
      </c>
      <c r="X25" s="28">
        <f t="shared" si="41"/>
        <v>207</v>
      </c>
      <c r="Y25" s="28">
        <f t="shared" ref="Y25" si="42">Y14*Y$4</f>
        <v>179.7</v>
      </c>
      <c r="Z25" s="28">
        <f t="shared" si="15"/>
        <v>556.67000000000007</v>
      </c>
    </row>
    <row r="26" spans="5:26" x14ac:dyDescent="0.2">
      <c r="E26" s="179"/>
      <c r="F26" s="12"/>
    </row>
    <row r="27" spans="5:26" x14ac:dyDescent="0.2">
      <c r="E27" s="179"/>
      <c r="F27" s="12"/>
    </row>
  </sheetData>
  <mergeCells count="2">
    <mergeCell ref="L2:R2"/>
    <mergeCell ref="T2:Z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28AC9-ECCB-47E0-BD79-00ED94B6C8D1}">
  <dimension ref="A3:Z32"/>
  <sheetViews>
    <sheetView topLeftCell="A7" workbookViewId="0">
      <selection activeCell="K10" sqref="A1:XFD1048576"/>
    </sheetView>
  </sheetViews>
  <sheetFormatPr defaultRowHeight="15" x14ac:dyDescent="0.2"/>
  <cols>
    <col min="3" max="3" width="4.77734375" style="12" customWidth="1"/>
    <col min="4" max="5" width="10.77734375" style="12" customWidth="1"/>
    <col min="6" max="6" width="1.77734375" style="173" customWidth="1"/>
    <col min="7" max="7" width="10.77734375" style="12" customWidth="1"/>
    <col min="8" max="8" width="1.21875" style="12" customWidth="1"/>
    <col min="9" max="9" width="10.77734375" style="173" customWidth="1"/>
    <col min="10" max="10" width="10.77734375" style="12" customWidth="1"/>
    <col min="11" max="11" width="8.88671875" style="171"/>
    <col min="12" max="12" width="11.44140625" style="39" bestFit="1" customWidth="1"/>
    <col min="13" max="14" width="10.44140625" style="39" bestFit="1" customWidth="1"/>
    <col min="15" max="16" width="10.44140625" style="39" customWidth="1"/>
    <col min="17" max="17" width="10.44140625" style="39" bestFit="1" customWidth="1"/>
    <col min="20" max="20" width="11.44140625" style="39" bestFit="1" customWidth="1"/>
    <col min="21" max="22" width="10.44140625" style="39" bestFit="1" customWidth="1"/>
    <col min="23" max="24" width="10.44140625" style="39" customWidth="1"/>
    <col min="25" max="25" width="10.44140625" style="39" bestFit="1" customWidth="1"/>
  </cols>
  <sheetData>
    <row r="3" spans="1:26" x14ac:dyDescent="0.2">
      <c r="C3"/>
      <c r="D3"/>
      <c r="E3"/>
      <c r="F3"/>
      <c r="G3"/>
      <c r="H3"/>
      <c r="I3"/>
      <c r="J3"/>
    </row>
    <row r="4" spans="1:26" x14ac:dyDescent="0.2">
      <c r="C4"/>
      <c r="D4"/>
      <c r="E4"/>
      <c r="F4"/>
      <c r="G4"/>
      <c r="H4"/>
      <c r="I4"/>
      <c r="J4"/>
    </row>
    <row r="5" spans="1:26" x14ac:dyDescent="0.2">
      <c r="C5"/>
      <c r="D5"/>
      <c r="E5"/>
      <c r="F5"/>
      <c r="G5"/>
      <c r="H5"/>
      <c r="I5"/>
      <c r="J5"/>
    </row>
    <row r="7" spans="1:26" ht="15.75" x14ac:dyDescent="0.25">
      <c r="C7" s="172"/>
      <c r="I7" s="174"/>
      <c r="L7" s="359" t="s">
        <v>132</v>
      </c>
      <c r="M7" s="359"/>
      <c r="N7" s="359"/>
      <c r="O7" s="359"/>
      <c r="P7" s="359"/>
      <c r="Q7" s="359"/>
      <c r="R7" s="359"/>
      <c r="T7" s="359" t="s">
        <v>132</v>
      </c>
      <c r="U7" s="359"/>
      <c r="V7" s="359"/>
      <c r="W7" s="359"/>
      <c r="X7" s="359"/>
      <c r="Y7" s="359"/>
      <c r="Z7" s="359"/>
    </row>
    <row r="8" spans="1:26" ht="15.75" x14ac:dyDescent="0.25">
      <c r="A8" s="12" t="s">
        <v>90</v>
      </c>
      <c r="B8" s="30"/>
      <c r="D8" s="175"/>
      <c r="E8" s="108"/>
      <c r="F8" s="4"/>
      <c r="H8" s="30"/>
      <c r="I8" s="12"/>
      <c r="J8" s="175"/>
      <c r="K8" s="108"/>
      <c r="M8" s="26">
        <v>5000</v>
      </c>
      <c r="N8" s="26">
        <v>5000</v>
      </c>
      <c r="O8" s="26">
        <v>10000</v>
      </c>
      <c r="P8" s="26">
        <v>30000</v>
      </c>
      <c r="Q8" s="26">
        <f>SUM(M8:P8)</f>
        <v>50000</v>
      </c>
      <c r="U8" s="26">
        <v>5000</v>
      </c>
      <c r="V8" s="26">
        <v>5000</v>
      </c>
      <c r="W8" s="26">
        <v>10000</v>
      </c>
      <c r="X8" s="26">
        <v>30000</v>
      </c>
      <c r="Y8" s="26">
        <f>SUM(U8:X8)</f>
        <v>50000</v>
      </c>
    </row>
    <row r="9" spans="1:26" ht="15.75" x14ac:dyDescent="0.25">
      <c r="A9" s="25" t="s">
        <v>32</v>
      </c>
      <c r="B9" s="26">
        <v>5000</v>
      </c>
      <c r="C9" s="12" t="s">
        <v>56</v>
      </c>
      <c r="D9" s="176">
        <f>'Rates Comp OR'!F18</f>
        <v>33.53</v>
      </c>
      <c r="E9" s="108" t="s">
        <v>85</v>
      </c>
      <c r="F9" s="4"/>
      <c r="G9" s="176">
        <f>'Rates Comp OR'!I18</f>
        <v>48.35</v>
      </c>
      <c r="H9" s="108" t="s">
        <v>85</v>
      </c>
      <c r="I9" s="12"/>
      <c r="M9" s="28">
        <f>D9</f>
        <v>33.53</v>
      </c>
      <c r="N9" s="177">
        <f>D10</f>
        <v>6.0299999999999998E-3</v>
      </c>
      <c r="O9" s="177">
        <f>D11</f>
        <v>5.4000000000000003E-3</v>
      </c>
      <c r="P9" s="177">
        <f>D12</f>
        <v>4.7699999999999999E-3</v>
      </c>
      <c r="Q9" s="177">
        <f>D13</f>
        <v>4.1399999999999996E-3</v>
      </c>
      <c r="U9" s="28">
        <f>G9</f>
        <v>48.35</v>
      </c>
      <c r="V9" s="177">
        <f>G10</f>
        <v>8.709999999999999E-3</v>
      </c>
      <c r="W9" s="177">
        <f>G11</f>
        <v>7.8000000000000005E-3</v>
      </c>
      <c r="X9" s="177">
        <f>G12</f>
        <v>6.8999999999999999E-3</v>
      </c>
      <c r="Y9" s="177">
        <f>G13</f>
        <v>5.9899999999999997E-3</v>
      </c>
    </row>
    <row r="10" spans="1:26" ht="15.75" x14ac:dyDescent="0.25">
      <c r="A10" s="25" t="s">
        <v>33</v>
      </c>
      <c r="B10" s="26">
        <v>5000</v>
      </c>
      <c r="C10" s="12" t="s">
        <v>56</v>
      </c>
      <c r="D10" s="178">
        <f>'Rates Comp OR'!F19</f>
        <v>6.0299999999999998E-3</v>
      </c>
      <c r="E10" s="108" t="s">
        <v>84</v>
      </c>
      <c r="F10" s="4"/>
      <c r="G10" s="178">
        <f>'Rates Comp OR'!I19</f>
        <v>8.709999999999999E-3</v>
      </c>
      <c r="H10" s="108" t="s">
        <v>84</v>
      </c>
      <c r="I10" s="12"/>
      <c r="L10" s="39">
        <v>2000</v>
      </c>
      <c r="M10" s="39">
        <v>2000</v>
      </c>
      <c r="N10" s="39">
        <f>L10-M10</f>
        <v>0</v>
      </c>
      <c r="T10" s="39">
        <v>2000</v>
      </c>
      <c r="U10" s="39">
        <f t="shared" ref="U10:U19" si="0">M10</f>
        <v>2000</v>
      </c>
      <c r="V10" s="39">
        <f t="shared" ref="V10:V19" si="1">N10</f>
        <v>0</v>
      </c>
      <c r="W10" s="39">
        <f t="shared" ref="W10:W19" si="2">O10</f>
        <v>0</v>
      </c>
      <c r="X10" s="39">
        <f t="shared" ref="X10:X19" si="3">P10</f>
        <v>0</v>
      </c>
      <c r="Y10" s="39">
        <f t="shared" ref="Y10:Y19" si="4">Q10</f>
        <v>0</v>
      </c>
    </row>
    <row r="11" spans="1:26" x14ac:dyDescent="0.2">
      <c r="A11" s="25" t="s">
        <v>33</v>
      </c>
      <c r="B11" s="26">
        <v>10000</v>
      </c>
      <c r="C11" s="12" t="s">
        <v>56</v>
      </c>
      <c r="D11" s="178">
        <f>'Rates Comp OR'!F20</f>
        <v>5.4000000000000003E-3</v>
      </c>
      <c r="E11" s="108" t="s">
        <v>84</v>
      </c>
      <c r="F11" s="12"/>
      <c r="G11" s="178">
        <f>'Rates Comp OR'!I20</f>
        <v>7.8000000000000005E-3</v>
      </c>
      <c r="H11" s="108" t="s">
        <v>84</v>
      </c>
      <c r="I11" s="12"/>
      <c r="L11" s="39">
        <v>4000</v>
      </c>
      <c r="M11" s="39">
        <v>4000</v>
      </c>
      <c r="N11" s="30">
        <f>L11-M11</f>
        <v>0</v>
      </c>
      <c r="O11" s="30"/>
      <c r="P11" s="30"/>
      <c r="R11" s="39">
        <f t="shared" ref="R11:R19" si="5">SUM(M11:Q11)</f>
        <v>4000</v>
      </c>
      <c r="T11" s="39">
        <v>4000</v>
      </c>
      <c r="U11" s="39">
        <f t="shared" si="0"/>
        <v>4000</v>
      </c>
      <c r="V11" s="39">
        <f t="shared" si="1"/>
        <v>0</v>
      </c>
      <c r="W11" s="39">
        <f t="shared" si="2"/>
        <v>0</v>
      </c>
      <c r="X11" s="39">
        <f t="shared" si="3"/>
        <v>0</v>
      </c>
      <c r="Y11" s="39">
        <f t="shared" si="4"/>
        <v>0</v>
      </c>
      <c r="Z11" s="39">
        <f t="shared" ref="Z11:Z19" si="6">SUM(U11:Y11)</f>
        <v>4000</v>
      </c>
    </row>
    <row r="12" spans="1:26" x14ac:dyDescent="0.2">
      <c r="A12" s="25" t="s">
        <v>33</v>
      </c>
      <c r="B12" s="26">
        <v>30000</v>
      </c>
      <c r="C12" s="12" t="s">
        <v>56</v>
      </c>
      <c r="D12" s="178">
        <f>'Rates Comp OR'!F21</f>
        <v>4.7699999999999999E-3</v>
      </c>
      <c r="E12" s="108" t="s">
        <v>84</v>
      </c>
      <c r="G12" s="178">
        <f>'Rates Comp OR'!I21</f>
        <v>6.8999999999999999E-3</v>
      </c>
      <c r="H12" s="108" t="s">
        <v>84</v>
      </c>
      <c r="L12" s="39">
        <v>6000</v>
      </c>
      <c r="M12" s="39">
        <v>5000</v>
      </c>
      <c r="N12" s="30">
        <f t="shared" ref="N12:N14" si="7">L12-M12</f>
        <v>1000</v>
      </c>
      <c r="O12" s="30"/>
      <c r="P12" s="30"/>
      <c r="R12" s="39">
        <f t="shared" si="5"/>
        <v>6000</v>
      </c>
      <c r="T12" s="39">
        <v>6000</v>
      </c>
      <c r="U12" s="39">
        <f t="shared" si="0"/>
        <v>5000</v>
      </c>
      <c r="V12" s="39">
        <f t="shared" si="1"/>
        <v>1000</v>
      </c>
      <c r="W12" s="39">
        <f t="shared" si="2"/>
        <v>0</v>
      </c>
      <c r="X12" s="39">
        <f t="shared" si="3"/>
        <v>0</v>
      </c>
      <c r="Y12" s="39">
        <f t="shared" si="4"/>
        <v>0</v>
      </c>
      <c r="Z12" s="39">
        <f t="shared" si="6"/>
        <v>6000</v>
      </c>
    </row>
    <row r="13" spans="1:26" x14ac:dyDescent="0.2">
      <c r="A13" s="25" t="s">
        <v>44</v>
      </c>
      <c r="B13" s="26">
        <f>SUM(B9:B12)</f>
        <v>50000</v>
      </c>
      <c r="C13" s="12" t="s">
        <v>56</v>
      </c>
      <c r="D13" s="178">
        <f>'Rates Comp OR'!F22</f>
        <v>4.1399999999999996E-3</v>
      </c>
      <c r="E13" s="108" t="s">
        <v>84</v>
      </c>
      <c r="F13" s="12"/>
      <c r="G13" s="178">
        <f>'Rates Comp OR'!I22</f>
        <v>5.9899999999999997E-3</v>
      </c>
      <c r="H13" s="108" t="s">
        <v>84</v>
      </c>
      <c r="I13" s="12"/>
      <c r="L13" s="39">
        <v>8000</v>
      </c>
      <c r="M13" s="39">
        <v>5000</v>
      </c>
      <c r="N13" s="30">
        <f t="shared" si="7"/>
        <v>3000</v>
      </c>
      <c r="O13" s="30"/>
      <c r="P13" s="30"/>
      <c r="R13" s="39">
        <f t="shared" si="5"/>
        <v>8000</v>
      </c>
      <c r="T13" s="39">
        <v>8000</v>
      </c>
      <c r="U13" s="39">
        <f t="shared" si="0"/>
        <v>5000</v>
      </c>
      <c r="V13" s="39">
        <f t="shared" si="1"/>
        <v>3000</v>
      </c>
      <c r="W13" s="39">
        <f t="shared" si="2"/>
        <v>0</v>
      </c>
      <c r="X13" s="39">
        <f t="shared" si="3"/>
        <v>0</v>
      </c>
      <c r="Y13" s="39">
        <f t="shared" si="4"/>
        <v>0</v>
      </c>
      <c r="Z13" s="39">
        <f t="shared" si="6"/>
        <v>8000</v>
      </c>
    </row>
    <row r="14" spans="1:26" x14ac:dyDescent="0.2">
      <c r="L14" s="39">
        <v>10000</v>
      </c>
      <c r="M14" s="39">
        <v>5000</v>
      </c>
      <c r="N14" s="30">
        <f t="shared" si="7"/>
        <v>5000</v>
      </c>
      <c r="O14" s="30"/>
      <c r="P14" s="30"/>
      <c r="R14" s="39">
        <f t="shared" si="5"/>
        <v>10000</v>
      </c>
      <c r="T14" s="39">
        <v>10000</v>
      </c>
      <c r="U14" s="39">
        <f t="shared" si="0"/>
        <v>5000</v>
      </c>
      <c r="V14" s="39">
        <f t="shared" si="1"/>
        <v>5000</v>
      </c>
      <c r="W14" s="39">
        <f t="shared" si="2"/>
        <v>0</v>
      </c>
      <c r="X14" s="39">
        <f t="shared" si="3"/>
        <v>0</v>
      </c>
      <c r="Y14" s="39">
        <f t="shared" si="4"/>
        <v>0</v>
      </c>
      <c r="Z14" s="39">
        <f t="shared" si="6"/>
        <v>10000</v>
      </c>
    </row>
    <row r="15" spans="1:26" x14ac:dyDescent="0.2">
      <c r="E15" s="179"/>
      <c r="F15" s="12"/>
      <c r="L15" s="39">
        <v>12000</v>
      </c>
      <c r="M15" s="39">
        <v>5000</v>
      </c>
      <c r="N15" s="30">
        <v>5000</v>
      </c>
      <c r="O15" s="30">
        <f>L15-M15-N15</f>
        <v>2000</v>
      </c>
      <c r="P15" s="30"/>
      <c r="R15" s="39">
        <f t="shared" si="5"/>
        <v>12000</v>
      </c>
      <c r="T15" s="39">
        <v>12000</v>
      </c>
      <c r="U15" s="39">
        <f t="shared" si="0"/>
        <v>5000</v>
      </c>
      <c r="V15" s="39">
        <f t="shared" si="1"/>
        <v>5000</v>
      </c>
      <c r="W15" s="39">
        <f t="shared" si="2"/>
        <v>2000</v>
      </c>
      <c r="X15" s="39">
        <f t="shared" si="3"/>
        <v>0</v>
      </c>
      <c r="Y15" s="39">
        <f t="shared" si="4"/>
        <v>0</v>
      </c>
      <c r="Z15" s="39">
        <f t="shared" si="6"/>
        <v>12000</v>
      </c>
    </row>
    <row r="16" spans="1:26" x14ac:dyDescent="0.2">
      <c r="E16" s="179"/>
      <c r="F16" s="12"/>
      <c r="L16" s="39">
        <v>18000</v>
      </c>
      <c r="M16" s="39">
        <v>5000</v>
      </c>
      <c r="N16" s="30">
        <v>5000</v>
      </c>
      <c r="O16" s="30">
        <f>L16-M16-N16</f>
        <v>8000</v>
      </c>
      <c r="P16" s="30"/>
      <c r="R16" s="39">
        <f t="shared" si="5"/>
        <v>18000</v>
      </c>
      <c r="T16" s="39">
        <v>14000</v>
      </c>
      <c r="U16" s="39">
        <f t="shared" si="0"/>
        <v>5000</v>
      </c>
      <c r="V16" s="39">
        <f t="shared" si="1"/>
        <v>5000</v>
      </c>
      <c r="W16" s="39">
        <f t="shared" si="2"/>
        <v>8000</v>
      </c>
      <c r="X16" s="39">
        <f t="shared" si="3"/>
        <v>0</v>
      </c>
      <c r="Y16" s="39">
        <f t="shared" si="4"/>
        <v>0</v>
      </c>
      <c r="Z16" s="39">
        <f t="shared" si="6"/>
        <v>18000</v>
      </c>
    </row>
    <row r="17" spans="5:26" x14ac:dyDescent="0.2">
      <c r="E17" s="179"/>
      <c r="F17" s="12"/>
      <c r="L17" s="39">
        <v>25000</v>
      </c>
      <c r="M17" s="39">
        <v>5000</v>
      </c>
      <c r="N17" s="30">
        <v>5000</v>
      </c>
      <c r="O17" s="30">
        <v>10000</v>
      </c>
      <c r="P17" s="30">
        <f>L17-M17-N17-O17</f>
        <v>5000</v>
      </c>
      <c r="R17" s="39">
        <f t="shared" si="5"/>
        <v>25000</v>
      </c>
      <c r="T17" s="39">
        <v>30000</v>
      </c>
      <c r="U17" s="39">
        <f t="shared" si="0"/>
        <v>5000</v>
      </c>
      <c r="V17" s="39">
        <f t="shared" si="1"/>
        <v>5000</v>
      </c>
      <c r="W17" s="39">
        <f t="shared" si="2"/>
        <v>10000</v>
      </c>
      <c r="X17" s="39">
        <f t="shared" si="3"/>
        <v>5000</v>
      </c>
      <c r="Y17" s="39">
        <f t="shared" si="4"/>
        <v>0</v>
      </c>
      <c r="Z17" s="39">
        <f t="shared" si="6"/>
        <v>25000</v>
      </c>
    </row>
    <row r="18" spans="5:26" x14ac:dyDescent="0.2">
      <c r="E18" s="179"/>
      <c r="F18" s="12"/>
      <c r="L18" s="39">
        <v>60000</v>
      </c>
      <c r="M18" s="39">
        <v>5000</v>
      </c>
      <c r="N18" s="30">
        <v>5000</v>
      </c>
      <c r="O18" s="30">
        <v>10000</v>
      </c>
      <c r="P18" s="30">
        <v>30000</v>
      </c>
      <c r="Q18" s="39">
        <f>L18-M18-N18-O18-P18</f>
        <v>10000</v>
      </c>
      <c r="R18" s="39">
        <f t="shared" si="5"/>
        <v>60000</v>
      </c>
      <c r="T18" s="39">
        <v>35000</v>
      </c>
      <c r="U18" s="39">
        <f t="shared" si="0"/>
        <v>5000</v>
      </c>
      <c r="V18" s="39">
        <f t="shared" si="1"/>
        <v>5000</v>
      </c>
      <c r="W18" s="39">
        <f t="shared" si="2"/>
        <v>10000</v>
      </c>
      <c r="X18" s="39">
        <f t="shared" si="3"/>
        <v>30000</v>
      </c>
      <c r="Y18" s="39">
        <f t="shared" si="4"/>
        <v>10000</v>
      </c>
      <c r="Z18" s="39">
        <f t="shared" si="6"/>
        <v>60000</v>
      </c>
    </row>
    <row r="19" spans="5:26" x14ac:dyDescent="0.2">
      <c r="E19" s="179"/>
      <c r="F19" s="12"/>
      <c r="L19" s="39">
        <v>70000</v>
      </c>
      <c r="M19" s="39">
        <v>5000</v>
      </c>
      <c r="N19" s="30">
        <v>5000</v>
      </c>
      <c r="O19" s="30">
        <v>10000</v>
      </c>
      <c r="P19" s="30">
        <v>30000</v>
      </c>
      <c r="Q19" s="39">
        <f>L19-M19-N19-O19-P19</f>
        <v>20000</v>
      </c>
      <c r="R19" s="39">
        <f t="shared" si="5"/>
        <v>70000</v>
      </c>
      <c r="T19" s="39">
        <v>40000</v>
      </c>
      <c r="U19" s="39">
        <f t="shared" si="0"/>
        <v>5000</v>
      </c>
      <c r="V19" s="39">
        <f t="shared" si="1"/>
        <v>5000</v>
      </c>
      <c r="W19" s="39">
        <f t="shared" si="2"/>
        <v>10000</v>
      </c>
      <c r="X19" s="39">
        <f t="shared" si="3"/>
        <v>30000</v>
      </c>
      <c r="Y19" s="39">
        <f t="shared" si="4"/>
        <v>20000</v>
      </c>
      <c r="Z19" s="39">
        <f t="shared" si="6"/>
        <v>70000</v>
      </c>
    </row>
    <row r="20" spans="5:26" x14ac:dyDescent="0.2">
      <c r="E20" s="179"/>
      <c r="F20" s="12"/>
    </row>
    <row r="21" spans="5:26" x14ac:dyDescent="0.2">
      <c r="E21" s="179"/>
      <c r="F21" s="12"/>
      <c r="L21" s="39">
        <f>L10</f>
        <v>2000</v>
      </c>
      <c r="M21" s="28">
        <f>M9</f>
        <v>33.53</v>
      </c>
      <c r="N21" s="28">
        <f t="shared" ref="N21:Q22" si="8">N10*N$9</f>
        <v>0</v>
      </c>
      <c r="O21" s="28">
        <f t="shared" ref="O21:P21" si="9">O10*O$9</f>
        <v>0</v>
      </c>
      <c r="P21" s="28">
        <f t="shared" si="9"/>
        <v>0</v>
      </c>
      <c r="Q21" s="28">
        <f t="shared" si="8"/>
        <v>0</v>
      </c>
      <c r="R21" s="28">
        <f t="shared" ref="R21:R30" si="10">SUM(M21:Q21)</f>
        <v>33.53</v>
      </c>
      <c r="T21" s="39">
        <f>T10</f>
        <v>2000</v>
      </c>
      <c r="U21" s="28">
        <f>U9</f>
        <v>48.35</v>
      </c>
      <c r="V21" s="28">
        <f t="shared" ref="V21:Y22" si="11">V10*V$9</f>
        <v>0</v>
      </c>
      <c r="W21" s="28">
        <f t="shared" ref="W21:X21" si="12">W10*W$9</f>
        <v>0</v>
      </c>
      <c r="X21" s="28">
        <f t="shared" si="12"/>
        <v>0</v>
      </c>
      <c r="Y21" s="28">
        <f t="shared" si="11"/>
        <v>0</v>
      </c>
      <c r="Z21" s="28">
        <f t="shared" ref="Z21:Z30" si="13">SUM(U21:Y21)</f>
        <v>48.35</v>
      </c>
    </row>
    <row r="22" spans="5:26" x14ac:dyDescent="0.2">
      <c r="E22" s="179"/>
      <c r="F22" s="12"/>
      <c r="L22" s="39">
        <f t="shared" ref="L22:L30" si="14">L11</f>
        <v>4000</v>
      </c>
      <c r="M22" s="28">
        <f>M21</f>
        <v>33.53</v>
      </c>
      <c r="N22" s="28">
        <f t="shared" si="8"/>
        <v>0</v>
      </c>
      <c r="O22" s="28">
        <f t="shared" ref="O22:P22" si="15">O11*O$9</f>
        <v>0</v>
      </c>
      <c r="P22" s="28">
        <f t="shared" si="15"/>
        <v>0</v>
      </c>
      <c r="Q22" s="28">
        <f t="shared" si="8"/>
        <v>0</v>
      </c>
      <c r="R22" s="28">
        <f t="shared" si="10"/>
        <v>33.53</v>
      </c>
      <c r="T22" s="39">
        <f t="shared" ref="T22:T30" si="16">T11</f>
        <v>4000</v>
      </c>
      <c r="U22" s="28">
        <f>U21</f>
        <v>48.35</v>
      </c>
      <c r="V22" s="28">
        <f t="shared" si="11"/>
        <v>0</v>
      </c>
      <c r="W22" s="28">
        <f t="shared" ref="W22:X22" si="17">W11*W$9</f>
        <v>0</v>
      </c>
      <c r="X22" s="28">
        <f t="shared" si="17"/>
        <v>0</v>
      </c>
      <c r="Y22" s="28">
        <f t="shared" si="11"/>
        <v>0</v>
      </c>
      <c r="Z22" s="28">
        <f t="shared" si="13"/>
        <v>48.35</v>
      </c>
    </row>
    <row r="23" spans="5:26" x14ac:dyDescent="0.2">
      <c r="E23" s="179"/>
      <c r="F23" s="12"/>
      <c r="L23" s="39">
        <f t="shared" si="14"/>
        <v>6000</v>
      </c>
      <c r="M23" s="28">
        <f t="shared" ref="M23:M30" si="18">M22</f>
        <v>33.53</v>
      </c>
      <c r="N23" s="28">
        <f t="shared" ref="N23:Q30" si="19">N12*N$9</f>
        <v>6.0299999999999994</v>
      </c>
      <c r="O23" s="28">
        <f t="shared" ref="O23:P23" si="20">O12*O$9</f>
        <v>0</v>
      </c>
      <c r="P23" s="28">
        <f t="shared" si="20"/>
        <v>0</v>
      </c>
      <c r="Q23" s="28">
        <f t="shared" si="19"/>
        <v>0</v>
      </c>
      <c r="R23" s="28">
        <f t="shared" si="10"/>
        <v>39.56</v>
      </c>
      <c r="T23" s="39">
        <f t="shared" si="16"/>
        <v>6000</v>
      </c>
      <c r="U23" s="28">
        <f t="shared" ref="U23:U30" si="21">U22</f>
        <v>48.35</v>
      </c>
      <c r="V23" s="28">
        <f t="shared" ref="V23:Y30" si="22">V12*V$9</f>
        <v>8.7099999999999991</v>
      </c>
      <c r="W23" s="28">
        <f t="shared" ref="W23:X23" si="23">W12*W$9</f>
        <v>0</v>
      </c>
      <c r="X23" s="28">
        <f t="shared" si="23"/>
        <v>0</v>
      </c>
      <c r="Y23" s="28">
        <f t="shared" si="22"/>
        <v>0</v>
      </c>
      <c r="Z23" s="28">
        <f t="shared" si="13"/>
        <v>57.06</v>
      </c>
    </row>
    <row r="24" spans="5:26" x14ac:dyDescent="0.2">
      <c r="E24" s="179"/>
      <c r="F24" s="12"/>
      <c r="L24" s="39">
        <f t="shared" si="14"/>
        <v>8000</v>
      </c>
      <c r="M24" s="28">
        <f t="shared" si="18"/>
        <v>33.53</v>
      </c>
      <c r="N24" s="28">
        <f t="shared" si="19"/>
        <v>18.09</v>
      </c>
      <c r="O24" s="28">
        <f t="shared" ref="O24:P24" si="24">O13*O$9</f>
        <v>0</v>
      </c>
      <c r="P24" s="28">
        <f t="shared" si="24"/>
        <v>0</v>
      </c>
      <c r="Q24" s="28">
        <f t="shared" si="19"/>
        <v>0</v>
      </c>
      <c r="R24" s="28">
        <f t="shared" si="10"/>
        <v>51.620000000000005</v>
      </c>
      <c r="T24" s="39">
        <f t="shared" si="16"/>
        <v>8000</v>
      </c>
      <c r="U24" s="28">
        <f t="shared" si="21"/>
        <v>48.35</v>
      </c>
      <c r="V24" s="28">
        <f t="shared" si="22"/>
        <v>26.129999999999995</v>
      </c>
      <c r="W24" s="28">
        <f t="shared" ref="W24:X24" si="25">W13*W$9</f>
        <v>0</v>
      </c>
      <c r="X24" s="28">
        <f t="shared" si="25"/>
        <v>0</v>
      </c>
      <c r="Y24" s="28">
        <f t="shared" si="22"/>
        <v>0</v>
      </c>
      <c r="Z24" s="28">
        <f t="shared" si="13"/>
        <v>74.47999999999999</v>
      </c>
    </row>
    <row r="25" spans="5:26" x14ac:dyDescent="0.2">
      <c r="E25" s="179"/>
      <c r="F25" s="12"/>
      <c r="L25" s="39">
        <f t="shared" si="14"/>
        <v>10000</v>
      </c>
      <c r="M25" s="28">
        <f t="shared" si="18"/>
        <v>33.53</v>
      </c>
      <c r="N25" s="28">
        <f t="shared" si="19"/>
        <v>30.15</v>
      </c>
      <c r="O25" s="28">
        <f t="shared" ref="O25:P25" si="26">O14*O$9</f>
        <v>0</v>
      </c>
      <c r="P25" s="28">
        <f t="shared" si="26"/>
        <v>0</v>
      </c>
      <c r="Q25" s="28">
        <f t="shared" si="19"/>
        <v>0</v>
      </c>
      <c r="R25" s="28">
        <f t="shared" si="10"/>
        <v>63.68</v>
      </c>
      <c r="T25" s="39">
        <f t="shared" si="16"/>
        <v>10000</v>
      </c>
      <c r="U25" s="28">
        <f t="shared" si="21"/>
        <v>48.35</v>
      </c>
      <c r="V25" s="28">
        <f t="shared" si="22"/>
        <v>43.55</v>
      </c>
      <c r="W25" s="28">
        <f t="shared" ref="W25:X25" si="27">W14*W$9</f>
        <v>0</v>
      </c>
      <c r="X25" s="28">
        <f t="shared" si="27"/>
        <v>0</v>
      </c>
      <c r="Y25" s="28">
        <f t="shared" si="22"/>
        <v>0</v>
      </c>
      <c r="Z25" s="28">
        <f t="shared" si="13"/>
        <v>91.9</v>
      </c>
    </row>
    <row r="26" spans="5:26" x14ac:dyDescent="0.2">
      <c r="E26" s="179"/>
      <c r="F26" s="12"/>
      <c r="L26" s="39">
        <f t="shared" si="14"/>
        <v>12000</v>
      </c>
      <c r="M26" s="28">
        <f t="shared" si="18"/>
        <v>33.53</v>
      </c>
      <c r="N26" s="28">
        <f t="shared" si="19"/>
        <v>30.15</v>
      </c>
      <c r="O26" s="28">
        <f t="shared" ref="O26:P26" si="28">O15*O$9</f>
        <v>10.8</v>
      </c>
      <c r="P26" s="28">
        <f t="shared" si="28"/>
        <v>0</v>
      </c>
      <c r="Q26" s="28">
        <f t="shared" si="19"/>
        <v>0</v>
      </c>
      <c r="R26" s="28">
        <f t="shared" si="10"/>
        <v>74.48</v>
      </c>
      <c r="T26" s="39">
        <f t="shared" si="16"/>
        <v>12000</v>
      </c>
      <c r="U26" s="28">
        <f t="shared" si="21"/>
        <v>48.35</v>
      </c>
      <c r="V26" s="28">
        <f t="shared" si="22"/>
        <v>43.55</v>
      </c>
      <c r="W26" s="28">
        <f t="shared" ref="W26:X26" si="29">W15*W$9</f>
        <v>15.600000000000001</v>
      </c>
      <c r="X26" s="28">
        <f t="shared" si="29"/>
        <v>0</v>
      </c>
      <c r="Y26" s="28">
        <f t="shared" si="22"/>
        <v>0</v>
      </c>
      <c r="Z26" s="28">
        <f t="shared" si="13"/>
        <v>107.5</v>
      </c>
    </row>
    <row r="27" spans="5:26" x14ac:dyDescent="0.2">
      <c r="E27" s="179"/>
      <c r="F27" s="12"/>
      <c r="L27" s="39">
        <f t="shared" si="14"/>
        <v>18000</v>
      </c>
      <c r="M27" s="28">
        <f t="shared" si="18"/>
        <v>33.53</v>
      </c>
      <c r="N27" s="28">
        <f t="shared" si="19"/>
        <v>30.15</v>
      </c>
      <c r="O27" s="28">
        <f t="shared" ref="O27:P27" si="30">O16*O$9</f>
        <v>43.2</v>
      </c>
      <c r="P27" s="28">
        <f t="shared" si="30"/>
        <v>0</v>
      </c>
      <c r="Q27" s="28">
        <f t="shared" si="19"/>
        <v>0</v>
      </c>
      <c r="R27" s="28">
        <f t="shared" si="10"/>
        <v>106.88</v>
      </c>
      <c r="T27" s="39">
        <f t="shared" si="16"/>
        <v>14000</v>
      </c>
      <c r="U27" s="28">
        <f t="shared" si="21"/>
        <v>48.35</v>
      </c>
      <c r="V27" s="28">
        <f t="shared" si="22"/>
        <v>43.55</v>
      </c>
      <c r="W27" s="28">
        <f t="shared" ref="W27:X27" si="31">W16*W$9</f>
        <v>62.400000000000006</v>
      </c>
      <c r="X27" s="28">
        <f t="shared" si="31"/>
        <v>0</v>
      </c>
      <c r="Y27" s="28">
        <f t="shared" si="22"/>
        <v>0</v>
      </c>
      <c r="Z27" s="28">
        <f t="shared" si="13"/>
        <v>154.30000000000001</v>
      </c>
    </row>
    <row r="28" spans="5:26" x14ac:dyDescent="0.2">
      <c r="E28" s="179"/>
      <c r="F28" s="12"/>
      <c r="L28" s="39">
        <f t="shared" si="14"/>
        <v>25000</v>
      </c>
      <c r="M28" s="28">
        <f t="shared" si="18"/>
        <v>33.53</v>
      </c>
      <c r="N28" s="28">
        <f t="shared" si="19"/>
        <v>30.15</v>
      </c>
      <c r="O28" s="28">
        <f t="shared" ref="O28:P28" si="32">O17*O$9</f>
        <v>54</v>
      </c>
      <c r="P28" s="28">
        <f t="shared" si="32"/>
        <v>23.85</v>
      </c>
      <c r="Q28" s="28">
        <f t="shared" si="19"/>
        <v>0</v>
      </c>
      <c r="R28" s="28">
        <f t="shared" si="10"/>
        <v>141.53</v>
      </c>
      <c r="T28" s="39">
        <f t="shared" si="16"/>
        <v>30000</v>
      </c>
      <c r="U28" s="28">
        <f t="shared" si="21"/>
        <v>48.35</v>
      </c>
      <c r="V28" s="28">
        <f t="shared" si="22"/>
        <v>43.55</v>
      </c>
      <c r="W28" s="28">
        <f t="shared" ref="W28:X28" si="33">W17*W$9</f>
        <v>78</v>
      </c>
      <c r="X28" s="28">
        <f t="shared" si="33"/>
        <v>34.5</v>
      </c>
      <c r="Y28" s="28">
        <f t="shared" si="22"/>
        <v>0</v>
      </c>
      <c r="Z28" s="28">
        <f t="shared" si="13"/>
        <v>204.4</v>
      </c>
    </row>
    <row r="29" spans="5:26" x14ac:dyDescent="0.2">
      <c r="E29" s="179"/>
      <c r="F29" s="12"/>
      <c r="L29" s="39">
        <f t="shared" si="14"/>
        <v>60000</v>
      </c>
      <c r="M29" s="28">
        <f t="shared" si="18"/>
        <v>33.53</v>
      </c>
      <c r="N29" s="28">
        <f t="shared" si="19"/>
        <v>30.15</v>
      </c>
      <c r="O29" s="28">
        <f t="shared" ref="O29:P29" si="34">O18*O$9</f>
        <v>54</v>
      </c>
      <c r="P29" s="28">
        <f t="shared" si="34"/>
        <v>143.1</v>
      </c>
      <c r="Q29" s="28">
        <f t="shared" si="19"/>
        <v>41.4</v>
      </c>
      <c r="R29" s="28">
        <f t="shared" si="10"/>
        <v>302.17999999999995</v>
      </c>
      <c r="T29" s="39">
        <f t="shared" si="16"/>
        <v>35000</v>
      </c>
      <c r="U29" s="28">
        <f t="shared" si="21"/>
        <v>48.35</v>
      </c>
      <c r="V29" s="28">
        <f t="shared" si="22"/>
        <v>43.55</v>
      </c>
      <c r="W29" s="28">
        <f t="shared" ref="W29:X29" si="35">W18*W$9</f>
        <v>78</v>
      </c>
      <c r="X29" s="28">
        <f t="shared" si="35"/>
        <v>207</v>
      </c>
      <c r="Y29" s="28">
        <f t="shared" si="22"/>
        <v>59.9</v>
      </c>
      <c r="Z29" s="28">
        <f t="shared" si="13"/>
        <v>436.79999999999995</v>
      </c>
    </row>
    <row r="30" spans="5:26" x14ac:dyDescent="0.2">
      <c r="E30" s="179"/>
      <c r="F30" s="12"/>
      <c r="L30" s="39">
        <f t="shared" si="14"/>
        <v>70000</v>
      </c>
      <c r="M30" s="28">
        <f t="shared" si="18"/>
        <v>33.53</v>
      </c>
      <c r="N30" s="28">
        <f t="shared" si="19"/>
        <v>30.15</v>
      </c>
      <c r="O30" s="28">
        <f t="shared" ref="O30:P30" si="36">O19*O$9</f>
        <v>54</v>
      </c>
      <c r="P30" s="28">
        <f t="shared" si="36"/>
        <v>143.1</v>
      </c>
      <c r="Q30" s="28">
        <f t="shared" si="19"/>
        <v>82.8</v>
      </c>
      <c r="R30" s="28">
        <f t="shared" si="10"/>
        <v>343.58</v>
      </c>
      <c r="T30" s="39">
        <f t="shared" si="16"/>
        <v>40000</v>
      </c>
      <c r="U30" s="28">
        <f t="shared" si="21"/>
        <v>48.35</v>
      </c>
      <c r="V30" s="28">
        <f t="shared" si="22"/>
        <v>43.55</v>
      </c>
      <c r="W30" s="28">
        <f t="shared" ref="W30:X30" si="37">W19*W$9</f>
        <v>78</v>
      </c>
      <c r="X30" s="28">
        <f t="shared" si="37"/>
        <v>207</v>
      </c>
      <c r="Y30" s="28">
        <f t="shared" si="22"/>
        <v>119.8</v>
      </c>
      <c r="Z30" s="28">
        <f t="shared" si="13"/>
        <v>496.7</v>
      </c>
    </row>
    <row r="31" spans="5:26" x14ac:dyDescent="0.2">
      <c r="E31" s="179"/>
      <c r="F31" s="12"/>
    </row>
    <row r="32" spans="5:26" x14ac:dyDescent="0.2">
      <c r="E32" s="179"/>
      <c r="F32" s="12"/>
    </row>
  </sheetData>
  <mergeCells count="2">
    <mergeCell ref="L7:R7"/>
    <mergeCell ref="T7:Z7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4C7EF-1B84-4633-9A8D-E816B8EA749A}">
  <dimension ref="A3:Z32"/>
  <sheetViews>
    <sheetView topLeftCell="K7" workbookViewId="0">
      <selection activeCell="K7" sqref="A1:XFD1048576"/>
    </sheetView>
  </sheetViews>
  <sheetFormatPr defaultRowHeight="15" x14ac:dyDescent="0.2"/>
  <cols>
    <col min="3" max="3" width="4.77734375" style="12" customWidth="1"/>
    <col min="4" max="5" width="10.77734375" style="12" customWidth="1"/>
    <col min="6" max="6" width="1.77734375" style="173" customWidth="1"/>
    <col min="7" max="7" width="10.77734375" style="12" customWidth="1"/>
    <col min="8" max="8" width="1.21875" style="12" customWidth="1"/>
    <col min="9" max="9" width="10.77734375" style="173" customWidth="1"/>
    <col min="10" max="10" width="10.77734375" style="12" customWidth="1"/>
    <col min="11" max="11" width="8.88671875" style="171"/>
    <col min="12" max="12" width="11.44140625" style="39" bestFit="1" customWidth="1"/>
    <col min="13" max="14" width="10.44140625" style="39" bestFit="1" customWidth="1"/>
    <col min="15" max="16" width="10.44140625" style="39" customWidth="1"/>
    <col min="17" max="17" width="10.44140625" style="39" bestFit="1" customWidth="1"/>
    <col min="20" max="20" width="11.44140625" style="39" bestFit="1" customWidth="1"/>
    <col min="21" max="22" width="10.44140625" style="39" bestFit="1" customWidth="1"/>
    <col min="23" max="24" width="10.44140625" style="39" customWidth="1"/>
    <col min="25" max="25" width="10.44140625" style="39" bestFit="1" customWidth="1"/>
  </cols>
  <sheetData>
    <row r="3" spans="1:26" x14ac:dyDescent="0.2">
      <c r="C3"/>
      <c r="D3"/>
      <c r="E3"/>
      <c r="F3"/>
      <c r="G3"/>
      <c r="H3"/>
      <c r="I3"/>
      <c r="J3"/>
    </row>
    <row r="4" spans="1:26" x14ac:dyDescent="0.2">
      <c r="C4"/>
      <c r="D4"/>
      <c r="E4"/>
      <c r="F4"/>
      <c r="G4"/>
      <c r="H4"/>
      <c r="I4"/>
      <c r="J4"/>
    </row>
    <row r="5" spans="1:26" x14ac:dyDescent="0.2">
      <c r="C5"/>
      <c r="D5"/>
      <c r="E5"/>
      <c r="F5"/>
      <c r="G5"/>
      <c r="H5"/>
      <c r="I5"/>
      <c r="J5"/>
    </row>
    <row r="7" spans="1:26" ht="15.75" x14ac:dyDescent="0.25">
      <c r="C7" s="172"/>
      <c r="I7" s="174"/>
      <c r="L7" s="359" t="s">
        <v>132</v>
      </c>
      <c r="M7" s="359"/>
      <c r="N7" s="359"/>
      <c r="O7" s="359"/>
      <c r="P7" s="359"/>
      <c r="Q7" s="359"/>
      <c r="R7" s="359"/>
      <c r="T7" s="359" t="s">
        <v>132</v>
      </c>
      <c r="U7" s="359"/>
      <c r="V7" s="359"/>
      <c r="W7" s="359"/>
      <c r="X7" s="359"/>
      <c r="Y7" s="359"/>
      <c r="Z7" s="359"/>
    </row>
    <row r="8" spans="1:26" ht="15.75" x14ac:dyDescent="0.25">
      <c r="A8" s="12" t="s">
        <v>151</v>
      </c>
      <c r="B8" s="30"/>
      <c r="D8" s="175"/>
      <c r="E8" s="108"/>
      <c r="F8" s="4"/>
      <c r="H8" s="30"/>
      <c r="I8" s="12"/>
      <c r="J8" s="175"/>
      <c r="K8" s="108"/>
      <c r="M8" s="26">
        <v>7500</v>
      </c>
      <c r="N8" s="26">
        <v>2500</v>
      </c>
      <c r="O8" s="26">
        <v>10000</v>
      </c>
      <c r="P8" s="26">
        <v>30000</v>
      </c>
      <c r="Q8" s="26">
        <f>SUM(M8:P8)</f>
        <v>50000</v>
      </c>
      <c r="U8" s="26">
        <v>5000</v>
      </c>
      <c r="V8" s="26">
        <v>5000</v>
      </c>
      <c r="W8" s="26">
        <v>10000</v>
      </c>
      <c r="X8" s="26">
        <v>30000</v>
      </c>
      <c r="Y8" s="26">
        <f>SUM(U8:X8)</f>
        <v>50000</v>
      </c>
    </row>
    <row r="9" spans="1:26" ht="15.75" x14ac:dyDescent="0.25">
      <c r="A9" s="25" t="s">
        <v>32</v>
      </c>
      <c r="B9" s="26">
        <v>7500</v>
      </c>
      <c r="C9" s="12" t="s">
        <v>56</v>
      </c>
      <c r="D9" s="176">
        <f>'Rates Comp OR'!F25</f>
        <v>48.62</v>
      </c>
      <c r="E9" s="108" t="s">
        <v>85</v>
      </c>
      <c r="F9" s="4"/>
      <c r="G9" s="176">
        <f>'Rates Comp OR'!I25</f>
        <v>70.099999999999994</v>
      </c>
      <c r="H9" s="108" t="s">
        <v>85</v>
      </c>
      <c r="I9" s="12"/>
      <c r="M9" s="28">
        <f>D9</f>
        <v>48.62</v>
      </c>
      <c r="N9" s="177">
        <f>D10</f>
        <v>6.0299999999999998E-3</v>
      </c>
      <c r="O9" s="177">
        <f>D11</f>
        <v>5.4000000000000003E-3</v>
      </c>
      <c r="P9" s="177">
        <f>D12</f>
        <v>4.7699999999999999E-3</v>
      </c>
      <c r="Q9" s="177">
        <f>D13</f>
        <v>4.1399999999999996E-3</v>
      </c>
      <c r="U9" s="28">
        <f>G9</f>
        <v>70.099999999999994</v>
      </c>
      <c r="V9" s="177">
        <f>G10</f>
        <v>8.709999999999999E-3</v>
      </c>
      <c r="W9" s="177">
        <f>G11</f>
        <v>7.8000000000000005E-3</v>
      </c>
      <c r="X9" s="177">
        <f>G12</f>
        <v>6.8999999999999999E-3</v>
      </c>
      <c r="Y9" s="177">
        <f>G13</f>
        <v>5.9899999999999997E-3</v>
      </c>
    </row>
    <row r="10" spans="1:26" ht="15.75" x14ac:dyDescent="0.25">
      <c r="A10" s="25" t="s">
        <v>33</v>
      </c>
      <c r="B10" s="26">
        <v>2500</v>
      </c>
      <c r="C10" s="12" t="s">
        <v>56</v>
      </c>
      <c r="D10" s="178">
        <f>'Rates Comp OR'!F26</f>
        <v>6.0299999999999998E-3</v>
      </c>
      <c r="E10" s="108" t="s">
        <v>84</v>
      </c>
      <c r="F10" s="4"/>
      <c r="G10" s="178">
        <f>'Rates Comp OR'!I26</f>
        <v>8.709999999999999E-3</v>
      </c>
      <c r="H10" s="108" t="s">
        <v>84</v>
      </c>
      <c r="I10" s="12"/>
      <c r="L10" s="39">
        <v>2000</v>
      </c>
      <c r="M10" s="39">
        <v>2000</v>
      </c>
      <c r="N10" s="39">
        <f>L10-M10</f>
        <v>0</v>
      </c>
      <c r="T10" s="39">
        <f>L10</f>
        <v>2000</v>
      </c>
      <c r="U10" s="39">
        <f t="shared" ref="U10:Y19" si="0">M10</f>
        <v>2000</v>
      </c>
      <c r="V10" s="39">
        <f t="shared" si="0"/>
        <v>0</v>
      </c>
      <c r="W10" s="39">
        <f t="shared" si="0"/>
        <v>0</v>
      </c>
      <c r="X10" s="39">
        <f t="shared" si="0"/>
        <v>0</v>
      </c>
      <c r="Y10" s="39">
        <f t="shared" si="0"/>
        <v>0</v>
      </c>
    </row>
    <row r="11" spans="1:26" x14ac:dyDescent="0.2">
      <c r="A11" s="25" t="s">
        <v>33</v>
      </c>
      <c r="B11" s="26">
        <v>10000</v>
      </c>
      <c r="C11" s="12" t="s">
        <v>56</v>
      </c>
      <c r="D11" s="178">
        <f>'Rates Comp OR'!F27</f>
        <v>5.4000000000000003E-3</v>
      </c>
      <c r="E11" s="108" t="s">
        <v>84</v>
      </c>
      <c r="F11" s="12"/>
      <c r="G11" s="178">
        <f>'Rates Comp OR'!I27</f>
        <v>7.8000000000000005E-3</v>
      </c>
      <c r="H11" s="108" t="s">
        <v>84</v>
      </c>
      <c r="I11" s="12"/>
      <c r="L11" s="39">
        <v>9000</v>
      </c>
      <c r="M11" s="39">
        <v>7500</v>
      </c>
      <c r="N11" s="30">
        <f>L11-M11</f>
        <v>1500</v>
      </c>
      <c r="O11" s="30"/>
      <c r="P11" s="30"/>
      <c r="R11" s="39">
        <f t="shared" ref="R11:R19" si="1">SUM(M11:Q11)</f>
        <v>9000</v>
      </c>
      <c r="T11" s="39">
        <f t="shared" ref="T11:T19" si="2">L11</f>
        <v>9000</v>
      </c>
      <c r="U11" s="39">
        <f t="shared" si="0"/>
        <v>7500</v>
      </c>
      <c r="V11" s="39">
        <f t="shared" si="0"/>
        <v>1500</v>
      </c>
      <c r="W11" s="39">
        <f t="shared" si="0"/>
        <v>0</v>
      </c>
      <c r="X11" s="39">
        <f t="shared" si="0"/>
        <v>0</v>
      </c>
      <c r="Y11" s="39">
        <f t="shared" si="0"/>
        <v>0</v>
      </c>
      <c r="Z11" s="39">
        <f t="shared" ref="Z11:Z19" si="3">SUM(U11:Y11)</f>
        <v>9000</v>
      </c>
    </row>
    <row r="12" spans="1:26" x14ac:dyDescent="0.2">
      <c r="A12" s="25" t="s">
        <v>33</v>
      </c>
      <c r="B12" s="26">
        <v>30000</v>
      </c>
      <c r="C12" s="12" t="s">
        <v>56</v>
      </c>
      <c r="D12" s="178">
        <f>'Rates Comp OR'!F28</f>
        <v>4.7699999999999999E-3</v>
      </c>
      <c r="E12" s="108" t="s">
        <v>84</v>
      </c>
      <c r="G12" s="178">
        <f>'Rates Comp OR'!I28</f>
        <v>6.8999999999999999E-3</v>
      </c>
      <c r="H12" s="108" t="s">
        <v>84</v>
      </c>
      <c r="L12" s="39">
        <v>10000</v>
      </c>
      <c r="M12" s="39">
        <v>7500</v>
      </c>
      <c r="N12" s="30">
        <f t="shared" ref="N12" si="4">L12-M12</f>
        <v>2500</v>
      </c>
      <c r="O12" s="30"/>
      <c r="P12" s="30"/>
      <c r="R12" s="39">
        <f t="shared" si="1"/>
        <v>10000</v>
      </c>
      <c r="T12" s="39">
        <f t="shared" si="2"/>
        <v>10000</v>
      </c>
      <c r="U12" s="39">
        <f t="shared" si="0"/>
        <v>7500</v>
      </c>
      <c r="V12" s="39">
        <f t="shared" si="0"/>
        <v>2500</v>
      </c>
      <c r="W12" s="39">
        <f t="shared" si="0"/>
        <v>0</v>
      </c>
      <c r="X12" s="39">
        <f t="shared" si="0"/>
        <v>0</v>
      </c>
      <c r="Y12" s="39">
        <f t="shared" si="0"/>
        <v>0</v>
      </c>
      <c r="Z12" s="39">
        <f t="shared" si="3"/>
        <v>10000</v>
      </c>
    </row>
    <row r="13" spans="1:26" x14ac:dyDescent="0.2">
      <c r="A13" s="25" t="s">
        <v>44</v>
      </c>
      <c r="B13" s="26">
        <f>SUM(B9:B12)</f>
        <v>50000</v>
      </c>
      <c r="C13" s="12" t="s">
        <v>56</v>
      </c>
      <c r="D13" s="178">
        <f>'Rates Comp OR'!F29</f>
        <v>4.1399999999999996E-3</v>
      </c>
      <c r="E13" s="108" t="s">
        <v>84</v>
      </c>
      <c r="F13" s="12"/>
      <c r="G13" s="178">
        <f>'Rates Comp OR'!I29</f>
        <v>5.9899999999999997E-3</v>
      </c>
      <c r="H13" s="108" t="s">
        <v>84</v>
      </c>
      <c r="I13" s="12"/>
      <c r="L13" s="39">
        <v>15000</v>
      </c>
      <c r="M13" s="39">
        <v>7500</v>
      </c>
      <c r="N13" s="30">
        <v>2500</v>
      </c>
      <c r="O13" s="30">
        <f>L13-M13-N13</f>
        <v>5000</v>
      </c>
      <c r="P13" s="30"/>
      <c r="R13" s="39">
        <f t="shared" si="1"/>
        <v>15000</v>
      </c>
      <c r="T13" s="39">
        <f t="shared" si="2"/>
        <v>15000</v>
      </c>
      <c r="U13" s="39">
        <f t="shared" si="0"/>
        <v>7500</v>
      </c>
      <c r="V13" s="39">
        <f t="shared" si="0"/>
        <v>2500</v>
      </c>
      <c r="W13" s="39">
        <f t="shared" si="0"/>
        <v>5000</v>
      </c>
      <c r="X13" s="39">
        <f t="shared" si="0"/>
        <v>0</v>
      </c>
      <c r="Y13" s="39">
        <f t="shared" si="0"/>
        <v>0</v>
      </c>
      <c r="Z13" s="39">
        <f t="shared" si="3"/>
        <v>15000</v>
      </c>
    </row>
    <row r="14" spans="1:26" x14ac:dyDescent="0.2">
      <c r="L14" s="39">
        <v>18000</v>
      </c>
      <c r="M14" s="39">
        <v>7500</v>
      </c>
      <c r="N14" s="30">
        <v>2500</v>
      </c>
      <c r="O14" s="30">
        <f>L14-M14-N14</f>
        <v>8000</v>
      </c>
      <c r="P14" s="30"/>
      <c r="R14" s="39">
        <f t="shared" si="1"/>
        <v>18000</v>
      </c>
      <c r="T14" s="39">
        <f t="shared" si="2"/>
        <v>18000</v>
      </c>
      <c r="U14" s="39">
        <f t="shared" si="0"/>
        <v>7500</v>
      </c>
      <c r="V14" s="39">
        <f t="shared" si="0"/>
        <v>2500</v>
      </c>
      <c r="W14" s="39">
        <f t="shared" si="0"/>
        <v>8000</v>
      </c>
      <c r="X14" s="39">
        <f t="shared" si="0"/>
        <v>0</v>
      </c>
      <c r="Y14" s="39">
        <f t="shared" si="0"/>
        <v>0</v>
      </c>
      <c r="Z14" s="39">
        <f t="shared" si="3"/>
        <v>18000</v>
      </c>
    </row>
    <row r="15" spans="1:26" x14ac:dyDescent="0.2">
      <c r="E15" s="179"/>
      <c r="F15" s="12"/>
      <c r="L15" s="39">
        <v>22000</v>
      </c>
      <c r="M15" s="39">
        <v>7500</v>
      </c>
      <c r="N15" s="30">
        <v>2500</v>
      </c>
      <c r="O15" s="30">
        <v>10000</v>
      </c>
      <c r="P15" s="30">
        <f t="shared" ref="P15:P16" si="5">L15-M15-N15-O15</f>
        <v>2000</v>
      </c>
      <c r="R15" s="39">
        <f t="shared" si="1"/>
        <v>22000</v>
      </c>
      <c r="T15" s="39">
        <f t="shared" si="2"/>
        <v>22000</v>
      </c>
      <c r="U15" s="39">
        <f t="shared" si="0"/>
        <v>7500</v>
      </c>
      <c r="V15" s="39">
        <f t="shared" si="0"/>
        <v>2500</v>
      </c>
      <c r="W15" s="39">
        <f t="shared" si="0"/>
        <v>10000</v>
      </c>
      <c r="X15" s="39">
        <f t="shared" si="0"/>
        <v>2000</v>
      </c>
      <c r="Y15" s="39">
        <f t="shared" si="0"/>
        <v>0</v>
      </c>
      <c r="Z15" s="39">
        <f t="shared" si="3"/>
        <v>22000</v>
      </c>
    </row>
    <row r="16" spans="1:26" x14ac:dyDescent="0.2">
      <c r="E16" s="179"/>
      <c r="F16" s="12"/>
      <c r="L16" s="39">
        <v>25000</v>
      </c>
      <c r="M16" s="39">
        <v>7500</v>
      </c>
      <c r="N16" s="30">
        <v>2500</v>
      </c>
      <c r="O16" s="30">
        <v>10000</v>
      </c>
      <c r="P16" s="30">
        <f t="shared" si="5"/>
        <v>5000</v>
      </c>
      <c r="R16" s="39">
        <f t="shared" si="1"/>
        <v>25000</v>
      </c>
      <c r="T16" s="39">
        <f t="shared" si="2"/>
        <v>25000</v>
      </c>
      <c r="U16" s="39">
        <f t="shared" si="0"/>
        <v>7500</v>
      </c>
      <c r="V16" s="39">
        <f t="shared" si="0"/>
        <v>2500</v>
      </c>
      <c r="W16" s="39">
        <f t="shared" si="0"/>
        <v>10000</v>
      </c>
      <c r="X16" s="39">
        <f t="shared" si="0"/>
        <v>5000</v>
      </c>
      <c r="Y16" s="39">
        <f t="shared" si="0"/>
        <v>0</v>
      </c>
      <c r="Z16" s="39">
        <f t="shared" si="3"/>
        <v>25000</v>
      </c>
    </row>
    <row r="17" spans="5:26" x14ac:dyDescent="0.2">
      <c r="E17" s="179"/>
      <c r="F17" s="12"/>
      <c r="L17" s="39">
        <v>70000</v>
      </c>
      <c r="M17" s="39">
        <v>7500</v>
      </c>
      <c r="N17" s="30">
        <v>2500</v>
      </c>
      <c r="O17" s="30">
        <v>10000</v>
      </c>
      <c r="P17" s="30">
        <v>30000</v>
      </c>
      <c r="Q17" s="39">
        <f>L17-M17-N17-O17-P17</f>
        <v>20000</v>
      </c>
      <c r="R17" s="39">
        <f t="shared" si="1"/>
        <v>70000</v>
      </c>
      <c r="T17" s="39">
        <f t="shared" si="2"/>
        <v>70000</v>
      </c>
      <c r="U17" s="39">
        <f t="shared" si="0"/>
        <v>7500</v>
      </c>
      <c r="V17" s="39">
        <f t="shared" si="0"/>
        <v>2500</v>
      </c>
      <c r="W17" s="39">
        <f t="shared" si="0"/>
        <v>10000</v>
      </c>
      <c r="X17" s="39">
        <f t="shared" si="0"/>
        <v>30000</v>
      </c>
      <c r="Y17" s="39">
        <f t="shared" si="0"/>
        <v>20000</v>
      </c>
      <c r="Z17" s="39">
        <f t="shared" si="3"/>
        <v>70000</v>
      </c>
    </row>
    <row r="18" spans="5:26" x14ac:dyDescent="0.2">
      <c r="E18" s="179"/>
      <c r="F18" s="12"/>
      <c r="L18" s="39">
        <v>80000</v>
      </c>
      <c r="M18" s="39">
        <v>7500</v>
      </c>
      <c r="N18" s="30">
        <v>2500</v>
      </c>
      <c r="O18" s="30">
        <v>10000</v>
      </c>
      <c r="P18" s="30">
        <v>30000</v>
      </c>
      <c r="Q18" s="39">
        <f>L18-M18-N18-O18-P18</f>
        <v>30000</v>
      </c>
      <c r="R18" s="39">
        <f t="shared" si="1"/>
        <v>80000</v>
      </c>
      <c r="T18" s="39">
        <f t="shared" si="2"/>
        <v>80000</v>
      </c>
      <c r="U18" s="39">
        <f t="shared" si="0"/>
        <v>7500</v>
      </c>
      <c r="V18" s="39">
        <f t="shared" si="0"/>
        <v>2500</v>
      </c>
      <c r="W18" s="39">
        <f t="shared" si="0"/>
        <v>10000</v>
      </c>
      <c r="X18" s="39">
        <f t="shared" si="0"/>
        <v>30000</v>
      </c>
      <c r="Y18" s="39">
        <f t="shared" si="0"/>
        <v>30000</v>
      </c>
      <c r="Z18" s="39">
        <f t="shared" si="3"/>
        <v>80000</v>
      </c>
    </row>
    <row r="19" spans="5:26" x14ac:dyDescent="0.2">
      <c r="E19" s="179"/>
      <c r="F19" s="12"/>
      <c r="L19" s="39">
        <v>90000</v>
      </c>
      <c r="M19" s="39">
        <v>7500</v>
      </c>
      <c r="N19" s="30">
        <v>2500</v>
      </c>
      <c r="O19" s="30">
        <v>10000</v>
      </c>
      <c r="P19" s="30">
        <v>30000</v>
      </c>
      <c r="Q19" s="39">
        <f>L19-M19-N19-O19-P19</f>
        <v>40000</v>
      </c>
      <c r="R19" s="39">
        <f t="shared" si="1"/>
        <v>90000</v>
      </c>
      <c r="T19" s="39">
        <f t="shared" si="2"/>
        <v>90000</v>
      </c>
      <c r="U19" s="39">
        <f t="shared" si="0"/>
        <v>7500</v>
      </c>
      <c r="V19" s="39">
        <f t="shared" si="0"/>
        <v>2500</v>
      </c>
      <c r="W19" s="39">
        <f t="shared" si="0"/>
        <v>10000</v>
      </c>
      <c r="X19" s="39">
        <f t="shared" si="0"/>
        <v>30000</v>
      </c>
      <c r="Y19" s="39">
        <f t="shared" si="0"/>
        <v>40000</v>
      </c>
      <c r="Z19" s="39">
        <f t="shared" si="3"/>
        <v>90000</v>
      </c>
    </row>
    <row r="20" spans="5:26" x14ac:dyDescent="0.2">
      <c r="E20" s="179"/>
      <c r="F20" s="12"/>
    </row>
    <row r="21" spans="5:26" x14ac:dyDescent="0.2">
      <c r="E21" s="179"/>
      <c r="F21" s="12"/>
      <c r="L21" s="39">
        <f>L10</f>
        <v>2000</v>
      </c>
      <c r="M21" s="28">
        <f>M9</f>
        <v>48.62</v>
      </c>
      <c r="N21" s="28">
        <f t="shared" ref="N21:Q30" si="6">N10*N$9</f>
        <v>0</v>
      </c>
      <c r="O21" s="28">
        <f t="shared" si="6"/>
        <v>0</v>
      </c>
      <c r="P21" s="28">
        <f t="shared" si="6"/>
        <v>0</v>
      </c>
      <c r="Q21" s="28">
        <f t="shared" si="6"/>
        <v>0</v>
      </c>
      <c r="R21" s="28">
        <f t="shared" ref="R21:R30" si="7">SUM(M21:Q21)</f>
        <v>48.62</v>
      </c>
      <c r="T21" s="39">
        <f>T10</f>
        <v>2000</v>
      </c>
      <c r="U21" s="28">
        <f>U9</f>
        <v>70.099999999999994</v>
      </c>
      <c r="V21" s="28">
        <f t="shared" ref="V21:Y30" si="8">V10*V$9</f>
        <v>0</v>
      </c>
      <c r="W21" s="28">
        <f t="shared" si="8"/>
        <v>0</v>
      </c>
      <c r="X21" s="28">
        <f t="shared" si="8"/>
        <v>0</v>
      </c>
      <c r="Y21" s="28">
        <f t="shared" si="8"/>
        <v>0</v>
      </c>
      <c r="Z21" s="28">
        <f t="shared" ref="Z21:Z30" si="9">SUM(U21:Y21)</f>
        <v>70.099999999999994</v>
      </c>
    </row>
    <row r="22" spans="5:26" x14ac:dyDescent="0.2">
      <c r="E22" s="179"/>
      <c r="F22" s="12"/>
      <c r="L22" s="39">
        <f t="shared" ref="L22:L30" si="10">L11</f>
        <v>9000</v>
      </c>
      <c r="M22" s="28">
        <f>M21</f>
        <v>48.62</v>
      </c>
      <c r="N22" s="28">
        <f t="shared" si="6"/>
        <v>9.0449999999999999</v>
      </c>
      <c r="O22" s="28">
        <f t="shared" si="6"/>
        <v>0</v>
      </c>
      <c r="P22" s="28">
        <f t="shared" si="6"/>
        <v>0</v>
      </c>
      <c r="Q22" s="28">
        <f t="shared" si="6"/>
        <v>0</v>
      </c>
      <c r="R22" s="28">
        <f t="shared" si="7"/>
        <v>57.664999999999999</v>
      </c>
      <c r="T22" s="39">
        <f t="shared" ref="T22:T30" si="11">T11</f>
        <v>9000</v>
      </c>
      <c r="U22" s="28">
        <f>U21</f>
        <v>70.099999999999994</v>
      </c>
      <c r="V22" s="28">
        <f t="shared" si="8"/>
        <v>13.064999999999998</v>
      </c>
      <c r="W22" s="28">
        <f t="shared" si="8"/>
        <v>0</v>
      </c>
      <c r="X22" s="28">
        <f t="shared" si="8"/>
        <v>0</v>
      </c>
      <c r="Y22" s="28">
        <f t="shared" si="8"/>
        <v>0</v>
      </c>
      <c r="Z22" s="28">
        <f t="shared" si="9"/>
        <v>83.164999999999992</v>
      </c>
    </row>
    <row r="23" spans="5:26" x14ac:dyDescent="0.2">
      <c r="E23" s="179"/>
      <c r="F23" s="12"/>
      <c r="L23" s="39">
        <f t="shared" si="10"/>
        <v>10000</v>
      </c>
      <c r="M23" s="28">
        <f t="shared" ref="M23:M30" si="12">M22</f>
        <v>48.62</v>
      </c>
      <c r="N23" s="28">
        <f t="shared" si="6"/>
        <v>15.074999999999999</v>
      </c>
      <c r="O23" s="28">
        <f t="shared" si="6"/>
        <v>0</v>
      </c>
      <c r="P23" s="28">
        <f t="shared" si="6"/>
        <v>0</v>
      </c>
      <c r="Q23" s="28">
        <f t="shared" si="6"/>
        <v>0</v>
      </c>
      <c r="R23" s="28">
        <f t="shared" si="7"/>
        <v>63.694999999999993</v>
      </c>
      <c r="T23" s="39">
        <f t="shared" si="11"/>
        <v>10000</v>
      </c>
      <c r="U23" s="28">
        <f t="shared" ref="U23:U30" si="13">U22</f>
        <v>70.099999999999994</v>
      </c>
      <c r="V23" s="28">
        <f t="shared" si="8"/>
        <v>21.774999999999999</v>
      </c>
      <c r="W23" s="28">
        <f t="shared" si="8"/>
        <v>0</v>
      </c>
      <c r="X23" s="28">
        <f t="shared" si="8"/>
        <v>0</v>
      </c>
      <c r="Y23" s="28">
        <f t="shared" si="8"/>
        <v>0</v>
      </c>
      <c r="Z23" s="28">
        <f t="shared" si="9"/>
        <v>91.875</v>
      </c>
    </row>
    <row r="24" spans="5:26" x14ac:dyDescent="0.2">
      <c r="E24" s="179"/>
      <c r="F24" s="12"/>
      <c r="L24" s="39">
        <f t="shared" si="10"/>
        <v>15000</v>
      </c>
      <c r="M24" s="28">
        <f t="shared" si="12"/>
        <v>48.62</v>
      </c>
      <c r="N24" s="28">
        <f t="shared" si="6"/>
        <v>15.074999999999999</v>
      </c>
      <c r="O24" s="28">
        <f t="shared" si="6"/>
        <v>27</v>
      </c>
      <c r="P24" s="28">
        <f t="shared" si="6"/>
        <v>0</v>
      </c>
      <c r="Q24" s="28">
        <f t="shared" si="6"/>
        <v>0</v>
      </c>
      <c r="R24" s="28">
        <f t="shared" si="7"/>
        <v>90.694999999999993</v>
      </c>
      <c r="T24" s="39">
        <f t="shared" si="11"/>
        <v>15000</v>
      </c>
      <c r="U24" s="28">
        <f t="shared" si="13"/>
        <v>70.099999999999994</v>
      </c>
      <c r="V24" s="28">
        <f t="shared" si="8"/>
        <v>21.774999999999999</v>
      </c>
      <c r="W24" s="28">
        <f t="shared" si="8"/>
        <v>39</v>
      </c>
      <c r="X24" s="28">
        <f t="shared" si="8"/>
        <v>0</v>
      </c>
      <c r="Y24" s="28">
        <f t="shared" si="8"/>
        <v>0</v>
      </c>
      <c r="Z24" s="28">
        <f t="shared" si="9"/>
        <v>130.875</v>
      </c>
    </row>
    <row r="25" spans="5:26" x14ac:dyDescent="0.2">
      <c r="E25" s="179"/>
      <c r="F25" s="12"/>
      <c r="L25" s="39">
        <f t="shared" si="10"/>
        <v>18000</v>
      </c>
      <c r="M25" s="28">
        <f t="shared" si="12"/>
        <v>48.62</v>
      </c>
      <c r="N25" s="28">
        <f t="shared" si="6"/>
        <v>15.074999999999999</v>
      </c>
      <c r="O25" s="28">
        <f t="shared" si="6"/>
        <v>43.2</v>
      </c>
      <c r="P25" s="28">
        <f t="shared" si="6"/>
        <v>0</v>
      </c>
      <c r="Q25" s="28">
        <f t="shared" si="6"/>
        <v>0</v>
      </c>
      <c r="R25" s="28">
        <f t="shared" si="7"/>
        <v>106.895</v>
      </c>
      <c r="T25" s="39">
        <f t="shared" si="11"/>
        <v>18000</v>
      </c>
      <c r="U25" s="28">
        <f t="shared" si="13"/>
        <v>70.099999999999994</v>
      </c>
      <c r="V25" s="28">
        <f t="shared" si="8"/>
        <v>21.774999999999999</v>
      </c>
      <c r="W25" s="28">
        <f t="shared" si="8"/>
        <v>62.400000000000006</v>
      </c>
      <c r="X25" s="28">
        <f t="shared" si="8"/>
        <v>0</v>
      </c>
      <c r="Y25" s="28">
        <f t="shared" si="8"/>
        <v>0</v>
      </c>
      <c r="Z25" s="28">
        <f t="shared" si="9"/>
        <v>154.27500000000001</v>
      </c>
    </row>
    <row r="26" spans="5:26" x14ac:dyDescent="0.2">
      <c r="E26" s="179"/>
      <c r="F26" s="12"/>
      <c r="L26" s="39">
        <f t="shared" si="10"/>
        <v>22000</v>
      </c>
      <c r="M26" s="28">
        <f t="shared" si="12"/>
        <v>48.62</v>
      </c>
      <c r="N26" s="28">
        <f t="shared" si="6"/>
        <v>15.074999999999999</v>
      </c>
      <c r="O26" s="28">
        <f t="shared" si="6"/>
        <v>54</v>
      </c>
      <c r="P26" s="28">
        <f t="shared" si="6"/>
        <v>9.5399999999999991</v>
      </c>
      <c r="Q26" s="28">
        <f t="shared" si="6"/>
        <v>0</v>
      </c>
      <c r="R26" s="28">
        <f t="shared" si="7"/>
        <v>127.23499999999999</v>
      </c>
      <c r="T26" s="39">
        <f t="shared" si="11"/>
        <v>22000</v>
      </c>
      <c r="U26" s="28">
        <f t="shared" si="13"/>
        <v>70.099999999999994</v>
      </c>
      <c r="V26" s="28">
        <f t="shared" si="8"/>
        <v>21.774999999999999</v>
      </c>
      <c r="W26" s="28">
        <f t="shared" si="8"/>
        <v>78</v>
      </c>
      <c r="X26" s="28">
        <f t="shared" si="8"/>
        <v>13.799999999999999</v>
      </c>
      <c r="Y26" s="28">
        <f t="shared" si="8"/>
        <v>0</v>
      </c>
      <c r="Z26" s="28">
        <f t="shared" si="9"/>
        <v>183.67500000000001</v>
      </c>
    </row>
    <row r="27" spans="5:26" x14ac:dyDescent="0.2">
      <c r="E27" s="179"/>
      <c r="F27" s="12"/>
      <c r="L27" s="39">
        <f t="shared" si="10"/>
        <v>25000</v>
      </c>
      <c r="M27" s="28">
        <f t="shared" si="12"/>
        <v>48.62</v>
      </c>
      <c r="N27" s="28">
        <f t="shared" si="6"/>
        <v>15.074999999999999</v>
      </c>
      <c r="O27" s="28">
        <f t="shared" si="6"/>
        <v>54</v>
      </c>
      <c r="P27" s="28">
        <f t="shared" si="6"/>
        <v>23.85</v>
      </c>
      <c r="Q27" s="28">
        <f t="shared" si="6"/>
        <v>0</v>
      </c>
      <c r="R27" s="28">
        <f t="shared" si="7"/>
        <v>141.54499999999999</v>
      </c>
      <c r="T27" s="39">
        <f t="shared" si="11"/>
        <v>25000</v>
      </c>
      <c r="U27" s="28">
        <f t="shared" si="13"/>
        <v>70.099999999999994</v>
      </c>
      <c r="V27" s="28">
        <f t="shared" si="8"/>
        <v>21.774999999999999</v>
      </c>
      <c r="W27" s="28">
        <f t="shared" si="8"/>
        <v>78</v>
      </c>
      <c r="X27" s="28">
        <f t="shared" si="8"/>
        <v>34.5</v>
      </c>
      <c r="Y27" s="28">
        <f t="shared" si="8"/>
        <v>0</v>
      </c>
      <c r="Z27" s="28">
        <f t="shared" si="9"/>
        <v>204.375</v>
      </c>
    </row>
    <row r="28" spans="5:26" x14ac:dyDescent="0.2">
      <c r="E28" s="179"/>
      <c r="F28" s="12"/>
      <c r="L28" s="39">
        <f t="shared" si="10"/>
        <v>70000</v>
      </c>
      <c r="M28" s="28">
        <f t="shared" si="12"/>
        <v>48.62</v>
      </c>
      <c r="N28" s="28">
        <f t="shared" si="6"/>
        <v>15.074999999999999</v>
      </c>
      <c r="O28" s="28">
        <f t="shared" si="6"/>
        <v>54</v>
      </c>
      <c r="P28" s="28">
        <f t="shared" si="6"/>
        <v>143.1</v>
      </c>
      <c r="Q28" s="28">
        <f t="shared" si="6"/>
        <v>82.8</v>
      </c>
      <c r="R28" s="28">
        <f t="shared" si="7"/>
        <v>343.59499999999997</v>
      </c>
      <c r="T28" s="39">
        <f t="shared" si="11"/>
        <v>70000</v>
      </c>
      <c r="U28" s="28">
        <f t="shared" si="13"/>
        <v>70.099999999999994</v>
      </c>
      <c r="V28" s="28">
        <f t="shared" si="8"/>
        <v>21.774999999999999</v>
      </c>
      <c r="W28" s="28">
        <f t="shared" si="8"/>
        <v>78</v>
      </c>
      <c r="X28" s="28">
        <f t="shared" si="8"/>
        <v>207</v>
      </c>
      <c r="Y28" s="28">
        <f t="shared" si="8"/>
        <v>119.8</v>
      </c>
      <c r="Z28" s="28">
        <f t="shared" si="9"/>
        <v>496.67500000000001</v>
      </c>
    </row>
    <row r="29" spans="5:26" x14ac:dyDescent="0.2">
      <c r="E29" s="179"/>
      <c r="F29" s="12"/>
      <c r="L29" s="39">
        <f t="shared" si="10"/>
        <v>80000</v>
      </c>
      <c r="M29" s="28">
        <f t="shared" si="12"/>
        <v>48.62</v>
      </c>
      <c r="N29" s="28">
        <f t="shared" si="6"/>
        <v>15.074999999999999</v>
      </c>
      <c r="O29" s="28">
        <f t="shared" si="6"/>
        <v>54</v>
      </c>
      <c r="P29" s="28">
        <f t="shared" si="6"/>
        <v>143.1</v>
      </c>
      <c r="Q29" s="28">
        <f t="shared" si="6"/>
        <v>124.19999999999999</v>
      </c>
      <c r="R29" s="28">
        <f t="shared" si="7"/>
        <v>384.99499999999995</v>
      </c>
      <c r="T29" s="39">
        <f t="shared" si="11"/>
        <v>80000</v>
      </c>
      <c r="U29" s="28">
        <f t="shared" si="13"/>
        <v>70.099999999999994</v>
      </c>
      <c r="V29" s="28">
        <f t="shared" si="8"/>
        <v>21.774999999999999</v>
      </c>
      <c r="W29" s="28">
        <f t="shared" si="8"/>
        <v>78</v>
      </c>
      <c r="X29" s="28">
        <f t="shared" si="8"/>
        <v>207</v>
      </c>
      <c r="Y29" s="28">
        <f t="shared" si="8"/>
        <v>179.7</v>
      </c>
      <c r="Z29" s="28">
        <f t="shared" si="9"/>
        <v>556.57500000000005</v>
      </c>
    </row>
    <row r="30" spans="5:26" x14ac:dyDescent="0.2">
      <c r="E30" s="179"/>
      <c r="F30" s="12"/>
      <c r="L30" s="39">
        <f t="shared" si="10"/>
        <v>90000</v>
      </c>
      <c r="M30" s="28">
        <f t="shared" si="12"/>
        <v>48.62</v>
      </c>
      <c r="N30" s="28">
        <f t="shared" si="6"/>
        <v>15.074999999999999</v>
      </c>
      <c r="O30" s="28">
        <f t="shared" si="6"/>
        <v>54</v>
      </c>
      <c r="P30" s="28">
        <f t="shared" si="6"/>
        <v>143.1</v>
      </c>
      <c r="Q30" s="28">
        <f t="shared" si="6"/>
        <v>165.6</v>
      </c>
      <c r="R30" s="28">
        <f t="shared" si="7"/>
        <v>426.39499999999998</v>
      </c>
      <c r="T30" s="39">
        <f t="shared" si="11"/>
        <v>90000</v>
      </c>
      <c r="U30" s="28">
        <f t="shared" si="13"/>
        <v>70.099999999999994</v>
      </c>
      <c r="V30" s="28">
        <f t="shared" si="8"/>
        <v>21.774999999999999</v>
      </c>
      <c r="W30" s="28">
        <f t="shared" si="8"/>
        <v>78</v>
      </c>
      <c r="X30" s="28">
        <f t="shared" si="8"/>
        <v>207</v>
      </c>
      <c r="Y30" s="28">
        <f t="shared" si="8"/>
        <v>239.6</v>
      </c>
      <c r="Z30" s="28">
        <f t="shared" si="9"/>
        <v>616.47500000000002</v>
      </c>
    </row>
    <row r="31" spans="5:26" x14ac:dyDescent="0.2">
      <c r="E31" s="179"/>
      <c r="F31" s="12"/>
    </row>
    <row r="32" spans="5:26" x14ac:dyDescent="0.2">
      <c r="E32" s="179"/>
      <c r="F32" s="12"/>
    </row>
  </sheetData>
  <mergeCells count="2">
    <mergeCell ref="L7:R7"/>
    <mergeCell ref="T7:Z7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D2C08-51D2-479D-9D14-787670D91C67}">
  <dimension ref="A3:V24"/>
  <sheetViews>
    <sheetView topLeftCell="E7" workbookViewId="0">
      <selection activeCell="E7" sqref="A1:XFD1048576"/>
    </sheetView>
  </sheetViews>
  <sheetFormatPr defaultRowHeight="15" x14ac:dyDescent="0.2"/>
  <cols>
    <col min="3" max="3" width="4.77734375" style="12" customWidth="1"/>
    <col min="4" max="5" width="10.77734375" style="12" customWidth="1"/>
    <col min="6" max="6" width="1.77734375" style="173" customWidth="1"/>
    <col min="7" max="7" width="10.77734375" style="12" customWidth="1"/>
    <col min="8" max="8" width="1.21875" style="12" customWidth="1"/>
    <col min="9" max="9" width="10.77734375" style="173" customWidth="1"/>
    <col min="10" max="10" width="10.77734375" style="12" customWidth="1"/>
    <col min="11" max="11" width="8.88671875" style="171"/>
    <col min="12" max="12" width="11.44140625" style="39" bestFit="1" customWidth="1"/>
    <col min="13" max="14" width="10.44140625" style="39" bestFit="1" customWidth="1"/>
    <col min="15" max="15" width="10.44140625" style="39" customWidth="1"/>
    <col min="18" max="18" width="11.44140625" style="39" bestFit="1" customWidth="1"/>
    <col min="19" max="20" width="10.44140625" style="39" bestFit="1" customWidth="1"/>
    <col min="21" max="21" width="10.44140625" style="39" customWidth="1"/>
  </cols>
  <sheetData>
    <row r="3" spans="1:22" x14ac:dyDescent="0.2">
      <c r="C3"/>
      <c r="D3"/>
      <c r="E3"/>
      <c r="F3"/>
      <c r="G3"/>
      <c r="H3"/>
      <c r="I3"/>
      <c r="J3"/>
    </row>
    <row r="4" spans="1:22" x14ac:dyDescent="0.2">
      <c r="C4"/>
      <c r="D4"/>
      <c r="E4"/>
      <c r="F4"/>
      <c r="G4"/>
      <c r="H4"/>
      <c r="I4"/>
      <c r="J4"/>
    </row>
    <row r="5" spans="1:22" x14ac:dyDescent="0.2">
      <c r="C5"/>
      <c r="D5"/>
      <c r="E5"/>
      <c r="F5"/>
      <c r="G5"/>
      <c r="H5"/>
      <c r="I5"/>
      <c r="J5"/>
    </row>
    <row r="7" spans="1:22" ht="15.75" x14ac:dyDescent="0.25">
      <c r="C7" s="172"/>
      <c r="I7" s="174"/>
      <c r="L7" s="359" t="s">
        <v>132</v>
      </c>
      <c r="M7" s="359"/>
      <c r="N7" s="359"/>
      <c r="O7" s="359"/>
      <c r="P7" s="359"/>
      <c r="R7" s="359" t="s">
        <v>132</v>
      </c>
      <c r="S7" s="359"/>
      <c r="T7" s="359"/>
      <c r="U7" s="359"/>
      <c r="V7" s="359"/>
    </row>
    <row r="8" spans="1:22" ht="15.75" x14ac:dyDescent="0.25">
      <c r="A8" s="30" t="s">
        <v>225</v>
      </c>
      <c r="B8" s="137"/>
      <c r="D8" s="175"/>
      <c r="E8" s="108"/>
      <c r="F8" s="4"/>
      <c r="H8" s="30"/>
      <c r="I8" s="12"/>
      <c r="J8" s="175"/>
      <c r="K8" s="108"/>
      <c r="M8" s="26">
        <f>B9</f>
        <v>20000</v>
      </c>
      <c r="N8" s="26">
        <f>B10</f>
        <v>30000</v>
      </c>
      <c r="O8" s="26">
        <f>B11</f>
        <v>50000</v>
      </c>
      <c r="S8" s="26">
        <f>M8</f>
        <v>20000</v>
      </c>
      <c r="T8" s="26">
        <f t="shared" ref="T8:U8" si="0">N8</f>
        <v>30000</v>
      </c>
      <c r="U8" s="26">
        <f t="shared" si="0"/>
        <v>50000</v>
      </c>
    </row>
    <row r="9" spans="1:22" ht="15.75" x14ac:dyDescent="0.25">
      <c r="A9" s="25" t="s">
        <v>32</v>
      </c>
      <c r="B9" s="26">
        <v>20000</v>
      </c>
      <c r="C9" s="12" t="s">
        <v>56</v>
      </c>
      <c r="D9" s="176">
        <f>'Rates Comp OR'!F32</f>
        <v>117.68</v>
      </c>
      <c r="E9" s="108" t="s">
        <v>85</v>
      </c>
      <c r="F9" s="4"/>
      <c r="G9" s="176">
        <f>'Rates Comp OR'!I32</f>
        <v>169.64000000000001</v>
      </c>
      <c r="H9" s="108" t="s">
        <v>85</v>
      </c>
      <c r="I9" s="12"/>
      <c r="M9" s="28">
        <f>D9</f>
        <v>117.68</v>
      </c>
      <c r="N9" s="177">
        <f>D10</f>
        <v>4.7699999999999999E-3</v>
      </c>
      <c r="O9" s="177">
        <f>D11</f>
        <v>4.1399999999999996E-3</v>
      </c>
      <c r="S9" s="28">
        <f>G9</f>
        <v>169.64000000000001</v>
      </c>
      <c r="T9" s="177">
        <f>G10</f>
        <v>6.8999999999999999E-3</v>
      </c>
      <c r="U9" s="177">
        <f>G11</f>
        <v>5.9899999999999997E-3</v>
      </c>
    </row>
    <row r="10" spans="1:22" ht="15.75" x14ac:dyDescent="0.25">
      <c r="A10" s="25" t="s">
        <v>33</v>
      </c>
      <c r="B10" s="26">
        <v>30000</v>
      </c>
      <c r="C10" s="12" t="s">
        <v>56</v>
      </c>
      <c r="D10" s="178">
        <f>'Rates Comp OR'!F38</f>
        <v>4.7699999999999999E-3</v>
      </c>
      <c r="E10" s="108" t="s">
        <v>84</v>
      </c>
      <c r="F10" s="4"/>
      <c r="G10" s="178">
        <f>'Rates Comp OR'!I38</f>
        <v>6.8999999999999999E-3</v>
      </c>
      <c r="H10" s="108" t="s">
        <v>84</v>
      </c>
      <c r="I10" s="12"/>
      <c r="L10" s="39">
        <v>15000</v>
      </c>
      <c r="M10" s="39">
        <f>L10</f>
        <v>15000</v>
      </c>
      <c r="N10" s="39">
        <f>L10-M10</f>
        <v>0</v>
      </c>
      <c r="R10" s="39">
        <f t="shared" ref="R10:U15" si="1">L10</f>
        <v>15000</v>
      </c>
      <c r="S10" s="39">
        <f t="shared" si="1"/>
        <v>15000</v>
      </c>
      <c r="T10" s="39">
        <f t="shared" si="1"/>
        <v>0</v>
      </c>
      <c r="U10" s="39">
        <f t="shared" si="1"/>
        <v>0</v>
      </c>
    </row>
    <row r="11" spans="1:22" x14ac:dyDescent="0.2">
      <c r="A11" s="25" t="s">
        <v>44</v>
      </c>
      <c r="B11" s="26">
        <f>SUM(B9:B10)</f>
        <v>50000</v>
      </c>
      <c r="C11" s="12" t="s">
        <v>56</v>
      </c>
      <c r="D11" s="178">
        <f>'Rates Comp OR'!F39</f>
        <v>4.1399999999999996E-3</v>
      </c>
      <c r="E11" s="108" t="s">
        <v>84</v>
      </c>
      <c r="F11" s="12"/>
      <c r="G11" s="178">
        <f>'Rates Comp OR'!I39</f>
        <v>5.9899999999999997E-3</v>
      </c>
      <c r="H11" s="108" t="s">
        <v>84</v>
      </c>
      <c r="I11" s="12"/>
      <c r="L11" s="39">
        <v>20000</v>
      </c>
      <c r="M11" s="39">
        <v>20000</v>
      </c>
      <c r="N11" s="30">
        <f>L11-M11</f>
        <v>0</v>
      </c>
      <c r="O11" s="30"/>
      <c r="P11" s="39">
        <f>SUM(M11:O11)</f>
        <v>20000</v>
      </c>
      <c r="R11" s="39">
        <f t="shared" si="1"/>
        <v>20000</v>
      </c>
      <c r="S11" s="39">
        <f t="shared" si="1"/>
        <v>20000</v>
      </c>
      <c r="T11" s="39">
        <f t="shared" si="1"/>
        <v>0</v>
      </c>
      <c r="U11" s="39">
        <f t="shared" si="1"/>
        <v>0</v>
      </c>
      <c r="V11" s="39">
        <f>SUM(S11:U11)</f>
        <v>20000</v>
      </c>
    </row>
    <row r="12" spans="1:22" x14ac:dyDescent="0.2">
      <c r="A12" s="25"/>
      <c r="B12" s="26"/>
      <c r="D12" s="178"/>
      <c r="G12" s="178"/>
      <c r="L12" s="39">
        <v>30000</v>
      </c>
      <c r="M12" s="39">
        <v>20000</v>
      </c>
      <c r="N12" s="30">
        <f t="shared" ref="N12:N13" si="2">L12-M12</f>
        <v>10000</v>
      </c>
      <c r="O12" s="30"/>
      <c r="P12" s="39">
        <f>SUM(M12:O12)</f>
        <v>30000</v>
      </c>
      <c r="R12" s="39">
        <f t="shared" si="1"/>
        <v>30000</v>
      </c>
      <c r="S12" s="39">
        <f t="shared" si="1"/>
        <v>20000</v>
      </c>
      <c r="T12" s="39">
        <f t="shared" si="1"/>
        <v>10000</v>
      </c>
      <c r="U12" s="39">
        <f t="shared" si="1"/>
        <v>0</v>
      </c>
      <c r="V12" s="39">
        <f>SUM(S12:U12)</f>
        <v>30000</v>
      </c>
    </row>
    <row r="13" spans="1:22" x14ac:dyDescent="0.2">
      <c r="A13" s="25"/>
      <c r="B13" s="26"/>
      <c r="D13" s="178"/>
      <c r="F13" s="12"/>
      <c r="G13" s="178"/>
      <c r="I13" s="12"/>
      <c r="L13" s="39">
        <v>40000</v>
      </c>
      <c r="M13" s="39">
        <v>20000</v>
      </c>
      <c r="N13" s="30">
        <f t="shared" si="2"/>
        <v>20000</v>
      </c>
      <c r="O13" s="30">
        <f>L13-M13-N13</f>
        <v>0</v>
      </c>
      <c r="P13" s="39">
        <f>SUM(M13:O13)</f>
        <v>40000</v>
      </c>
      <c r="R13" s="39">
        <f t="shared" si="1"/>
        <v>40000</v>
      </c>
      <c r="S13" s="39">
        <f t="shared" si="1"/>
        <v>20000</v>
      </c>
      <c r="T13" s="39">
        <f t="shared" si="1"/>
        <v>20000</v>
      </c>
      <c r="U13" s="39">
        <f t="shared" si="1"/>
        <v>0</v>
      </c>
      <c r="V13" s="39">
        <f>SUM(S13:U13)</f>
        <v>40000</v>
      </c>
    </row>
    <row r="14" spans="1:22" x14ac:dyDescent="0.2">
      <c r="L14" s="39">
        <v>60000</v>
      </c>
      <c r="M14" s="39">
        <v>20000</v>
      </c>
      <c r="N14" s="30">
        <v>30000</v>
      </c>
      <c r="O14" s="30">
        <f>L14-M14-N14</f>
        <v>10000</v>
      </c>
      <c r="P14" s="39">
        <f>SUM(M14:O14)</f>
        <v>60000</v>
      </c>
      <c r="R14" s="39">
        <f t="shared" si="1"/>
        <v>60000</v>
      </c>
      <c r="S14" s="39">
        <f t="shared" si="1"/>
        <v>20000</v>
      </c>
      <c r="T14" s="39">
        <f t="shared" si="1"/>
        <v>30000</v>
      </c>
      <c r="U14" s="39">
        <f t="shared" si="1"/>
        <v>10000</v>
      </c>
      <c r="V14" s="39">
        <f>SUM(S14:U14)</f>
        <v>60000</v>
      </c>
    </row>
    <row r="15" spans="1:22" x14ac:dyDescent="0.2">
      <c r="E15" s="179"/>
      <c r="F15" s="12"/>
      <c r="L15" s="39">
        <v>70000</v>
      </c>
      <c r="M15" s="39">
        <v>20000</v>
      </c>
      <c r="N15" s="30">
        <v>30000</v>
      </c>
      <c r="O15" s="30">
        <f>L15-M15-N15</f>
        <v>20000</v>
      </c>
      <c r="P15" s="39">
        <f>SUM(M15:O15)</f>
        <v>70000</v>
      </c>
      <c r="R15" s="39">
        <f t="shared" si="1"/>
        <v>70000</v>
      </c>
      <c r="S15" s="39">
        <f t="shared" si="1"/>
        <v>20000</v>
      </c>
      <c r="T15" s="39">
        <f t="shared" si="1"/>
        <v>30000</v>
      </c>
      <c r="U15" s="39">
        <f t="shared" si="1"/>
        <v>20000</v>
      </c>
      <c r="V15" s="39">
        <f>SUM(S15:U15)</f>
        <v>70000</v>
      </c>
    </row>
    <row r="16" spans="1:22" x14ac:dyDescent="0.2">
      <c r="E16" s="179"/>
      <c r="F16" s="12"/>
    </row>
    <row r="17" spans="5:22" x14ac:dyDescent="0.2">
      <c r="E17" s="179"/>
      <c r="F17" s="12"/>
      <c r="L17" s="39">
        <f t="shared" ref="L17:L22" si="3">L10</f>
        <v>15000</v>
      </c>
      <c r="M17" s="28">
        <f>M9</f>
        <v>117.68</v>
      </c>
      <c r="N17" s="28">
        <f t="shared" ref="N17:O22" si="4">N10*N$9</f>
        <v>0</v>
      </c>
      <c r="O17" s="28">
        <f t="shared" si="4"/>
        <v>0</v>
      </c>
      <c r="P17" s="28">
        <f t="shared" ref="P17:P22" si="5">SUM(M17:O17)</f>
        <v>117.68</v>
      </c>
      <c r="R17" s="39">
        <f t="shared" ref="R17:R22" si="6">R10</f>
        <v>15000</v>
      </c>
      <c r="S17" s="28">
        <f>S9</f>
        <v>169.64000000000001</v>
      </c>
      <c r="T17" s="28">
        <f t="shared" ref="T17:U22" si="7">T10*T$9</f>
        <v>0</v>
      </c>
      <c r="U17" s="28">
        <f t="shared" si="7"/>
        <v>0</v>
      </c>
      <c r="V17" s="28">
        <f t="shared" ref="V17:V22" si="8">SUM(S17:U17)</f>
        <v>169.64000000000001</v>
      </c>
    </row>
    <row r="18" spans="5:22" x14ac:dyDescent="0.2">
      <c r="E18" s="179"/>
      <c r="F18" s="12"/>
      <c r="L18" s="39">
        <f t="shared" si="3"/>
        <v>20000</v>
      </c>
      <c r="M18" s="28">
        <f>M17</f>
        <v>117.68</v>
      </c>
      <c r="N18" s="28">
        <f t="shared" si="4"/>
        <v>0</v>
      </c>
      <c r="O18" s="28">
        <f t="shared" si="4"/>
        <v>0</v>
      </c>
      <c r="P18" s="28">
        <f t="shared" si="5"/>
        <v>117.68</v>
      </c>
      <c r="R18" s="39">
        <f t="shared" si="6"/>
        <v>20000</v>
      </c>
      <c r="S18" s="28">
        <f>S17</f>
        <v>169.64000000000001</v>
      </c>
      <c r="T18" s="28">
        <f t="shared" si="7"/>
        <v>0</v>
      </c>
      <c r="U18" s="28">
        <f t="shared" si="7"/>
        <v>0</v>
      </c>
      <c r="V18" s="28">
        <f t="shared" si="8"/>
        <v>169.64000000000001</v>
      </c>
    </row>
    <row r="19" spans="5:22" x14ac:dyDescent="0.2">
      <c r="E19" s="179"/>
      <c r="F19" s="12"/>
      <c r="L19" s="39">
        <f t="shared" si="3"/>
        <v>30000</v>
      </c>
      <c r="M19" s="28">
        <f t="shared" ref="M19:M22" si="9">M18</f>
        <v>117.68</v>
      </c>
      <c r="N19" s="28">
        <f t="shared" si="4"/>
        <v>47.7</v>
      </c>
      <c r="O19" s="28">
        <f t="shared" si="4"/>
        <v>0</v>
      </c>
      <c r="P19" s="28">
        <f t="shared" si="5"/>
        <v>165.38</v>
      </c>
      <c r="R19" s="39">
        <f t="shared" si="6"/>
        <v>30000</v>
      </c>
      <c r="S19" s="28">
        <f t="shared" ref="S19:S22" si="10">S18</f>
        <v>169.64000000000001</v>
      </c>
      <c r="T19" s="28">
        <f t="shared" si="7"/>
        <v>69</v>
      </c>
      <c r="U19" s="28">
        <f t="shared" si="7"/>
        <v>0</v>
      </c>
      <c r="V19" s="28">
        <f t="shared" si="8"/>
        <v>238.64000000000001</v>
      </c>
    </row>
    <row r="20" spans="5:22" x14ac:dyDescent="0.2">
      <c r="E20" s="179"/>
      <c r="F20" s="12"/>
      <c r="L20" s="39">
        <f t="shared" si="3"/>
        <v>40000</v>
      </c>
      <c r="M20" s="28">
        <f t="shared" si="9"/>
        <v>117.68</v>
      </c>
      <c r="N20" s="28">
        <f t="shared" si="4"/>
        <v>95.4</v>
      </c>
      <c r="O20" s="28">
        <f t="shared" si="4"/>
        <v>0</v>
      </c>
      <c r="P20" s="28">
        <f t="shared" si="5"/>
        <v>213.08</v>
      </c>
      <c r="R20" s="39">
        <f t="shared" si="6"/>
        <v>40000</v>
      </c>
      <c r="S20" s="28">
        <f t="shared" si="10"/>
        <v>169.64000000000001</v>
      </c>
      <c r="T20" s="28">
        <f t="shared" si="7"/>
        <v>138</v>
      </c>
      <c r="U20" s="28">
        <f t="shared" si="7"/>
        <v>0</v>
      </c>
      <c r="V20" s="28">
        <f t="shared" si="8"/>
        <v>307.64</v>
      </c>
    </row>
    <row r="21" spans="5:22" x14ac:dyDescent="0.2">
      <c r="E21" s="179"/>
      <c r="F21" s="12"/>
      <c r="L21" s="39">
        <f t="shared" si="3"/>
        <v>60000</v>
      </c>
      <c r="M21" s="28">
        <f t="shared" si="9"/>
        <v>117.68</v>
      </c>
      <c r="N21" s="28">
        <f t="shared" si="4"/>
        <v>143.1</v>
      </c>
      <c r="O21" s="28">
        <f t="shared" si="4"/>
        <v>41.4</v>
      </c>
      <c r="P21" s="28">
        <f t="shared" si="5"/>
        <v>302.17999999999995</v>
      </c>
      <c r="R21" s="39">
        <f t="shared" si="6"/>
        <v>60000</v>
      </c>
      <c r="S21" s="28">
        <f t="shared" si="10"/>
        <v>169.64000000000001</v>
      </c>
      <c r="T21" s="28">
        <f t="shared" si="7"/>
        <v>207</v>
      </c>
      <c r="U21" s="28">
        <f t="shared" si="7"/>
        <v>59.9</v>
      </c>
      <c r="V21" s="28">
        <f t="shared" si="8"/>
        <v>436.53999999999996</v>
      </c>
    </row>
    <row r="22" spans="5:22" x14ac:dyDescent="0.2">
      <c r="E22" s="179"/>
      <c r="F22" s="12"/>
      <c r="L22" s="39">
        <f t="shared" si="3"/>
        <v>70000</v>
      </c>
      <c r="M22" s="28">
        <f t="shared" si="9"/>
        <v>117.68</v>
      </c>
      <c r="N22" s="28">
        <f t="shared" si="4"/>
        <v>143.1</v>
      </c>
      <c r="O22" s="28">
        <f t="shared" si="4"/>
        <v>82.8</v>
      </c>
      <c r="P22" s="28">
        <f t="shared" si="5"/>
        <v>343.58</v>
      </c>
      <c r="R22" s="39">
        <f t="shared" si="6"/>
        <v>70000</v>
      </c>
      <c r="S22" s="28">
        <f t="shared" si="10"/>
        <v>169.64000000000001</v>
      </c>
      <c r="T22" s="28">
        <f t="shared" si="7"/>
        <v>207</v>
      </c>
      <c r="U22" s="28">
        <f t="shared" si="7"/>
        <v>119.8</v>
      </c>
      <c r="V22" s="28">
        <f t="shared" si="8"/>
        <v>496.44</v>
      </c>
    </row>
    <row r="23" spans="5:22" x14ac:dyDescent="0.2">
      <c r="E23" s="179"/>
      <c r="F23" s="12"/>
    </row>
    <row r="24" spans="5:22" x14ac:dyDescent="0.2">
      <c r="E24" s="179"/>
      <c r="F24" s="12"/>
    </row>
  </sheetData>
  <mergeCells count="2">
    <mergeCell ref="L7:P7"/>
    <mergeCell ref="R7:V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8E82D-5BB0-4F7F-96E8-62EA3EAB85B2}">
  <dimension ref="A10:F19"/>
  <sheetViews>
    <sheetView topLeftCell="B1" workbookViewId="0">
      <selection activeCell="B17" sqref="B17"/>
    </sheetView>
  </sheetViews>
  <sheetFormatPr defaultColWidth="14.77734375" defaultRowHeight="15" x14ac:dyDescent="0.2"/>
  <cols>
    <col min="1" max="16384" width="14.77734375" style="39"/>
  </cols>
  <sheetData>
    <row r="10" spans="1:6" x14ac:dyDescent="0.2">
      <c r="A10" s="30" t="s">
        <v>221</v>
      </c>
      <c r="F10" s="266">
        <v>324828</v>
      </c>
    </row>
    <row r="11" spans="1:6" x14ac:dyDescent="0.2">
      <c r="A11" s="30" t="s">
        <v>222</v>
      </c>
      <c r="F11" s="39">
        <f>-'SAO - DSC'!G27</f>
        <v>-312335</v>
      </c>
    </row>
    <row r="12" spans="1:6" ht="15.75" thickBot="1" x14ac:dyDescent="0.25">
      <c r="A12" s="30" t="s">
        <v>223</v>
      </c>
      <c r="F12" s="267">
        <f>SUM(F10:F11)</f>
        <v>12493</v>
      </c>
    </row>
    <row r="13" spans="1:6" ht="15.75" thickTop="1" x14ac:dyDescent="0.2"/>
    <row r="14" spans="1:6" x14ac:dyDescent="0.2">
      <c r="A14" s="30" t="s">
        <v>278</v>
      </c>
      <c r="F14" s="266">
        <v>1</v>
      </c>
    </row>
    <row r="15" spans="1:6" x14ac:dyDescent="0.2">
      <c r="A15" s="30" t="s">
        <v>279</v>
      </c>
      <c r="F15" s="143">
        <v>12</v>
      </c>
    </row>
    <row r="16" spans="1:6" x14ac:dyDescent="0.2">
      <c r="A16" s="30" t="s">
        <v>280</v>
      </c>
      <c r="F16" s="39">
        <f>ROUND(F14*F15,0)</f>
        <v>12</v>
      </c>
    </row>
    <row r="17" spans="1:6" x14ac:dyDescent="0.2">
      <c r="A17" s="30" t="s">
        <v>281</v>
      </c>
      <c r="C17" s="313">
        <v>0.04</v>
      </c>
      <c r="D17" s="39">
        <f>'SAO - DSC'!G27</f>
        <v>312335</v>
      </c>
      <c r="F17" s="39">
        <f>ROUND(C17*D17,0)</f>
        <v>12493</v>
      </c>
    </row>
    <row r="18" spans="1:6" ht="15.75" thickBot="1" x14ac:dyDescent="0.25">
      <c r="A18" s="30" t="s">
        <v>282</v>
      </c>
      <c r="F18" s="267">
        <f>SUM(F16:F17)</f>
        <v>12505</v>
      </c>
    </row>
    <row r="19" spans="1:6" ht="15.75" thickTop="1" x14ac:dyDescent="0.2"/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1952C-0CB8-4281-9A2E-C3A842E769F7}">
  <dimension ref="A3:V24"/>
  <sheetViews>
    <sheetView topLeftCell="E1" workbookViewId="0">
      <selection activeCell="E1" sqref="A1:XFD1048576"/>
    </sheetView>
  </sheetViews>
  <sheetFormatPr defaultRowHeight="15" x14ac:dyDescent="0.2"/>
  <cols>
    <col min="3" max="3" width="4.77734375" style="12" customWidth="1"/>
    <col min="4" max="5" width="10.77734375" style="12" customWidth="1"/>
    <col min="6" max="6" width="1.77734375" style="173" customWidth="1"/>
    <col min="7" max="7" width="10.77734375" style="12" customWidth="1"/>
    <col min="8" max="8" width="1.21875" style="12" customWidth="1"/>
    <col min="9" max="9" width="10.77734375" style="173" customWidth="1"/>
    <col min="10" max="10" width="10.77734375" style="12" customWidth="1"/>
    <col min="11" max="11" width="8.88671875" style="171"/>
    <col min="12" max="12" width="11.44140625" style="39" bestFit="1" customWidth="1"/>
    <col min="13" max="14" width="10.44140625" style="39" bestFit="1" customWidth="1"/>
    <col min="15" max="15" width="10.44140625" style="39" customWidth="1"/>
    <col min="18" max="18" width="11.44140625" style="39" bestFit="1" customWidth="1"/>
    <col min="19" max="20" width="10.44140625" style="39" bestFit="1" customWidth="1"/>
    <col min="21" max="21" width="10.44140625" style="39" customWidth="1"/>
  </cols>
  <sheetData>
    <row r="3" spans="1:22" x14ac:dyDescent="0.2">
      <c r="C3"/>
      <c r="D3"/>
      <c r="E3"/>
      <c r="F3"/>
      <c r="G3"/>
      <c r="H3"/>
      <c r="I3"/>
      <c r="J3"/>
    </row>
    <row r="4" spans="1:22" x14ac:dyDescent="0.2">
      <c r="C4"/>
      <c r="D4"/>
      <c r="E4"/>
      <c r="F4"/>
      <c r="G4"/>
      <c r="H4"/>
      <c r="I4"/>
      <c r="J4"/>
    </row>
    <row r="5" spans="1:22" x14ac:dyDescent="0.2">
      <c r="C5"/>
      <c r="D5"/>
      <c r="E5"/>
      <c r="F5"/>
      <c r="G5"/>
      <c r="H5"/>
      <c r="I5"/>
      <c r="J5"/>
    </row>
    <row r="7" spans="1:22" ht="15.75" x14ac:dyDescent="0.25">
      <c r="C7" s="172"/>
      <c r="I7" s="174"/>
      <c r="L7" s="359" t="s">
        <v>132</v>
      </c>
      <c r="M7" s="359"/>
      <c r="N7" s="359"/>
      <c r="O7" s="359"/>
      <c r="P7" s="359"/>
      <c r="R7" s="359" t="s">
        <v>132</v>
      </c>
      <c r="S7" s="359"/>
      <c r="T7" s="359"/>
      <c r="U7" s="359"/>
      <c r="V7" s="359"/>
    </row>
    <row r="8" spans="1:22" ht="15.75" x14ac:dyDescent="0.25">
      <c r="A8" s="30" t="s">
        <v>225</v>
      </c>
      <c r="B8" s="137"/>
      <c r="D8" s="175"/>
      <c r="E8" s="108"/>
      <c r="F8" s="4"/>
      <c r="H8" s="30"/>
      <c r="I8" s="12"/>
      <c r="J8" s="175"/>
      <c r="K8" s="108"/>
      <c r="M8" s="26">
        <f>B9</f>
        <v>30000</v>
      </c>
      <c r="N8" s="26">
        <f>B10</f>
        <v>20000</v>
      </c>
      <c r="O8" s="26">
        <f>B11</f>
        <v>50000</v>
      </c>
      <c r="S8" s="26">
        <f>M8</f>
        <v>30000</v>
      </c>
      <c r="T8" s="26">
        <f t="shared" ref="T8:U8" si="0">N8</f>
        <v>20000</v>
      </c>
      <c r="U8" s="26">
        <f t="shared" si="0"/>
        <v>50000</v>
      </c>
    </row>
    <row r="9" spans="1:22" ht="15.75" x14ac:dyDescent="0.25">
      <c r="A9" s="25" t="s">
        <v>32</v>
      </c>
      <c r="B9" s="26">
        <v>30000</v>
      </c>
      <c r="C9" s="12" t="s">
        <v>56</v>
      </c>
      <c r="D9" s="176">
        <f>'Rates Comp OR'!F37</f>
        <v>165.58</v>
      </c>
      <c r="E9" s="108" t="s">
        <v>85</v>
      </c>
      <c r="F9" s="4"/>
      <c r="G9" s="176">
        <f>'Rates Comp OR'!I37</f>
        <v>238.69000000000003</v>
      </c>
      <c r="H9" s="108" t="s">
        <v>85</v>
      </c>
      <c r="I9" s="12"/>
      <c r="M9" s="28">
        <f>D9</f>
        <v>165.58</v>
      </c>
      <c r="N9" s="177">
        <f>D10</f>
        <v>4.7699999999999999E-3</v>
      </c>
      <c r="O9" s="177">
        <f>D11</f>
        <v>4.1399999999999996E-3</v>
      </c>
      <c r="S9" s="28">
        <f>G9</f>
        <v>238.69000000000003</v>
      </c>
      <c r="T9" s="177">
        <f>G10</f>
        <v>6.8999999999999999E-3</v>
      </c>
      <c r="U9" s="177">
        <f>G11</f>
        <v>5.9899999999999997E-3</v>
      </c>
    </row>
    <row r="10" spans="1:22" ht="15.75" x14ac:dyDescent="0.25">
      <c r="A10" s="25" t="s">
        <v>33</v>
      </c>
      <c r="B10" s="26">
        <v>20000</v>
      </c>
      <c r="C10" s="12" t="s">
        <v>56</v>
      </c>
      <c r="D10" s="178">
        <f>'Rates Comp OR'!F38</f>
        <v>4.7699999999999999E-3</v>
      </c>
      <c r="E10" s="108" t="s">
        <v>84</v>
      </c>
      <c r="F10" s="4"/>
      <c r="G10" s="178">
        <f>'Rates Comp OR'!I38</f>
        <v>6.8999999999999999E-3</v>
      </c>
      <c r="H10" s="108" t="s">
        <v>84</v>
      </c>
      <c r="I10" s="12"/>
      <c r="L10" s="39">
        <v>20000</v>
      </c>
      <c r="M10" s="39">
        <f>L10</f>
        <v>20000</v>
      </c>
      <c r="N10" s="39">
        <f>L10-M10</f>
        <v>0</v>
      </c>
      <c r="R10" s="39">
        <f t="shared" ref="R10:U15" si="1">L10</f>
        <v>20000</v>
      </c>
      <c r="S10" s="39">
        <f t="shared" si="1"/>
        <v>20000</v>
      </c>
      <c r="T10" s="39">
        <f t="shared" si="1"/>
        <v>0</v>
      </c>
      <c r="U10" s="39">
        <f t="shared" si="1"/>
        <v>0</v>
      </c>
    </row>
    <row r="11" spans="1:22" x14ac:dyDescent="0.2">
      <c r="A11" s="25" t="s">
        <v>44</v>
      </c>
      <c r="B11" s="26">
        <f>SUM(B9:B10)</f>
        <v>50000</v>
      </c>
      <c r="C11" s="12" t="s">
        <v>56</v>
      </c>
      <c r="D11" s="178">
        <f>'Rates Comp OR'!F39</f>
        <v>4.1399999999999996E-3</v>
      </c>
      <c r="E11" s="108" t="s">
        <v>84</v>
      </c>
      <c r="F11" s="12"/>
      <c r="G11" s="178">
        <f>'Rates Comp OR'!I39</f>
        <v>5.9899999999999997E-3</v>
      </c>
      <c r="H11" s="108" t="s">
        <v>84</v>
      </c>
      <c r="I11" s="12"/>
      <c r="L11" s="39">
        <v>35000</v>
      </c>
      <c r="M11" s="39">
        <v>30000</v>
      </c>
      <c r="N11" s="30">
        <f>L11-M11</f>
        <v>5000</v>
      </c>
      <c r="O11" s="30"/>
      <c r="P11" s="39">
        <f>SUM(M11:O11)</f>
        <v>35000</v>
      </c>
      <c r="R11" s="39">
        <f t="shared" si="1"/>
        <v>35000</v>
      </c>
      <c r="S11" s="39">
        <f t="shared" si="1"/>
        <v>30000</v>
      </c>
      <c r="T11" s="39">
        <f t="shared" si="1"/>
        <v>5000</v>
      </c>
      <c r="U11" s="39">
        <f t="shared" si="1"/>
        <v>0</v>
      </c>
      <c r="V11" s="39">
        <f>SUM(S11:U11)</f>
        <v>35000</v>
      </c>
    </row>
    <row r="12" spans="1:22" x14ac:dyDescent="0.2">
      <c r="A12" s="25"/>
      <c r="B12" s="26"/>
      <c r="D12" s="178"/>
      <c r="G12" s="178"/>
      <c r="L12" s="39">
        <v>40000</v>
      </c>
      <c r="M12" s="39">
        <v>30000</v>
      </c>
      <c r="N12" s="30">
        <f t="shared" ref="N12:N13" si="2">L12-M12</f>
        <v>10000</v>
      </c>
      <c r="O12" s="30"/>
      <c r="P12" s="39">
        <f>SUM(M12:O12)</f>
        <v>40000</v>
      </c>
      <c r="R12" s="39">
        <f t="shared" si="1"/>
        <v>40000</v>
      </c>
      <c r="S12" s="39">
        <f t="shared" si="1"/>
        <v>30000</v>
      </c>
      <c r="T12" s="39">
        <f t="shared" si="1"/>
        <v>10000</v>
      </c>
      <c r="U12" s="39">
        <f t="shared" si="1"/>
        <v>0</v>
      </c>
      <c r="V12" s="39">
        <f>SUM(S12:U12)</f>
        <v>40000</v>
      </c>
    </row>
    <row r="13" spans="1:22" x14ac:dyDescent="0.2">
      <c r="A13" s="25"/>
      <c r="B13" s="26"/>
      <c r="D13" s="178"/>
      <c r="F13" s="12"/>
      <c r="G13" s="178"/>
      <c r="I13" s="12"/>
      <c r="L13" s="39">
        <v>45000</v>
      </c>
      <c r="M13" s="39">
        <v>30000</v>
      </c>
      <c r="N13" s="30">
        <f t="shared" si="2"/>
        <v>15000</v>
      </c>
      <c r="O13" s="30">
        <f>L13-M13-N13</f>
        <v>0</v>
      </c>
      <c r="P13" s="39">
        <f>SUM(M13:O13)</f>
        <v>45000</v>
      </c>
      <c r="R13" s="39">
        <f t="shared" si="1"/>
        <v>45000</v>
      </c>
      <c r="S13" s="39">
        <f t="shared" si="1"/>
        <v>30000</v>
      </c>
      <c r="T13" s="39">
        <f t="shared" si="1"/>
        <v>15000</v>
      </c>
      <c r="U13" s="39">
        <f t="shared" si="1"/>
        <v>0</v>
      </c>
      <c r="V13" s="39">
        <f>SUM(S13:U13)</f>
        <v>45000</v>
      </c>
    </row>
    <row r="14" spans="1:22" x14ac:dyDescent="0.2">
      <c r="L14" s="39">
        <v>60000</v>
      </c>
      <c r="M14" s="39">
        <v>30000</v>
      </c>
      <c r="N14" s="30">
        <v>20000</v>
      </c>
      <c r="O14" s="30">
        <f>L14-M14-N14</f>
        <v>10000</v>
      </c>
      <c r="P14" s="39">
        <f>SUM(M14:O14)</f>
        <v>60000</v>
      </c>
      <c r="R14" s="39">
        <f t="shared" si="1"/>
        <v>60000</v>
      </c>
      <c r="S14" s="39">
        <f t="shared" si="1"/>
        <v>30000</v>
      </c>
      <c r="T14" s="39">
        <f t="shared" si="1"/>
        <v>20000</v>
      </c>
      <c r="U14" s="39">
        <f t="shared" si="1"/>
        <v>10000</v>
      </c>
      <c r="V14" s="39">
        <f>SUM(S14:U14)</f>
        <v>60000</v>
      </c>
    </row>
    <row r="15" spans="1:22" x14ac:dyDescent="0.2">
      <c r="E15" s="179"/>
      <c r="F15" s="12"/>
      <c r="L15" s="39">
        <v>70000</v>
      </c>
      <c r="M15" s="39">
        <v>30000</v>
      </c>
      <c r="N15" s="30">
        <v>20000</v>
      </c>
      <c r="O15" s="30">
        <f>L15-M15-N15</f>
        <v>20000</v>
      </c>
      <c r="P15" s="39">
        <f>SUM(M15:O15)</f>
        <v>70000</v>
      </c>
      <c r="R15" s="39">
        <f t="shared" si="1"/>
        <v>70000</v>
      </c>
      <c r="S15" s="39">
        <f t="shared" si="1"/>
        <v>30000</v>
      </c>
      <c r="T15" s="39">
        <f t="shared" si="1"/>
        <v>20000</v>
      </c>
      <c r="U15" s="39">
        <f t="shared" si="1"/>
        <v>20000</v>
      </c>
      <c r="V15" s="39">
        <f>SUM(S15:U15)</f>
        <v>70000</v>
      </c>
    </row>
    <row r="16" spans="1:22" x14ac:dyDescent="0.2">
      <c r="E16" s="179"/>
      <c r="F16" s="12"/>
    </row>
    <row r="17" spans="5:22" x14ac:dyDescent="0.2">
      <c r="E17" s="179"/>
      <c r="F17" s="12"/>
      <c r="L17" s="39">
        <f t="shared" ref="L17:L22" si="3">L10</f>
        <v>20000</v>
      </c>
      <c r="M17" s="28">
        <f>M9</f>
        <v>165.58</v>
      </c>
      <c r="N17" s="28">
        <f t="shared" ref="N17:O22" si="4">N10*N$9</f>
        <v>0</v>
      </c>
      <c r="O17" s="28">
        <f t="shared" si="4"/>
        <v>0</v>
      </c>
      <c r="P17" s="28">
        <f t="shared" ref="P17:P22" si="5">SUM(M17:O17)</f>
        <v>165.58</v>
      </c>
      <c r="R17" s="39">
        <f t="shared" ref="R17:R22" si="6">R10</f>
        <v>20000</v>
      </c>
      <c r="S17" s="28">
        <f>S9</f>
        <v>238.69000000000003</v>
      </c>
      <c r="T17" s="28">
        <f t="shared" ref="T17:U22" si="7">T10*T$9</f>
        <v>0</v>
      </c>
      <c r="U17" s="28">
        <f t="shared" si="7"/>
        <v>0</v>
      </c>
      <c r="V17" s="28">
        <f t="shared" ref="V17:V22" si="8">SUM(S17:U17)</f>
        <v>238.69000000000003</v>
      </c>
    </row>
    <row r="18" spans="5:22" x14ac:dyDescent="0.2">
      <c r="E18" s="179"/>
      <c r="F18" s="12"/>
      <c r="L18" s="39">
        <f t="shared" si="3"/>
        <v>35000</v>
      </c>
      <c r="M18" s="28">
        <f>M17</f>
        <v>165.58</v>
      </c>
      <c r="N18" s="28">
        <f t="shared" si="4"/>
        <v>23.85</v>
      </c>
      <c r="O18" s="28">
        <f t="shared" si="4"/>
        <v>0</v>
      </c>
      <c r="P18" s="28">
        <f t="shared" si="5"/>
        <v>189.43</v>
      </c>
      <c r="R18" s="39">
        <f t="shared" si="6"/>
        <v>35000</v>
      </c>
      <c r="S18" s="28">
        <f>S17</f>
        <v>238.69000000000003</v>
      </c>
      <c r="T18" s="28">
        <f t="shared" si="7"/>
        <v>34.5</v>
      </c>
      <c r="U18" s="28">
        <f t="shared" si="7"/>
        <v>0</v>
      </c>
      <c r="V18" s="28">
        <f t="shared" si="8"/>
        <v>273.19000000000005</v>
      </c>
    </row>
    <row r="19" spans="5:22" x14ac:dyDescent="0.2">
      <c r="E19" s="179"/>
      <c r="F19" s="12"/>
      <c r="L19" s="39">
        <f t="shared" si="3"/>
        <v>40000</v>
      </c>
      <c r="M19" s="28">
        <f t="shared" ref="M19:M22" si="9">M18</f>
        <v>165.58</v>
      </c>
      <c r="N19" s="28">
        <f t="shared" si="4"/>
        <v>47.7</v>
      </c>
      <c r="O19" s="28">
        <f t="shared" si="4"/>
        <v>0</v>
      </c>
      <c r="P19" s="28">
        <f t="shared" si="5"/>
        <v>213.28000000000003</v>
      </c>
      <c r="R19" s="39">
        <f t="shared" si="6"/>
        <v>40000</v>
      </c>
      <c r="S19" s="28">
        <f t="shared" ref="S19:S22" si="10">S18</f>
        <v>238.69000000000003</v>
      </c>
      <c r="T19" s="28">
        <f t="shared" si="7"/>
        <v>69</v>
      </c>
      <c r="U19" s="28">
        <f t="shared" si="7"/>
        <v>0</v>
      </c>
      <c r="V19" s="28">
        <f t="shared" si="8"/>
        <v>307.69000000000005</v>
      </c>
    </row>
    <row r="20" spans="5:22" x14ac:dyDescent="0.2">
      <c r="E20" s="179"/>
      <c r="F20" s="12"/>
      <c r="L20" s="39">
        <f t="shared" si="3"/>
        <v>45000</v>
      </c>
      <c r="M20" s="28">
        <f t="shared" si="9"/>
        <v>165.58</v>
      </c>
      <c r="N20" s="28">
        <f t="shared" si="4"/>
        <v>71.55</v>
      </c>
      <c r="O20" s="28">
        <f t="shared" si="4"/>
        <v>0</v>
      </c>
      <c r="P20" s="28">
        <f t="shared" si="5"/>
        <v>237.13</v>
      </c>
      <c r="R20" s="39">
        <f t="shared" si="6"/>
        <v>45000</v>
      </c>
      <c r="S20" s="28">
        <f t="shared" si="10"/>
        <v>238.69000000000003</v>
      </c>
      <c r="T20" s="28">
        <f t="shared" si="7"/>
        <v>103.5</v>
      </c>
      <c r="U20" s="28">
        <f t="shared" si="7"/>
        <v>0</v>
      </c>
      <c r="V20" s="28">
        <f t="shared" si="8"/>
        <v>342.19000000000005</v>
      </c>
    </row>
    <row r="21" spans="5:22" x14ac:dyDescent="0.2">
      <c r="E21" s="179"/>
      <c r="F21" s="12"/>
      <c r="L21" s="39">
        <f t="shared" si="3"/>
        <v>60000</v>
      </c>
      <c r="M21" s="28">
        <f t="shared" si="9"/>
        <v>165.58</v>
      </c>
      <c r="N21" s="28">
        <f t="shared" si="4"/>
        <v>95.4</v>
      </c>
      <c r="O21" s="28">
        <f t="shared" si="4"/>
        <v>41.4</v>
      </c>
      <c r="P21" s="28">
        <f t="shared" si="5"/>
        <v>302.38</v>
      </c>
      <c r="R21" s="39">
        <f t="shared" si="6"/>
        <v>60000</v>
      </c>
      <c r="S21" s="28">
        <f t="shared" si="10"/>
        <v>238.69000000000003</v>
      </c>
      <c r="T21" s="28">
        <f t="shared" si="7"/>
        <v>138</v>
      </c>
      <c r="U21" s="28">
        <f t="shared" si="7"/>
        <v>59.9</v>
      </c>
      <c r="V21" s="28">
        <f t="shared" si="8"/>
        <v>436.59000000000003</v>
      </c>
    </row>
    <row r="22" spans="5:22" x14ac:dyDescent="0.2">
      <c r="E22" s="179"/>
      <c r="F22" s="12"/>
      <c r="L22" s="39">
        <f t="shared" si="3"/>
        <v>70000</v>
      </c>
      <c r="M22" s="28">
        <f t="shared" si="9"/>
        <v>165.58</v>
      </c>
      <c r="N22" s="28">
        <f t="shared" si="4"/>
        <v>95.4</v>
      </c>
      <c r="O22" s="28">
        <f t="shared" si="4"/>
        <v>82.8</v>
      </c>
      <c r="P22" s="28">
        <f t="shared" si="5"/>
        <v>343.78000000000003</v>
      </c>
      <c r="R22" s="39">
        <f t="shared" si="6"/>
        <v>70000</v>
      </c>
      <c r="S22" s="28">
        <f t="shared" si="10"/>
        <v>238.69000000000003</v>
      </c>
      <c r="T22" s="28">
        <f t="shared" si="7"/>
        <v>138</v>
      </c>
      <c r="U22" s="28">
        <f t="shared" si="7"/>
        <v>119.8</v>
      </c>
      <c r="V22" s="28">
        <f t="shared" si="8"/>
        <v>496.49000000000007</v>
      </c>
    </row>
    <row r="23" spans="5:22" x14ac:dyDescent="0.2">
      <c r="E23" s="179"/>
      <c r="F23" s="12"/>
    </row>
    <row r="24" spans="5:22" x14ac:dyDescent="0.2">
      <c r="E24" s="179"/>
      <c r="F24" s="12"/>
    </row>
  </sheetData>
  <mergeCells count="2">
    <mergeCell ref="L7:P7"/>
    <mergeCell ref="R7:V7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1BD67-CCC6-44DA-A522-AE324982DC6B}">
  <dimension ref="A3:T24"/>
  <sheetViews>
    <sheetView topLeftCell="B1" workbookViewId="0">
      <selection activeCell="L10" sqref="L10:L15"/>
    </sheetView>
  </sheetViews>
  <sheetFormatPr defaultRowHeight="15" x14ac:dyDescent="0.2"/>
  <cols>
    <col min="3" max="3" width="4.77734375" style="12" customWidth="1"/>
    <col min="4" max="5" width="10.77734375" style="12" customWidth="1"/>
    <col min="6" max="6" width="1.77734375" style="173" customWidth="1"/>
    <col min="7" max="7" width="10.77734375" style="12" customWidth="1"/>
    <col min="8" max="8" width="1.21875" style="12" customWidth="1"/>
    <col min="9" max="9" width="10.77734375" style="173" customWidth="1"/>
    <col min="10" max="10" width="10.77734375" style="12" customWidth="1"/>
    <col min="11" max="11" width="8.88671875" style="171"/>
    <col min="12" max="12" width="11.44140625" style="39" bestFit="1" customWidth="1"/>
    <col min="13" max="13" width="10.44140625" style="39" bestFit="1" customWidth="1"/>
    <col min="14" max="14" width="10.44140625" style="39" customWidth="1"/>
    <col min="17" max="17" width="11.44140625" style="39" bestFit="1" customWidth="1"/>
    <col min="18" max="18" width="10.44140625" style="39" bestFit="1" customWidth="1"/>
    <col min="19" max="19" width="10.44140625" style="39" customWidth="1"/>
  </cols>
  <sheetData>
    <row r="3" spans="1:20" x14ac:dyDescent="0.2">
      <c r="C3"/>
      <c r="D3"/>
      <c r="E3"/>
      <c r="F3"/>
      <c r="G3"/>
      <c r="H3"/>
      <c r="I3"/>
      <c r="J3"/>
    </row>
    <row r="4" spans="1:20" x14ac:dyDescent="0.2">
      <c r="C4"/>
      <c r="D4"/>
      <c r="E4"/>
      <c r="F4"/>
      <c r="G4"/>
      <c r="H4"/>
      <c r="I4"/>
      <c r="J4"/>
    </row>
    <row r="5" spans="1:20" x14ac:dyDescent="0.2">
      <c r="C5"/>
      <c r="D5"/>
      <c r="E5"/>
      <c r="F5"/>
      <c r="G5"/>
      <c r="H5"/>
      <c r="I5"/>
      <c r="J5"/>
    </row>
    <row r="7" spans="1:20" ht="15.75" x14ac:dyDescent="0.25">
      <c r="C7" s="172"/>
      <c r="I7" s="174"/>
      <c r="L7" s="359" t="s">
        <v>132</v>
      </c>
      <c r="M7" s="359"/>
      <c r="N7" s="359"/>
      <c r="O7" s="359"/>
      <c r="Q7" s="359" t="s">
        <v>132</v>
      </c>
      <c r="R7" s="359"/>
      <c r="S7" s="359"/>
      <c r="T7" s="359"/>
    </row>
    <row r="8" spans="1:20" ht="15.75" x14ac:dyDescent="0.25">
      <c r="A8" s="30" t="s">
        <v>225</v>
      </c>
      <c r="B8" s="137"/>
      <c r="D8" s="175"/>
      <c r="E8" s="108"/>
      <c r="F8" s="4"/>
      <c r="H8" s="30"/>
      <c r="I8" s="12"/>
      <c r="J8" s="175"/>
      <c r="K8" s="108"/>
      <c r="M8" s="26">
        <f>B9</f>
        <v>50000</v>
      </c>
      <c r="N8" s="26">
        <f>B10</f>
        <v>50000</v>
      </c>
      <c r="R8" s="26">
        <f>M8</f>
        <v>50000</v>
      </c>
      <c r="S8" s="26">
        <f t="shared" ref="S8" si="0">N8</f>
        <v>50000</v>
      </c>
    </row>
    <row r="9" spans="1:20" ht="15.75" x14ac:dyDescent="0.25">
      <c r="A9" s="25" t="s">
        <v>32</v>
      </c>
      <c r="B9" s="26">
        <v>50000</v>
      </c>
      <c r="C9" s="12" t="s">
        <v>56</v>
      </c>
      <c r="D9" s="176">
        <f>'Rates Comp OR'!F42</f>
        <v>260.85000000000002</v>
      </c>
      <c r="E9" s="108" t="s">
        <v>85</v>
      </c>
      <c r="F9" s="4"/>
      <c r="G9" s="176">
        <f>'Rates Comp OR'!I42</f>
        <v>376.01</v>
      </c>
      <c r="H9" s="108" t="s">
        <v>85</v>
      </c>
      <c r="I9" s="12"/>
      <c r="M9" s="28">
        <f>D9</f>
        <v>260.85000000000002</v>
      </c>
      <c r="N9" s="177">
        <f>D10</f>
        <v>4.1399999999999996E-3</v>
      </c>
      <c r="R9" s="28">
        <f>G9</f>
        <v>376.01</v>
      </c>
      <c r="S9" s="177">
        <f>G10</f>
        <v>5.9899999999999997E-3</v>
      </c>
    </row>
    <row r="10" spans="1:20" x14ac:dyDescent="0.2">
      <c r="A10" s="25" t="s">
        <v>44</v>
      </c>
      <c r="B10" s="26">
        <v>50000</v>
      </c>
      <c r="C10" s="12" t="s">
        <v>56</v>
      </c>
      <c r="D10" s="178">
        <f>'Rates Comp OR'!F43</f>
        <v>4.1399999999999996E-3</v>
      </c>
      <c r="E10" s="108" t="s">
        <v>84</v>
      </c>
      <c r="F10" s="12"/>
      <c r="G10" s="178">
        <f>'Rates Comp OR'!I43</f>
        <v>5.9899999999999997E-3</v>
      </c>
      <c r="H10" s="108" t="s">
        <v>84</v>
      </c>
      <c r="I10" s="12"/>
      <c r="L10" s="39">
        <v>20000</v>
      </c>
      <c r="M10" s="39">
        <f>L10</f>
        <v>20000</v>
      </c>
      <c r="Q10" s="39">
        <f t="shared" ref="Q10:S15" si="1">L10</f>
        <v>20000</v>
      </c>
      <c r="R10" s="39">
        <f t="shared" si="1"/>
        <v>20000</v>
      </c>
      <c r="S10" s="39">
        <f t="shared" si="1"/>
        <v>0</v>
      </c>
    </row>
    <row r="11" spans="1:20" x14ac:dyDescent="0.2">
      <c r="L11" s="39">
        <v>25000</v>
      </c>
      <c r="M11" s="39">
        <v>25000</v>
      </c>
      <c r="N11" s="30"/>
      <c r="O11" s="39">
        <f>SUM(M11:N11)</f>
        <v>25000</v>
      </c>
      <c r="Q11" s="39">
        <f t="shared" si="1"/>
        <v>25000</v>
      </c>
      <c r="R11" s="39">
        <f t="shared" si="1"/>
        <v>25000</v>
      </c>
      <c r="S11" s="39">
        <f t="shared" si="1"/>
        <v>0</v>
      </c>
      <c r="T11" s="39">
        <f>SUM(R11:S11)</f>
        <v>25000</v>
      </c>
    </row>
    <row r="12" spans="1:20" x14ac:dyDescent="0.2">
      <c r="A12" s="25"/>
      <c r="B12" s="26"/>
      <c r="D12" s="178"/>
      <c r="G12" s="178"/>
      <c r="L12" s="39">
        <v>30000</v>
      </c>
      <c r="M12" s="39">
        <v>30000</v>
      </c>
      <c r="N12" s="30"/>
      <c r="O12" s="39">
        <f>SUM(M12:N12)</f>
        <v>30000</v>
      </c>
      <c r="Q12" s="39">
        <f t="shared" si="1"/>
        <v>30000</v>
      </c>
      <c r="R12" s="39">
        <f t="shared" si="1"/>
        <v>30000</v>
      </c>
      <c r="S12" s="39">
        <f t="shared" si="1"/>
        <v>0</v>
      </c>
      <c r="T12" s="39">
        <f>SUM(R12:S12)</f>
        <v>30000</v>
      </c>
    </row>
    <row r="13" spans="1:20" x14ac:dyDescent="0.2">
      <c r="A13" s="25"/>
      <c r="B13" s="26"/>
      <c r="D13" s="178"/>
      <c r="F13" s="12"/>
      <c r="G13" s="178"/>
      <c r="I13" s="12"/>
      <c r="L13" s="39">
        <v>55000</v>
      </c>
      <c r="M13" s="39">
        <v>50000</v>
      </c>
      <c r="N13" s="30">
        <f>L13-M13</f>
        <v>5000</v>
      </c>
      <c r="O13" s="39">
        <f>SUM(M13:N13)</f>
        <v>55000</v>
      </c>
      <c r="Q13" s="39">
        <f t="shared" si="1"/>
        <v>55000</v>
      </c>
      <c r="R13" s="39">
        <f t="shared" si="1"/>
        <v>50000</v>
      </c>
      <c r="S13" s="39">
        <f t="shared" si="1"/>
        <v>5000</v>
      </c>
      <c r="T13" s="39">
        <f>SUM(R13:S13)</f>
        <v>55000</v>
      </c>
    </row>
    <row r="14" spans="1:20" x14ac:dyDescent="0.2">
      <c r="L14" s="39">
        <v>70000</v>
      </c>
      <c r="M14" s="39">
        <v>50000</v>
      </c>
      <c r="N14" s="30">
        <f t="shared" ref="N14:N15" si="2">L14-M14</f>
        <v>20000</v>
      </c>
      <c r="O14" s="39">
        <f>SUM(M14:N14)</f>
        <v>70000</v>
      </c>
      <c r="Q14" s="39">
        <f t="shared" si="1"/>
        <v>70000</v>
      </c>
      <c r="R14" s="39">
        <f t="shared" si="1"/>
        <v>50000</v>
      </c>
      <c r="S14" s="39">
        <f t="shared" si="1"/>
        <v>20000</v>
      </c>
      <c r="T14" s="39">
        <f>SUM(R14:S14)</f>
        <v>70000</v>
      </c>
    </row>
    <row r="15" spans="1:20" x14ac:dyDescent="0.2">
      <c r="E15" s="179"/>
      <c r="F15" s="12"/>
      <c r="L15" s="39">
        <v>80000</v>
      </c>
      <c r="M15" s="39">
        <v>50000</v>
      </c>
      <c r="N15" s="30">
        <f t="shared" si="2"/>
        <v>30000</v>
      </c>
      <c r="O15" s="39">
        <f>SUM(M15:N15)</f>
        <v>80000</v>
      </c>
      <c r="Q15" s="39">
        <f t="shared" si="1"/>
        <v>80000</v>
      </c>
      <c r="R15" s="39">
        <f t="shared" si="1"/>
        <v>50000</v>
      </c>
      <c r="S15" s="39">
        <f t="shared" si="1"/>
        <v>30000</v>
      </c>
      <c r="T15" s="39">
        <f>SUM(R15:S15)</f>
        <v>80000</v>
      </c>
    </row>
    <row r="16" spans="1:20" x14ac:dyDescent="0.2">
      <c r="E16" s="179"/>
      <c r="F16" s="12"/>
    </row>
    <row r="17" spans="5:20" x14ac:dyDescent="0.2">
      <c r="E17" s="179"/>
      <c r="F17" s="12"/>
      <c r="L17" s="39">
        <f t="shared" ref="L17:L22" si="3">L10</f>
        <v>20000</v>
      </c>
      <c r="M17" s="28">
        <f>M9</f>
        <v>260.85000000000002</v>
      </c>
      <c r="N17" s="28">
        <f t="shared" ref="N17:N22" si="4">N10*N$9</f>
        <v>0</v>
      </c>
      <c r="O17" s="28">
        <f t="shared" ref="O17:O22" si="5">SUM(M17:N17)</f>
        <v>260.85000000000002</v>
      </c>
      <c r="Q17" s="39">
        <f t="shared" ref="Q17:Q22" si="6">Q10</f>
        <v>20000</v>
      </c>
      <c r="R17" s="28">
        <f>R9</f>
        <v>376.01</v>
      </c>
      <c r="S17" s="28">
        <f t="shared" ref="S17:S22" si="7">S10*S$9</f>
        <v>0</v>
      </c>
      <c r="T17" s="28">
        <f t="shared" ref="T17:T22" si="8">SUM(R17:S17)</f>
        <v>376.01</v>
      </c>
    </row>
    <row r="18" spans="5:20" x14ac:dyDescent="0.2">
      <c r="E18" s="179"/>
      <c r="F18" s="12"/>
      <c r="L18" s="39">
        <f t="shared" si="3"/>
        <v>25000</v>
      </c>
      <c r="M18" s="28">
        <f>M17</f>
        <v>260.85000000000002</v>
      </c>
      <c r="N18" s="28">
        <f t="shared" si="4"/>
        <v>0</v>
      </c>
      <c r="O18" s="28">
        <f t="shared" si="5"/>
        <v>260.85000000000002</v>
      </c>
      <c r="Q18" s="39">
        <f t="shared" si="6"/>
        <v>25000</v>
      </c>
      <c r="R18" s="28">
        <f>R17</f>
        <v>376.01</v>
      </c>
      <c r="S18" s="28">
        <f t="shared" si="7"/>
        <v>0</v>
      </c>
      <c r="T18" s="28">
        <f t="shared" si="8"/>
        <v>376.01</v>
      </c>
    </row>
    <row r="19" spans="5:20" x14ac:dyDescent="0.2">
      <c r="E19" s="179"/>
      <c r="F19" s="12"/>
      <c r="L19" s="39">
        <f t="shared" si="3"/>
        <v>30000</v>
      </c>
      <c r="M19" s="28">
        <f t="shared" ref="M19:M22" si="9">M18</f>
        <v>260.85000000000002</v>
      </c>
      <c r="N19" s="28">
        <f t="shared" si="4"/>
        <v>0</v>
      </c>
      <c r="O19" s="28">
        <f t="shared" si="5"/>
        <v>260.85000000000002</v>
      </c>
      <c r="Q19" s="39">
        <f t="shared" si="6"/>
        <v>30000</v>
      </c>
      <c r="R19" s="28">
        <f t="shared" ref="R19:R22" si="10">R18</f>
        <v>376.01</v>
      </c>
      <c r="S19" s="28">
        <f t="shared" si="7"/>
        <v>0</v>
      </c>
      <c r="T19" s="28">
        <f t="shared" si="8"/>
        <v>376.01</v>
      </c>
    </row>
    <row r="20" spans="5:20" x14ac:dyDescent="0.2">
      <c r="E20" s="179"/>
      <c r="F20" s="12"/>
      <c r="L20" s="39">
        <f t="shared" si="3"/>
        <v>55000</v>
      </c>
      <c r="M20" s="28">
        <f t="shared" si="9"/>
        <v>260.85000000000002</v>
      </c>
      <c r="N20" s="28">
        <f t="shared" si="4"/>
        <v>20.7</v>
      </c>
      <c r="O20" s="28">
        <f t="shared" si="5"/>
        <v>281.55</v>
      </c>
      <c r="Q20" s="39">
        <f t="shared" si="6"/>
        <v>55000</v>
      </c>
      <c r="R20" s="28">
        <f t="shared" si="10"/>
        <v>376.01</v>
      </c>
      <c r="S20" s="28">
        <f t="shared" si="7"/>
        <v>29.95</v>
      </c>
      <c r="T20" s="28">
        <f t="shared" si="8"/>
        <v>405.96</v>
      </c>
    </row>
    <row r="21" spans="5:20" x14ac:dyDescent="0.2">
      <c r="E21" s="179"/>
      <c r="F21" s="12"/>
      <c r="L21" s="39">
        <f t="shared" si="3"/>
        <v>70000</v>
      </c>
      <c r="M21" s="28">
        <f t="shared" si="9"/>
        <v>260.85000000000002</v>
      </c>
      <c r="N21" s="28">
        <f t="shared" si="4"/>
        <v>82.8</v>
      </c>
      <c r="O21" s="28">
        <f t="shared" si="5"/>
        <v>343.65000000000003</v>
      </c>
      <c r="Q21" s="39">
        <f t="shared" si="6"/>
        <v>70000</v>
      </c>
      <c r="R21" s="28">
        <f t="shared" si="10"/>
        <v>376.01</v>
      </c>
      <c r="S21" s="28">
        <f t="shared" si="7"/>
        <v>119.8</v>
      </c>
      <c r="T21" s="28">
        <f t="shared" si="8"/>
        <v>495.81</v>
      </c>
    </row>
    <row r="22" spans="5:20" x14ac:dyDescent="0.2">
      <c r="E22" s="179"/>
      <c r="F22" s="12"/>
      <c r="L22" s="39">
        <f t="shared" si="3"/>
        <v>80000</v>
      </c>
      <c r="M22" s="28">
        <f t="shared" si="9"/>
        <v>260.85000000000002</v>
      </c>
      <c r="N22" s="28">
        <f t="shared" si="4"/>
        <v>124.19999999999999</v>
      </c>
      <c r="O22" s="28">
        <f t="shared" si="5"/>
        <v>385.05</v>
      </c>
      <c r="Q22" s="39">
        <f t="shared" si="6"/>
        <v>80000</v>
      </c>
      <c r="R22" s="28">
        <f t="shared" si="10"/>
        <v>376.01</v>
      </c>
      <c r="S22" s="28">
        <f t="shared" si="7"/>
        <v>179.7</v>
      </c>
      <c r="T22" s="28">
        <f t="shared" si="8"/>
        <v>555.71</v>
      </c>
    </row>
    <row r="23" spans="5:20" x14ac:dyDescent="0.2">
      <c r="E23" s="179"/>
      <c r="F23" s="12"/>
    </row>
    <row r="24" spans="5:20" x14ac:dyDescent="0.2">
      <c r="E24" s="179"/>
      <c r="F24" s="12"/>
    </row>
  </sheetData>
  <mergeCells count="2">
    <mergeCell ref="L7:O7"/>
    <mergeCell ref="Q7:T7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FF56E-C6CA-461D-AFAB-19BC586B54D7}">
  <dimension ref="A3:R22"/>
  <sheetViews>
    <sheetView workbookViewId="0">
      <selection activeCell="G11" sqref="G11"/>
    </sheetView>
  </sheetViews>
  <sheetFormatPr defaultRowHeight="15" x14ac:dyDescent="0.2"/>
  <cols>
    <col min="3" max="3" width="4.77734375" style="12" customWidth="1"/>
    <col min="4" max="5" width="10.77734375" style="12" customWidth="1"/>
    <col min="6" max="6" width="1.77734375" style="173" customWidth="1"/>
    <col min="7" max="7" width="10.77734375" style="12" customWidth="1"/>
    <col min="8" max="8" width="1.21875" style="12" customWidth="1"/>
    <col min="9" max="9" width="10.77734375" style="173" customWidth="1"/>
    <col min="10" max="10" width="10.77734375" style="12" customWidth="1"/>
    <col min="11" max="11" width="8.88671875" style="171"/>
    <col min="12" max="13" width="11.44140625" style="39" bestFit="1" customWidth="1"/>
    <col min="16" max="17" width="11.44140625" style="39" bestFit="1" customWidth="1"/>
  </cols>
  <sheetData>
    <row r="3" spans="1:18" x14ac:dyDescent="0.2">
      <c r="C3"/>
      <c r="D3"/>
      <c r="E3"/>
      <c r="F3"/>
      <c r="G3"/>
      <c r="H3"/>
      <c r="I3"/>
      <c r="J3"/>
    </row>
    <row r="4" spans="1:18" x14ac:dyDescent="0.2">
      <c r="C4"/>
      <c r="D4"/>
      <c r="E4"/>
      <c r="F4"/>
      <c r="G4"/>
      <c r="H4"/>
      <c r="I4"/>
      <c r="J4"/>
    </row>
    <row r="5" spans="1:18" x14ac:dyDescent="0.2">
      <c r="C5"/>
      <c r="D5"/>
      <c r="E5"/>
      <c r="F5"/>
      <c r="G5"/>
      <c r="H5"/>
      <c r="I5"/>
      <c r="J5"/>
    </row>
    <row r="7" spans="1:18" ht="15.75" x14ac:dyDescent="0.25">
      <c r="C7" s="172"/>
      <c r="I7" s="174"/>
      <c r="L7" s="359" t="s">
        <v>132</v>
      </c>
      <c r="M7" s="359"/>
      <c r="N7" s="359"/>
      <c r="P7" s="359" t="s">
        <v>132</v>
      </c>
      <c r="Q7" s="359"/>
      <c r="R7" s="359"/>
    </row>
    <row r="8" spans="1:18" ht="15.75" x14ac:dyDescent="0.25">
      <c r="A8" s="12" t="s">
        <v>136</v>
      </c>
      <c r="B8" s="30"/>
      <c r="D8" s="175"/>
      <c r="E8" s="108"/>
      <c r="F8" s="4"/>
      <c r="H8" s="30"/>
      <c r="I8" s="12"/>
      <c r="J8" s="175"/>
      <c r="K8" s="108"/>
      <c r="M8" s="30"/>
      <c r="Q8" s="30">
        <f>M8</f>
        <v>0</v>
      </c>
    </row>
    <row r="9" spans="1:18" ht="15.75" x14ac:dyDescent="0.25">
      <c r="A9" s="25"/>
      <c r="B9" s="26"/>
      <c r="D9" s="176"/>
      <c r="E9" s="108"/>
      <c r="F9" s="4"/>
      <c r="G9" s="176"/>
      <c r="H9" s="108"/>
      <c r="I9" s="12"/>
      <c r="M9" s="177">
        <f>D10</f>
        <v>3.0699999999999998E-3</v>
      </c>
      <c r="Q9" s="177">
        <f>G10</f>
        <v>4.45E-3</v>
      </c>
    </row>
    <row r="10" spans="1:18" x14ac:dyDescent="0.2">
      <c r="A10" s="25"/>
      <c r="B10" s="26">
        <f>SUM(B9:B9)</f>
        <v>0</v>
      </c>
      <c r="C10" s="12" t="s">
        <v>56</v>
      </c>
      <c r="D10" s="178">
        <f>'Rates Comp OR'!F45</f>
        <v>3.0699999999999998E-3</v>
      </c>
      <c r="E10" s="108" t="s">
        <v>84</v>
      </c>
      <c r="F10" s="12"/>
      <c r="G10" s="178">
        <f>'Rates Comp OR'!I45</f>
        <v>4.45E-3</v>
      </c>
      <c r="H10" s="108" t="s">
        <v>84</v>
      </c>
      <c r="I10" s="12"/>
      <c r="L10" s="39">
        <v>120000</v>
      </c>
      <c r="M10" s="39">
        <f>L10</f>
        <v>120000</v>
      </c>
      <c r="N10" s="39">
        <f>SUM(M10:M10)</f>
        <v>120000</v>
      </c>
      <c r="P10" s="39">
        <f t="shared" ref="P10:Q14" si="0">L10</f>
        <v>120000</v>
      </c>
      <c r="Q10" s="39">
        <f t="shared" si="0"/>
        <v>120000</v>
      </c>
    </row>
    <row r="11" spans="1:18" x14ac:dyDescent="0.2">
      <c r="L11" s="39">
        <v>140000</v>
      </c>
      <c r="M11" s="39">
        <f t="shared" ref="M11:M14" si="1">L11</f>
        <v>140000</v>
      </c>
      <c r="N11" s="39">
        <f>SUM(M11:M11)</f>
        <v>140000</v>
      </c>
      <c r="P11" s="39">
        <f t="shared" si="0"/>
        <v>140000</v>
      </c>
      <c r="Q11" s="39">
        <f t="shared" si="0"/>
        <v>140000</v>
      </c>
      <c r="R11" s="39">
        <f>SUM(Q11:Q11)</f>
        <v>140000</v>
      </c>
    </row>
    <row r="12" spans="1:18" x14ac:dyDescent="0.2">
      <c r="L12" s="39">
        <v>160000</v>
      </c>
      <c r="M12" s="39">
        <f t="shared" si="1"/>
        <v>160000</v>
      </c>
      <c r="N12" s="39">
        <f>SUM(M12:M12)</f>
        <v>160000</v>
      </c>
      <c r="P12" s="39">
        <f t="shared" si="0"/>
        <v>160000</v>
      </c>
      <c r="Q12" s="39">
        <f t="shared" si="0"/>
        <v>160000</v>
      </c>
      <c r="R12" s="39">
        <f>SUM(Q12:Q12)</f>
        <v>160000</v>
      </c>
    </row>
    <row r="13" spans="1:18" x14ac:dyDescent="0.2">
      <c r="L13" s="39">
        <v>180000</v>
      </c>
      <c r="M13" s="39">
        <f t="shared" si="1"/>
        <v>180000</v>
      </c>
      <c r="N13" s="39">
        <f>SUM(M13:M13)</f>
        <v>180000</v>
      </c>
      <c r="P13" s="39">
        <f t="shared" si="0"/>
        <v>180000</v>
      </c>
      <c r="Q13" s="39">
        <f t="shared" si="0"/>
        <v>180000</v>
      </c>
      <c r="R13" s="39">
        <f>SUM(Q13:Q13)</f>
        <v>180000</v>
      </c>
    </row>
    <row r="14" spans="1:18" x14ac:dyDescent="0.2">
      <c r="L14" s="39">
        <v>200000</v>
      </c>
      <c r="M14" s="39">
        <f t="shared" si="1"/>
        <v>200000</v>
      </c>
      <c r="N14" s="39">
        <f>SUM(M14:M14)</f>
        <v>200000</v>
      </c>
      <c r="P14" s="39">
        <f t="shared" si="0"/>
        <v>200000</v>
      </c>
      <c r="Q14" s="39">
        <f t="shared" si="0"/>
        <v>200000</v>
      </c>
      <c r="R14" s="39">
        <f>SUM(Q14:Q14)</f>
        <v>200000</v>
      </c>
    </row>
    <row r="15" spans="1:18" x14ac:dyDescent="0.2">
      <c r="E15" s="179"/>
      <c r="F15" s="12"/>
    </row>
    <row r="16" spans="1:18" x14ac:dyDescent="0.2">
      <c r="E16" s="179"/>
      <c r="F16" s="12"/>
      <c r="L16" s="39">
        <f>L10</f>
        <v>120000</v>
      </c>
      <c r="M16" s="28">
        <f>M10*M$9</f>
        <v>368.4</v>
      </c>
      <c r="N16" s="28">
        <f>SUM(M16:M16)</f>
        <v>368.4</v>
      </c>
      <c r="P16" s="39">
        <f>L16</f>
        <v>120000</v>
      </c>
      <c r="Q16" s="28">
        <f>Q10*Q$9</f>
        <v>534</v>
      </c>
      <c r="R16" s="28">
        <f>SUM(Q16:Q16)</f>
        <v>534</v>
      </c>
    </row>
    <row r="17" spans="5:18" x14ac:dyDescent="0.2">
      <c r="E17" s="179"/>
      <c r="F17" s="12"/>
      <c r="L17" s="39">
        <f>L11</f>
        <v>140000</v>
      </c>
      <c r="M17" s="28">
        <f>M11*M$9</f>
        <v>429.79999999999995</v>
      </c>
      <c r="N17" s="28">
        <f>SUM(M17:M17)</f>
        <v>429.79999999999995</v>
      </c>
      <c r="P17" s="39">
        <f>L17</f>
        <v>140000</v>
      </c>
      <c r="Q17" s="28">
        <f>Q11*Q$9</f>
        <v>623</v>
      </c>
      <c r="R17" s="28">
        <f>SUM(Q17:Q17)</f>
        <v>623</v>
      </c>
    </row>
    <row r="18" spans="5:18" x14ac:dyDescent="0.2">
      <c r="E18" s="179"/>
      <c r="F18" s="12"/>
      <c r="L18" s="39">
        <f>L12</f>
        <v>160000</v>
      </c>
      <c r="M18" s="28">
        <f>M12*M$9</f>
        <v>491.2</v>
      </c>
      <c r="N18" s="28">
        <f>SUM(M18:M18)</f>
        <v>491.2</v>
      </c>
      <c r="P18" s="39">
        <f>L18</f>
        <v>160000</v>
      </c>
      <c r="Q18" s="28">
        <f>Q12*Q$9</f>
        <v>712</v>
      </c>
      <c r="R18" s="28">
        <f>SUM(Q18:Q18)</f>
        <v>712</v>
      </c>
    </row>
    <row r="19" spans="5:18" x14ac:dyDescent="0.2">
      <c r="E19" s="179"/>
      <c r="F19" s="12"/>
      <c r="L19" s="39">
        <f>L13</f>
        <v>180000</v>
      </c>
      <c r="M19" s="28">
        <f>M13*M$9</f>
        <v>552.6</v>
      </c>
      <c r="N19" s="28">
        <f>SUM(M19:M19)</f>
        <v>552.6</v>
      </c>
      <c r="P19" s="39">
        <f>L19</f>
        <v>180000</v>
      </c>
      <c r="Q19" s="28">
        <f>Q13*Q$9</f>
        <v>801</v>
      </c>
      <c r="R19" s="28">
        <f>SUM(Q19:Q19)</f>
        <v>801</v>
      </c>
    </row>
    <row r="20" spans="5:18" x14ac:dyDescent="0.2">
      <c r="E20" s="179"/>
      <c r="F20" s="12"/>
      <c r="L20" s="39">
        <f>L14</f>
        <v>200000</v>
      </c>
      <c r="M20" s="28">
        <f>M14*M$9</f>
        <v>614</v>
      </c>
      <c r="N20" s="28">
        <f>SUM(M20:M20)</f>
        <v>614</v>
      </c>
      <c r="P20" s="39">
        <f>L20</f>
        <v>200000</v>
      </c>
      <c r="Q20" s="28">
        <f>Q14*Q$9</f>
        <v>890</v>
      </c>
      <c r="R20" s="28">
        <f>SUM(Q20:Q20)</f>
        <v>890</v>
      </c>
    </row>
    <row r="21" spans="5:18" x14ac:dyDescent="0.2">
      <c r="E21" s="179"/>
      <c r="F21" s="12"/>
    </row>
    <row r="22" spans="5:18" x14ac:dyDescent="0.2">
      <c r="E22" s="179"/>
      <c r="F22" s="12"/>
    </row>
  </sheetData>
  <mergeCells count="2">
    <mergeCell ref="L7:N7"/>
    <mergeCell ref="P7:R7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980E5-A44E-4A07-B93C-E42D9B589B2A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1D6B0-9608-4EAE-BCF1-3A1A9DBBF066}">
  <dimension ref="A1:F49"/>
  <sheetViews>
    <sheetView topLeftCell="A25" workbookViewId="0">
      <selection activeCell="F42" sqref="F42"/>
    </sheetView>
  </sheetViews>
  <sheetFormatPr defaultColWidth="14.77734375" defaultRowHeight="15" x14ac:dyDescent="0.25"/>
  <cols>
    <col min="1" max="1" width="14.77734375" style="248"/>
    <col min="2" max="16384" width="14.77734375" style="250"/>
  </cols>
  <sheetData>
    <row r="1" spans="1:5" x14ac:dyDescent="0.25">
      <c r="B1" s="327" t="s">
        <v>185</v>
      </c>
      <c r="C1" s="327"/>
      <c r="D1" s="327"/>
    </row>
    <row r="2" spans="1:5" x14ac:dyDescent="0.25">
      <c r="B2" s="270"/>
      <c r="C2" s="270"/>
      <c r="D2" s="271" t="s">
        <v>232</v>
      </c>
    </row>
    <row r="3" spans="1:5" x14ac:dyDescent="0.25">
      <c r="B3" s="249" t="s">
        <v>186</v>
      </c>
      <c r="C3" s="249" t="s">
        <v>220</v>
      </c>
      <c r="D3" s="249" t="s">
        <v>233</v>
      </c>
      <c r="E3" s="249" t="s">
        <v>187</v>
      </c>
    </row>
    <row r="4" spans="1:5" x14ac:dyDescent="0.25">
      <c r="A4" s="248" t="s">
        <v>188</v>
      </c>
      <c r="B4" s="250">
        <v>11081000</v>
      </c>
      <c r="C4" s="250">
        <v>20424000</v>
      </c>
      <c r="D4" s="250">
        <f>SUM(B4,C4)</f>
        <v>31505000</v>
      </c>
      <c r="E4" s="250">
        <v>21261000</v>
      </c>
    </row>
    <row r="5" spans="1:5" x14ac:dyDescent="0.25">
      <c r="A5" s="248" t="s">
        <v>189</v>
      </c>
      <c r="B5" s="250">
        <v>11123000</v>
      </c>
      <c r="C5" s="250">
        <v>19877000</v>
      </c>
      <c r="D5" s="250">
        <f t="shared" ref="D5:D15" si="0">SUM(B5,C5)</f>
        <v>31000000</v>
      </c>
      <c r="E5" s="250">
        <v>19775000</v>
      </c>
    </row>
    <row r="6" spans="1:5" x14ac:dyDescent="0.25">
      <c r="A6" s="248" t="s">
        <v>190</v>
      </c>
      <c r="B6" s="250">
        <v>10739000</v>
      </c>
      <c r="C6" s="250">
        <v>17814000</v>
      </c>
      <c r="D6" s="250">
        <f t="shared" si="0"/>
        <v>28553000</v>
      </c>
      <c r="E6" s="250">
        <v>19241000</v>
      </c>
    </row>
    <row r="7" spans="1:5" x14ac:dyDescent="0.25">
      <c r="A7" s="248" t="s">
        <v>191</v>
      </c>
      <c r="B7" s="250">
        <v>11465000</v>
      </c>
      <c r="C7" s="250">
        <v>19259000</v>
      </c>
      <c r="D7" s="250">
        <f t="shared" si="0"/>
        <v>30724000</v>
      </c>
      <c r="E7" s="250">
        <v>19489000</v>
      </c>
    </row>
    <row r="8" spans="1:5" x14ac:dyDescent="0.25">
      <c r="A8" s="248" t="s">
        <v>192</v>
      </c>
      <c r="B8" s="250">
        <v>11357000</v>
      </c>
      <c r="C8" s="250">
        <v>18614000</v>
      </c>
      <c r="D8" s="250">
        <f t="shared" si="0"/>
        <v>29971000</v>
      </c>
      <c r="E8" s="250">
        <v>20900000</v>
      </c>
    </row>
    <row r="9" spans="1:5" x14ac:dyDescent="0.25">
      <c r="A9" s="248" t="s">
        <v>193</v>
      </c>
      <c r="B9" s="250">
        <v>13805000</v>
      </c>
      <c r="C9" s="250">
        <v>19598000</v>
      </c>
      <c r="D9" s="250">
        <f t="shared" si="0"/>
        <v>33403000</v>
      </c>
      <c r="E9" s="250">
        <v>26250000</v>
      </c>
    </row>
    <row r="10" spans="1:5" x14ac:dyDescent="0.25">
      <c r="A10" s="248" t="s">
        <v>194</v>
      </c>
      <c r="B10" s="250">
        <v>12839000</v>
      </c>
      <c r="C10" s="250">
        <v>19439000</v>
      </c>
      <c r="D10" s="250">
        <f t="shared" si="0"/>
        <v>32278000</v>
      </c>
      <c r="E10" s="250">
        <v>26434000</v>
      </c>
    </row>
    <row r="11" spans="1:5" x14ac:dyDescent="0.25">
      <c r="A11" s="248" t="s">
        <v>195</v>
      </c>
      <c r="B11" s="250">
        <v>14228000</v>
      </c>
      <c r="C11" s="250">
        <v>20541000</v>
      </c>
      <c r="D11" s="250">
        <f t="shared" si="0"/>
        <v>34769000</v>
      </c>
      <c r="E11" s="250">
        <v>25666000</v>
      </c>
    </row>
    <row r="12" spans="1:5" x14ac:dyDescent="0.25">
      <c r="A12" s="248" t="s">
        <v>196</v>
      </c>
      <c r="B12" s="250">
        <v>12395000</v>
      </c>
      <c r="C12" s="250">
        <v>21840000</v>
      </c>
      <c r="D12" s="250">
        <f t="shared" si="0"/>
        <v>34235000</v>
      </c>
      <c r="E12" s="250">
        <v>24788000</v>
      </c>
    </row>
    <row r="13" spans="1:5" x14ac:dyDescent="0.25">
      <c r="A13" s="248" t="s">
        <v>197</v>
      </c>
      <c r="B13" s="250">
        <v>11400000</v>
      </c>
      <c r="C13" s="250">
        <v>18621000</v>
      </c>
      <c r="D13" s="250">
        <f t="shared" si="0"/>
        <v>30021000</v>
      </c>
      <c r="E13" s="250">
        <v>23276000</v>
      </c>
    </row>
    <row r="14" spans="1:5" x14ac:dyDescent="0.25">
      <c r="A14" s="248" t="s">
        <v>198</v>
      </c>
      <c r="B14" s="250">
        <v>10997000</v>
      </c>
      <c r="C14" s="250">
        <v>22783000</v>
      </c>
      <c r="D14" s="250">
        <f t="shared" si="0"/>
        <v>33780000</v>
      </c>
      <c r="E14" s="250">
        <v>21350000</v>
      </c>
    </row>
    <row r="15" spans="1:5" ht="17.25" x14ac:dyDescent="0.4">
      <c r="A15" s="248" t="s">
        <v>199</v>
      </c>
      <c r="B15" s="251">
        <v>9759000</v>
      </c>
      <c r="C15" s="250">
        <v>33216000</v>
      </c>
      <c r="D15" s="250">
        <f t="shared" si="0"/>
        <v>42975000</v>
      </c>
      <c r="E15" s="251">
        <v>19179000</v>
      </c>
    </row>
    <row r="16" spans="1:5" x14ac:dyDescent="0.25">
      <c r="A16" s="248" t="s">
        <v>25</v>
      </c>
      <c r="B16" s="250">
        <f t="shared" ref="B16:D16" si="1">SUM(B4:B15)</f>
        <v>141188000</v>
      </c>
      <c r="C16" s="250">
        <f t="shared" si="1"/>
        <v>252026000</v>
      </c>
      <c r="D16" s="250">
        <f t="shared" si="1"/>
        <v>393214000</v>
      </c>
      <c r="E16" s="250">
        <f>SUM(E4:E15)</f>
        <v>267609000</v>
      </c>
    </row>
    <row r="19" spans="1:6" x14ac:dyDescent="0.25">
      <c r="A19" s="252" t="s">
        <v>200</v>
      </c>
      <c r="E19" s="250">
        <f>D16</f>
        <v>393214000</v>
      </c>
    </row>
    <row r="20" spans="1:6" x14ac:dyDescent="0.25">
      <c r="A20" s="252" t="s">
        <v>201</v>
      </c>
      <c r="E20" s="250">
        <f>-E16</f>
        <v>-267609000</v>
      </c>
      <c r="F20" s="253"/>
    </row>
    <row r="21" spans="1:6" x14ac:dyDescent="0.25">
      <c r="A21" s="252" t="s">
        <v>202</v>
      </c>
      <c r="E21" s="252"/>
      <c r="F21" s="253"/>
    </row>
    <row r="22" spans="1:6" x14ac:dyDescent="0.25">
      <c r="A22" s="253" t="s">
        <v>203</v>
      </c>
      <c r="C22" s="250">
        <v>0</v>
      </c>
      <c r="E22" s="252"/>
      <c r="F22" s="254"/>
    </row>
    <row r="23" spans="1:6" x14ac:dyDescent="0.25">
      <c r="A23" s="252" t="s">
        <v>204</v>
      </c>
      <c r="C23" s="250">
        <v>0</v>
      </c>
      <c r="E23" s="252"/>
      <c r="F23" s="253"/>
    </row>
    <row r="24" spans="1:6" x14ac:dyDescent="0.25">
      <c r="A24" s="252" t="s">
        <v>205</v>
      </c>
      <c r="C24" s="250">
        <v>0</v>
      </c>
      <c r="E24" s="252"/>
      <c r="F24" s="253"/>
    </row>
    <row r="25" spans="1:6" ht="17.25" x14ac:dyDescent="0.4">
      <c r="A25" s="252" t="s">
        <v>206</v>
      </c>
      <c r="C25" s="255">
        <v>0</v>
      </c>
      <c r="D25" s="250">
        <f>SUM(C22:C25)</f>
        <v>0</v>
      </c>
      <c r="E25" s="252"/>
      <c r="F25" s="253"/>
    </row>
    <row r="26" spans="1:6" x14ac:dyDescent="0.25">
      <c r="A26" s="252" t="s">
        <v>207</v>
      </c>
      <c r="C26" s="256">
        <v>420000</v>
      </c>
      <c r="E26" s="252"/>
      <c r="F26" s="253"/>
    </row>
    <row r="27" spans="1:6" x14ac:dyDescent="0.25">
      <c r="A27" s="252" t="s">
        <v>208</v>
      </c>
      <c r="C27" s="250">
        <v>2561000</v>
      </c>
      <c r="E27" s="252"/>
      <c r="F27" s="253"/>
    </row>
    <row r="28" spans="1:6" x14ac:dyDescent="0.25">
      <c r="A28" s="252" t="s">
        <v>209</v>
      </c>
      <c r="C28" s="256">
        <v>100000</v>
      </c>
      <c r="E28" s="252"/>
      <c r="F28" s="253"/>
    </row>
    <row r="29" spans="1:6" ht="17.25" x14ac:dyDescent="0.4">
      <c r="A29" s="252" t="s">
        <v>210</v>
      </c>
      <c r="C29" s="255">
        <v>54568000</v>
      </c>
      <c r="E29" s="252"/>
      <c r="F29" s="253"/>
    </row>
    <row r="30" spans="1:6" ht="17.25" x14ac:dyDescent="0.4">
      <c r="A30" s="252"/>
      <c r="B30" s="255"/>
      <c r="D30" s="252">
        <f>SUM(D19:D29)</f>
        <v>0</v>
      </c>
      <c r="E30" s="252">
        <f>SUM(E19:E29)</f>
        <v>125605000</v>
      </c>
      <c r="F30" s="253"/>
    </row>
    <row r="31" spans="1:6" ht="17.25" x14ac:dyDescent="0.4">
      <c r="A31" s="252"/>
      <c r="B31" s="255"/>
      <c r="D31" s="252"/>
      <c r="E31" s="252"/>
      <c r="F31" s="253"/>
    </row>
    <row r="32" spans="1:6" ht="17.25" x14ac:dyDescent="0.4">
      <c r="A32" s="252"/>
      <c r="B32" s="255"/>
      <c r="D32" s="252"/>
      <c r="E32" s="252"/>
      <c r="F32" s="253"/>
    </row>
    <row r="33" spans="1:6" ht="17.25" x14ac:dyDescent="0.4">
      <c r="A33" s="252"/>
      <c r="B33" s="255"/>
      <c r="D33" s="252"/>
      <c r="E33" s="252"/>
      <c r="F33" s="253"/>
    </row>
    <row r="34" spans="1:6" x14ac:dyDescent="0.25">
      <c r="A34" s="252"/>
      <c r="C34" s="250">
        <f>SUM(C26:C29)</f>
        <v>57649000</v>
      </c>
      <c r="D34" s="257">
        <f>ROUND(E30/E19,5)</f>
        <v>0.31942999999999999</v>
      </c>
      <c r="E34" s="252" t="s">
        <v>211</v>
      </c>
      <c r="F34" s="253"/>
    </row>
    <row r="35" spans="1:6" x14ac:dyDescent="0.25">
      <c r="A35" s="258" t="s">
        <v>212</v>
      </c>
      <c r="B35" s="250">
        <f>SUM(C20:C34)</f>
        <v>115298000</v>
      </c>
      <c r="D35" s="259">
        <v>0.15</v>
      </c>
      <c r="E35" s="252" t="s">
        <v>213</v>
      </c>
      <c r="F35" s="253"/>
    </row>
    <row r="36" spans="1:6" x14ac:dyDescent="0.25">
      <c r="A36" s="260"/>
      <c r="B36" s="252"/>
      <c r="C36" s="252"/>
      <c r="D36" s="261">
        <f>D34-D35</f>
        <v>0.16943</v>
      </c>
      <c r="E36" s="262" t="s">
        <v>214</v>
      </c>
      <c r="F36" s="253"/>
    </row>
    <row r="37" spans="1:6" x14ac:dyDescent="0.25">
      <c r="A37" s="253"/>
      <c r="B37" s="253"/>
      <c r="C37" s="253"/>
      <c r="D37" s="253"/>
      <c r="E37" s="253"/>
      <c r="F37" s="253"/>
    </row>
    <row r="38" spans="1:6" x14ac:dyDescent="0.25">
      <c r="A38" s="253"/>
      <c r="B38" s="253"/>
      <c r="C38" s="1" t="s">
        <v>215</v>
      </c>
      <c r="D38" s="1"/>
      <c r="E38" s="1" t="s">
        <v>215</v>
      </c>
      <c r="F38" s="1"/>
    </row>
    <row r="39" spans="1:6" x14ac:dyDescent="0.25">
      <c r="A39" s="253"/>
      <c r="B39" s="253"/>
      <c r="C39" s="2" t="s">
        <v>216</v>
      </c>
      <c r="D39" s="2" t="s">
        <v>176</v>
      </c>
      <c r="E39" s="2" t="s">
        <v>217</v>
      </c>
      <c r="F39" s="2" t="s">
        <v>38</v>
      </c>
    </row>
    <row r="40" spans="1:6" x14ac:dyDescent="0.25">
      <c r="A40" s="253" t="s">
        <v>218</v>
      </c>
      <c r="B40" s="253"/>
      <c r="C40" s="263">
        <f>'Water Rate Inc'!F10</f>
        <v>324828</v>
      </c>
      <c r="D40" s="263">
        <f>'SAO - DSC'!G30</f>
        <v>145723</v>
      </c>
      <c r="E40" s="263">
        <f>'SAO - DSC'!G29</f>
        <v>103380</v>
      </c>
      <c r="F40" s="263">
        <f>SUM(C40:E40)</f>
        <v>573931</v>
      </c>
    </row>
    <row r="41" spans="1:6" x14ac:dyDescent="0.25">
      <c r="A41" s="253" t="s">
        <v>219</v>
      </c>
      <c r="B41" s="253"/>
      <c r="C41" s="264">
        <f>-D36</f>
        <v>-0.16943</v>
      </c>
      <c r="D41" s="264">
        <f>-D36</f>
        <v>-0.16943</v>
      </c>
      <c r="E41" s="264">
        <f>-D36</f>
        <v>-0.16943</v>
      </c>
      <c r="F41" s="264">
        <f>-D36</f>
        <v>-0.16943</v>
      </c>
    </row>
    <row r="42" spans="1:6" ht="15.75" thickBot="1" x14ac:dyDescent="0.3">
      <c r="A42" s="262" t="s">
        <v>214</v>
      </c>
      <c r="B42" s="253"/>
      <c r="C42" s="265">
        <f>ROUND(C40*C41,0)</f>
        <v>-55036</v>
      </c>
      <c r="D42" s="265">
        <f>ROUND(D40*D41,0)</f>
        <v>-24690</v>
      </c>
      <c r="E42" s="265">
        <f>ROUND(E40*E41,0)</f>
        <v>-17516</v>
      </c>
      <c r="F42" s="265">
        <f>ROUND(F40*F41,0)</f>
        <v>-97241</v>
      </c>
    </row>
    <row r="43" spans="1:6" ht="15.75" thickTop="1" x14ac:dyDescent="0.25"/>
    <row r="45" spans="1:6" x14ac:dyDescent="0.25">
      <c r="A45" s="321" t="s">
        <v>286</v>
      </c>
      <c r="D45" s="250">
        <f>-F42</f>
        <v>97241</v>
      </c>
    </row>
    <row r="46" spans="1:6" x14ac:dyDescent="0.25">
      <c r="A46" s="321" t="s">
        <v>287</v>
      </c>
      <c r="D46" s="250">
        <f>ExBA!D10</f>
        <v>101979</v>
      </c>
    </row>
    <row r="47" spans="1:6" ht="15.75" thickBot="1" x14ac:dyDescent="0.3">
      <c r="A47" s="321" t="s">
        <v>276</v>
      </c>
      <c r="D47" s="320">
        <f>ROUND(D45/D46,2)</f>
        <v>0.95</v>
      </c>
    </row>
    <row r="48" spans="1:6" ht="15.75" thickTop="1" x14ac:dyDescent="0.25"/>
    <row r="49" spans="4:4" ht="15.75" x14ac:dyDescent="0.25">
      <c r="D49" s="113">
        <v>324828.40000000002</v>
      </c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5B440-7BA9-4E37-985A-C28451FAEE45}">
  <dimension ref="A7:J12"/>
  <sheetViews>
    <sheetView workbookViewId="0">
      <selection activeCell="F9" sqref="F9"/>
    </sheetView>
  </sheetViews>
  <sheetFormatPr defaultColWidth="14.77734375" defaultRowHeight="15" x14ac:dyDescent="0.2"/>
  <sheetData>
    <row r="7" spans="1:10" x14ac:dyDescent="0.2">
      <c r="A7" s="12" t="s">
        <v>12</v>
      </c>
      <c r="F7" s="39">
        <f>'SAO - DSC'!G34</f>
        <v>1112225</v>
      </c>
    </row>
    <row r="8" spans="1:10" x14ac:dyDescent="0.2">
      <c r="A8" s="12" t="s">
        <v>277</v>
      </c>
      <c r="F8" s="313">
        <v>0.1</v>
      </c>
    </row>
    <row r="9" spans="1:10" ht="15.75" thickBot="1" x14ac:dyDescent="0.25">
      <c r="A9" s="12" t="s">
        <v>13</v>
      </c>
      <c r="F9" s="244">
        <f>ROUND(F7*F8,0)</f>
        <v>111223</v>
      </c>
    </row>
    <row r="10" spans="1:10" ht="15.75" thickTop="1" x14ac:dyDescent="0.2"/>
    <row r="11" spans="1:10" x14ac:dyDescent="0.2">
      <c r="J11">
        <v>72</v>
      </c>
    </row>
    <row r="12" spans="1:10" x14ac:dyDescent="0.2">
      <c r="J12">
        <f>J11/12</f>
        <v>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E7074-2095-45A1-9A40-571E9ABA1E7F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BBF1E-8B45-468D-A9B5-028373EAF4AB}">
  <dimension ref="C2:S110"/>
  <sheetViews>
    <sheetView showGridLines="0" workbookViewId="0">
      <selection sqref="A1:XFD1048576"/>
    </sheetView>
  </sheetViews>
  <sheetFormatPr defaultRowHeight="15" x14ac:dyDescent="0.2"/>
  <cols>
    <col min="1" max="1" width="8.88671875" style="12"/>
    <col min="2" max="2" width="2.77734375" style="12" customWidth="1"/>
    <col min="3" max="3" width="13.109375" style="210" customWidth="1"/>
    <col min="4" max="4" width="43.77734375" style="12" customWidth="1"/>
    <col min="5" max="5" width="1.33203125" style="12" customWidth="1"/>
    <col min="6" max="6" width="12.77734375" style="12" customWidth="1"/>
    <col min="7" max="7" width="1.33203125" style="12" customWidth="1"/>
    <col min="8" max="8" width="12.77734375" style="273" customWidth="1"/>
    <col min="9" max="9" width="1.33203125" style="273" customWidth="1"/>
    <col min="10" max="10" width="12.77734375" style="273" customWidth="1"/>
    <col min="11" max="11" width="1.77734375" style="273" customWidth="1"/>
    <col min="12" max="12" width="12.77734375" style="273" customWidth="1"/>
    <col min="13" max="13" width="1.77734375" style="273" customWidth="1"/>
    <col min="14" max="14" width="12.77734375" style="273" customWidth="1"/>
    <col min="15" max="15" width="1.77734375" style="273" customWidth="1"/>
    <col min="16" max="16" width="12.77734375" style="273" customWidth="1"/>
    <col min="17" max="17" width="1.77734375" style="12" customWidth="1"/>
    <col min="18" max="18" width="2.77734375" style="12" customWidth="1"/>
    <col min="19" max="16384" width="8.88671875" style="12"/>
  </cols>
  <sheetData>
    <row r="2" spans="3:19" x14ac:dyDescent="0.2">
      <c r="C2" s="202"/>
    </row>
    <row r="3" spans="3:19" x14ac:dyDescent="0.2"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54"/>
      <c r="R3" s="54"/>
      <c r="S3" s="54"/>
    </row>
    <row r="4" spans="3:19" x14ac:dyDescent="0.2">
      <c r="C4" s="328"/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  <c r="Q4" s="54"/>
      <c r="R4" s="54"/>
      <c r="S4" s="54"/>
    </row>
    <row r="5" spans="3:19" x14ac:dyDescent="0.2"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8"/>
      <c r="Q5" s="54"/>
      <c r="R5" s="54"/>
      <c r="S5" s="54"/>
    </row>
    <row r="6" spans="3:19" x14ac:dyDescent="0.2"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</row>
    <row r="7" spans="3:19" x14ac:dyDescent="0.2">
      <c r="C7" s="50"/>
      <c r="D7" s="50"/>
      <c r="E7" s="50"/>
      <c r="F7" s="94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</row>
    <row r="8" spans="3:19" x14ac:dyDescent="0.2">
      <c r="F8" s="94"/>
      <c r="H8" s="272"/>
      <c r="J8" s="210"/>
      <c r="L8" s="272"/>
      <c r="N8" s="210"/>
    </row>
    <row r="9" spans="3:19" x14ac:dyDescent="0.2">
      <c r="E9" s="94"/>
      <c r="F9" s="94"/>
      <c r="G9" s="94"/>
      <c r="H9" s="272"/>
      <c r="I9" s="272"/>
      <c r="J9" s="272"/>
      <c r="L9" s="282"/>
      <c r="N9" s="272"/>
      <c r="P9" s="272"/>
    </row>
    <row r="10" spans="3:19" x14ac:dyDescent="0.2">
      <c r="D10" s="94"/>
      <c r="E10" s="94"/>
      <c r="F10" s="94"/>
      <c r="G10" s="94"/>
      <c r="H10" s="272"/>
      <c r="I10" s="272"/>
      <c r="J10" s="272"/>
      <c r="L10" s="272"/>
      <c r="N10" s="272"/>
      <c r="P10" s="272"/>
    </row>
    <row r="11" spans="3:19" x14ac:dyDescent="0.2">
      <c r="C11" s="283"/>
    </row>
    <row r="22" spans="8:8" x14ac:dyDescent="0.2"/>
    <row r="69" spans="3:16" x14ac:dyDescent="0.2">
      <c r="C69" s="202"/>
    </row>
    <row r="70" spans="3:16" x14ac:dyDescent="0.2">
      <c r="C70" s="328"/>
      <c r="D70" s="328"/>
      <c r="E70" s="328"/>
      <c r="F70" s="328"/>
      <c r="G70" s="328"/>
      <c r="H70" s="328"/>
      <c r="I70" s="328"/>
      <c r="J70" s="328"/>
      <c r="K70" s="328"/>
      <c r="L70" s="328"/>
      <c r="M70" s="328"/>
      <c r="N70" s="328"/>
      <c r="O70" s="328"/>
      <c r="P70" s="328"/>
    </row>
    <row r="71" spans="3:16" x14ac:dyDescent="0.2">
      <c r="C71" s="328"/>
      <c r="D71" s="328"/>
      <c r="E71" s="328"/>
      <c r="F71" s="328"/>
      <c r="G71" s="328"/>
      <c r="H71" s="328"/>
      <c r="I71" s="328"/>
      <c r="J71" s="328"/>
      <c r="K71" s="328"/>
      <c r="L71" s="328"/>
      <c r="M71" s="328"/>
      <c r="N71" s="328"/>
      <c r="O71" s="328"/>
      <c r="P71" s="328"/>
    </row>
    <row r="72" spans="3:16" x14ac:dyDescent="0.2">
      <c r="C72" s="328"/>
      <c r="D72" s="328"/>
      <c r="E72" s="328"/>
      <c r="F72" s="328"/>
      <c r="G72" s="328"/>
      <c r="H72" s="328"/>
      <c r="I72" s="328"/>
      <c r="J72" s="328"/>
      <c r="K72" s="328"/>
      <c r="L72" s="328"/>
      <c r="M72" s="328"/>
      <c r="N72" s="328"/>
      <c r="O72" s="328"/>
      <c r="P72" s="328"/>
    </row>
    <row r="73" spans="3:16" x14ac:dyDescent="0.2"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</row>
    <row r="74" spans="3:16" x14ac:dyDescent="0.2">
      <c r="C74" s="50"/>
      <c r="D74" s="50"/>
      <c r="E74" s="50"/>
      <c r="F74" s="94"/>
      <c r="G74" s="50"/>
      <c r="H74" s="50"/>
      <c r="I74" s="50"/>
      <c r="J74" s="50"/>
      <c r="K74" s="50"/>
      <c r="L74" s="50"/>
      <c r="M74" s="50"/>
      <c r="N74" s="50"/>
      <c r="O74" s="50"/>
      <c r="P74" s="50"/>
    </row>
    <row r="75" spans="3:16" x14ac:dyDescent="0.2">
      <c r="F75" s="94"/>
      <c r="H75" s="272"/>
      <c r="J75" s="210"/>
      <c r="L75" s="272"/>
      <c r="N75" s="210"/>
    </row>
    <row r="76" spans="3:16" x14ac:dyDescent="0.2">
      <c r="E76" s="94"/>
      <c r="F76" s="94"/>
      <c r="G76" s="94"/>
      <c r="H76" s="272"/>
      <c r="I76" s="272"/>
      <c r="J76" s="272"/>
      <c r="L76" s="282"/>
      <c r="N76" s="272"/>
      <c r="P76" s="272"/>
    </row>
    <row r="77" spans="3:16" x14ac:dyDescent="0.2">
      <c r="D77" s="94"/>
      <c r="E77" s="94"/>
      <c r="F77" s="94"/>
      <c r="G77" s="94"/>
      <c r="H77" s="272"/>
      <c r="I77" s="272"/>
      <c r="J77" s="272"/>
      <c r="L77" s="272"/>
      <c r="N77" s="272"/>
      <c r="P77" s="272"/>
    </row>
    <row r="79" spans="3:16" x14ac:dyDescent="0.2">
      <c r="C79" s="283"/>
    </row>
    <row r="85" spans="3:4" x14ac:dyDescent="0.2">
      <c r="C85" s="283"/>
    </row>
    <row r="90" spans="3:4" x14ac:dyDescent="0.2">
      <c r="D90" s="202"/>
    </row>
    <row r="92" spans="3:4" x14ac:dyDescent="0.2">
      <c r="C92" s="283"/>
    </row>
    <row r="97" spans="3:16" x14ac:dyDescent="0.2">
      <c r="C97" s="283"/>
    </row>
    <row r="99" spans="3:16" x14ac:dyDescent="0.2">
      <c r="J99" s="284"/>
      <c r="L99" s="284"/>
      <c r="N99" s="284"/>
      <c r="O99" s="284"/>
      <c r="P99" s="284"/>
    </row>
    <row r="101" spans="3:16" x14ac:dyDescent="0.2">
      <c r="C101" s="283"/>
    </row>
    <row r="102" spans="3:16" x14ac:dyDescent="0.2">
      <c r="C102" s="282"/>
    </row>
    <row r="103" spans="3:16" x14ac:dyDescent="0.2">
      <c r="C103" s="282"/>
    </row>
    <row r="104" spans="3:16" x14ac:dyDescent="0.2">
      <c r="C104" s="282"/>
    </row>
    <row r="108" spans="3:16" x14ac:dyDescent="0.2">
      <c r="C108" s="282"/>
    </row>
    <row r="110" spans="3:16" ht="15.75" x14ac:dyDescent="0.25">
      <c r="O110" s="285"/>
    </row>
  </sheetData>
  <mergeCells count="6">
    <mergeCell ref="C71:P71"/>
    <mergeCell ref="C72:P72"/>
    <mergeCell ref="C3:P3"/>
    <mergeCell ref="C4:P4"/>
    <mergeCell ref="C5:P5"/>
    <mergeCell ref="C70:P70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0C4A7-73C2-4CB9-B7A8-147219EFAA94}">
  <dimension ref="C2:S110"/>
  <sheetViews>
    <sheetView showGridLines="0" workbookViewId="0">
      <selection sqref="A1:XFD1048576"/>
    </sheetView>
  </sheetViews>
  <sheetFormatPr defaultRowHeight="15" x14ac:dyDescent="0.2"/>
  <cols>
    <col min="1" max="1" width="8.88671875" style="12"/>
    <col min="2" max="2" width="2.77734375" style="12" customWidth="1"/>
    <col min="3" max="3" width="13.109375" style="210" customWidth="1"/>
    <col min="4" max="4" width="43.77734375" style="12" customWidth="1"/>
    <col min="5" max="5" width="1.33203125" style="12" customWidth="1"/>
    <col min="6" max="6" width="12.77734375" style="12" customWidth="1"/>
    <col min="7" max="7" width="1.33203125" style="12" customWidth="1"/>
    <col min="8" max="8" width="12.77734375" style="273" customWidth="1"/>
    <col min="9" max="9" width="1.33203125" style="273" customWidth="1"/>
    <col min="10" max="10" width="12.77734375" style="273" customWidth="1"/>
    <col min="11" max="11" width="1.77734375" style="273" customWidth="1"/>
    <col min="12" max="12" width="12.77734375" style="273" customWidth="1"/>
    <col min="13" max="13" width="1.77734375" style="273" customWidth="1"/>
    <col min="14" max="14" width="12.77734375" style="273" customWidth="1"/>
    <col min="15" max="15" width="1.77734375" style="273" customWidth="1"/>
    <col min="16" max="16" width="12.77734375" style="273" customWidth="1"/>
    <col min="17" max="17" width="1.77734375" style="12" customWidth="1"/>
    <col min="18" max="18" width="2.77734375" style="12" customWidth="1"/>
    <col min="19" max="16384" width="8.88671875" style="12"/>
  </cols>
  <sheetData>
    <row r="2" spans="3:19" x14ac:dyDescent="0.2">
      <c r="C2" s="202"/>
    </row>
    <row r="3" spans="3:19" x14ac:dyDescent="0.2"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54"/>
      <c r="R3" s="54"/>
      <c r="S3" s="54"/>
    </row>
    <row r="4" spans="3:19" x14ac:dyDescent="0.2">
      <c r="C4" s="328"/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  <c r="Q4" s="54"/>
      <c r="R4" s="54"/>
      <c r="S4" s="54"/>
    </row>
    <row r="5" spans="3:19" x14ac:dyDescent="0.2"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8"/>
      <c r="Q5" s="54"/>
      <c r="R5" s="54"/>
      <c r="S5" s="54"/>
    </row>
    <row r="6" spans="3:19" x14ac:dyDescent="0.2"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</row>
    <row r="7" spans="3:19" x14ac:dyDescent="0.2">
      <c r="C7" s="50"/>
      <c r="D7" s="50"/>
      <c r="E7" s="50"/>
      <c r="F7" s="94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</row>
    <row r="8" spans="3:19" x14ac:dyDescent="0.2">
      <c r="F8" s="94"/>
      <c r="H8" s="272"/>
      <c r="J8" s="210"/>
      <c r="L8" s="272"/>
      <c r="N8" s="210"/>
    </row>
    <row r="9" spans="3:19" x14ac:dyDescent="0.2">
      <c r="E9" s="94"/>
      <c r="F9" s="94"/>
      <c r="G9" s="94"/>
      <c r="H9" s="272"/>
      <c r="I9" s="272"/>
      <c r="J9" s="272"/>
      <c r="L9" s="282"/>
      <c r="N9" s="272"/>
      <c r="P9" s="272"/>
    </row>
    <row r="10" spans="3:19" x14ac:dyDescent="0.2">
      <c r="D10" s="94"/>
      <c r="E10" s="94"/>
      <c r="F10" s="94"/>
      <c r="G10" s="94"/>
      <c r="H10" s="272"/>
      <c r="I10" s="272"/>
      <c r="J10" s="272"/>
      <c r="L10" s="272"/>
      <c r="N10" s="272"/>
      <c r="P10" s="272"/>
    </row>
    <row r="11" spans="3:19" x14ac:dyDescent="0.2">
      <c r="C11" s="283"/>
    </row>
    <row r="22" spans="8:8" x14ac:dyDescent="0.2"/>
    <row r="69" spans="3:16" x14ac:dyDescent="0.2">
      <c r="C69" s="202"/>
    </row>
    <row r="70" spans="3:16" x14ac:dyDescent="0.2">
      <c r="C70" s="328"/>
      <c r="D70" s="328"/>
      <c r="E70" s="328"/>
      <c r="F70" s="328"/>
      <c r="G70" s="328"/>
      <c r="H70" s="328"/>
      <c r="I70" s="328"/>
      <c r="J70" s="328"/>
      <c r="K70" s="328"/>
      <c r="L70" s="328"/>
      <c r="M70" s="328"/>
      <c r="N70" s="328"/>
      <c r="O70" s="328"/>
      <c r="P70" s="328"/>
    </row>
    <row r="71" spans="3:16" x14ac:dyDescent="0.2">
      <c r="C71" s="328"/>
      <c r="D71" s="328"/>
      <c r="E71" s="328"/>
      <c r="F71" s="328"/>
      <c r="G71" s="328"/>
      <c r="H71" s="328"/>
      <c r="I71" s="328"/>
      <c r="J71" s="328"/>
      <c r="K71" s="328"/>
      <c r="L71" s="328"/>
      <c r="M71" s="328"/>
      <c r="N71" s="328"/>
      <c r="O71" s="328"/>
      <c r="P71" s="328"/>
    </row>
    <row r="72" spans="3:16" x14ac:dyDescent="0.2">
      <c r="C72" s="328"/>
      <c r="D72" s="328"/>
      <c r="E72" s="328"/>
      <c r="F72" s="328"/>
      <c r="G72" s="328"/>
      <c r="H72" s="328"/>
      <c r="I72" s="328"/>
      <c r="J72" s="328"/>
      <c r="K72" s="328"/>
      <c r="L72" s="328"/>
      <c r="M72" s="328"/>
      <c r="N72" s="328"/>
      <c r="O72" s="328"/>
      <c r="P72" s="328"/>
    </row>
    <row r="73" spans="3:16" x14ac:dyDescent="0.2"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</row>
    <row r="74" spans="3:16" x14ac:dyDescent="0.2">
      <c r="C74" s="50"/>
      <c r="D74" s="50"/>
      <c r="E74" s="50"/>
      <c r="F74" s="94"/>
      <c r="G74" s="50"/>
      <c r="H74" s="50"/>
      <c r="I74" s="50"/>
      <c r="J74" s="50"/>
      <c r="K74" s="50"/>
      <c r="L74" s="50"/>
      <c r="M74" s="50"/>
      <c r="N74" s="50"/>
      <c r="O74" s="50"/>
      <c r="P74" s="50"/>
    </row>
    <row r="75" spans="3:16" x14ac:dyDescent="0.2">
      <c r="F75" s="94"/>
      <c r="H75" s="272"/>
      <c r="J75" s="210"/>
      <c r="L75" s="272"/>
      <c r="N75" s="210"/>
    </row>
    <row r="76" spans="3:16" x14ac:dyDescent="0.2">
      <c r="E76" s="94"/>
      <c r="F76" s="94"/>
      <c r="G76" s="94"/>
      <c r="H76" s="272"/>
      <c r="I76" s="272"/>
      <c r="J76" s="272"/>
      <c r="L76" s="282"/>
      <c r="N76" s="272"/>
      <c r="P76" s="272"/>
    </row>
    <row r="77" spans="3:16" x14ac:dyDescent="0.2">
      <c r="D77" s="94"/>
      <c r="E77" s="94"/>
      <c r="F77" s="94"/>
      <c r="G77" s="94"/>
      <c r="H77" s="272"/>
      <c r="I77" s="272"/>
      <c r="J77" s="272"/>
      <c r="L77" s="272"/>
      <c r="N77" s="272"/>
      <c r="P77" s="272"/>
    </row>
    <row r="79" spans="3:16" x14ac:dyDescent="0.2">
      <c r="C79" s="283"/>
    </row>
    <row r="85" spans="3:4" x14ac:dyDescent="0.2">
      <c r="C85" s="283"/>
    </row>
    <row r="90" spans="3:4" x14ac:dyDescent="0.2">
      <c r="D90" s="202"/>
    </row>
    <row r="92" spans="3:4" x14ac:dyDescent="0.2">
      <c r="C92" s="283"/>
    </row>
    <row r="97" spans="3:16" x14ac:dyDescent="0.2">
      <c r="C97" s="283"/>
    </row>
    <row r="99" spans="3:16" x14ac:dyDescent="0.2">
      <c r="J99" s="284"/>
      <c r="L99" s="284"/>
      <c r="N99" s="284"/>
      <c r="O99" s="284"/>
      <c r="P99" s="284"/>
    </row>
    <row r="101" spans="3:16" x14ac:dyDescent="0.2">
      <c r="C101" s="283"/>
    </row>
    <row r="102" spans="3:16" x14ac:dyDescent="0.2">
      <c r="C102" s="282"/>
    </row>
    <row r="103" spans="3:16" x14ac:dyDescent="0.2">
      <c r="C103" s="282"/>
    </row>
    <row r="104" spans="3:16" x14ac:dyDescent="0.2">
      <c r="C104" s="282"/>
    </row>
    <row r="108" spans="3:16" x14ac:dyDescent="0.2">
      <c r="C108" s="282"/>
    </row>
    <row r="110" spans="3:16" ht="15.75" x14ac:dyDescent="0.25">
      <c r="O110" s="285"/>
    </row>
  </sheetData>
  <mergeCells count="6">
    <mergeCell ref="C72:P72"/>
    <mergeCell ref="C3:P3"/>
    <mergeCell ref="C4:P4"/>
    <mergeCell ref="C5:P5"/>
    <mergeCell ref="C70:P70"/>
    <mergeCell ref="C71:P71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A6322-EB27-4857-8DB0-66A8F89221F2}">
  <dimension ref="A1:J46"/>
  <sheetViews>
    <sheetView topLeftCell="A15" workbookViewId="0">
      <selection activeCell="R39" sqref="R39"/>
    </sheetView>
  </sheetViews>
  <sheetFormatPr defaultRowHeight="15" x14ac:dyDescent="0.2"/>
  <cols>
    <col min="1" max="1" width="9.88671875" style="162" customWidth="1"/>
    <col min="2" max="2" width="1.33203125" style="147" customWidth="1"/>
    <col min="3" max="3" width="32.77734375" style="147" customWidth="1"/>
    <col min="4" max="4" width="1.109375" style="147" customWidth="1"/>
    <col min="5" max="5" width="9.88671875" style="147" customWidth="1"/>
    <col min="6" max="6" width="1.109375" style="147" customWidth="1"/>
    <col min="7" max="7" width="9.88671875" style="147" customWidth="1"/>
    <col min="8" max="8" width="1.33203125" style="147" customWidth="1"/>
    <col min="9" max="9" width="9.88671875" style="147" customWidth="1"/>
    <col min="10" max="10" width="1.33203125" style="147" customWidth="1"/>
    <col min="11" max="16384" width="8.88671875" style="147"/>
  </cols>
  <sheetData>
    <row r="1" spans="1:10" ht="15.75" x14ac:dyDescent="0.25">
      <c r="A1" s="144"/>
      <c r="B1" s="145"/>
      <c r="C1" s="145"/>
      <c r="D1" s="145"/>
      <c r="E1" s="146"/>
      <c r="F1" s="145"/>
      <c r="G1" s="146"/>
      <c r="H1" s="145"/>
      <c r="I1" s="146"/>
      <c r="J1" s="146"/>
    </row>
    <row r="2" spans="1:10" x14ac:dyDescent="0.2">
      <c r="A2" s="148"/>
      <c r="B2" s="12"/>
      <c r="C2" s="146"/>
      <c r="D2" s="146"/>
      <c r="E2" s="146"/>
      <c r="F2" s="146"/>
      <c r="G2" s="146"/>
      <c r="H2" s="146"/>
      <c r="I2" s="146"/>
      <c r="J2" s="146"/>
    </row>
    <row r="3" spans="1:10" x14ac:dyDescent="0.2">
      <c r="A3" s="148"/>
      <c r="B3" s="12"/>
      <c r="C3" s="146"/>
      <c r="D3" s="146"/>
      <c r="E3" s="146"/>
      <c r="F3" s="146"/>
      <c r="G3" s="146"/>
      <c r="H3" s="146"/>
      <c r="I3" s="146"/>
      <c r="J3" s="146"/>
    </row>
    <row r="4" spans="1:10" x14ac:dyDescent="0.2">
      <c r="A4" s="148"/>
      <c r="B4" s="12"/>
      <c r="C4" s="146"/>
      <c r="D4" s="146"/>
      <c r="E4" s="146"/>
      <c r="F4" s="146"/>
      <c r="G4" s="146"/>
      <c r="H4" s="146"/>
      <c r="I4" s="146"/>
      <c r="J4" s="146"/>
    </row>
    <row r="5" spans="1:10" x14ac:dyDescent="0.2">
      <c r="A5" s="149"/>
      <c r="B5" s="150"/>
      <c r="C5" s="151"/>
      <c r="D5" s="151"/>
      <c r="E5" s="329" t="s">
        <v>48</v>
      </c>
      <c r="F5" s="329"/>
      <c r="G5" s="329"/>
      <c r="H5" s="329"/>
      <c r="I5" s="329"/>
      <c r="J5" s="152"/>
    </row>
    <row r="6" spans="1:10" x14ac:dyDescent="0.2">
      <c r="A6" s="149" t="s">
        <v>48</v>
      </c>
      <c r="B6" s="150"/>
      <c r="C6" s="151"/>
      <c r="D6" s="151"/>
      <c r="E6" s="150"/>
      <c r="F6" s="151"/>
      <c r="G6" s="150"/>
      <c r="H6" s="150"/>
      <c r="I6" s="150" t="s">
        <v>95</v>
      </c>
      <c r="J6" s="150"/>
    </row>
    <row r="7" spans="1:10" x14ac:dyDescent="0.2">
      <c r="A7" s="149" t="s">
        <v>96</v>
      </c>
      <c r="B7" s="150"/>
      <c r="C7" s="150"/>
      <c r="D7" s="150"/>
      <c r="E7" s="330" t="s">
        <v>97</v>
      </c>
      <c r="F7" s="330"/>
      <c r="G7" s="330"/>
      <c r="H7" s="150"/>
      <c r="I7" s="150" t="s">
        <v>98</v>
      </c>
      <c r="J7" s="150"/>
    </row>
    <row r="8" spans="1:10" x14ac:dyDescent="0.2">
      <c r="A8" s="153" t="s">
        <v>99</v>
      </c>
      <c r="B8" s="150"/>
      <c r="C8" s="154" t="s">
        <v>100</v>
      </c>
      <c r="D8" s="150"/>
      <c r="E8" s="331" t="s">
        <v>101</v>
      </c>
      <c r="F8" s="331"/>
      <c r="G8" s="331"/>
      <c r="H8" s="150"/>
      <c r="I8" s="154" t="s">
        <v>1</v>
      </c>
      <c r="J8" s="150"/>
    </row>
    <row r="9" spans="1:10" x14ac:dyDescent="0.2">
      <c r="A9" s="155"/>
      <c r="B9" s="156"/>
      <c r="C9" s="12"/>
      <c r="D9" s="12"/>
      <c r="E9" s="12"/>
      <c r="F9" s="12"/>
      <c r="G9" s="12"/>
      <c r="H9" s="12"/>
      <c r="I9" s="12"/>
      <c r="J9" s="12"/>
    </row>
    <row r="10" spans="1:10" x14ac:dyDescent="0.2">
      <c r="A10" s="155"/>
      <c r="B10" s="156"/>
      <c r="C10" s="157" t="s">
        <v>102</v>
      </c>
      <c r="D10" s="157"/>
      <c r="E10" s="158"/>
      <c r="F10" s="157"/>
      <c r="G10" s="158"/>
      <c r="H10" s="159"/>
      <c r="I10" s="158"/>
      <c r="J10" s="158"/>
    </row>
    <row r="11" spans="1:10" x14ac:dyDescent="0.2">
      <c r="A11" s="155">
        <v>311</v>
      </c>
      <c r="B11" s="156"/>
      <c r="C11" s="12" t="s">
        <v>103</v>
      </c>
      <c r="D11" s="12"/>
      <c r="E11" s="155">
        <v>35</v>
      </c>
      <c r="F11" s="12"/>
      <c r="G11" s="155">
        <v>40</v>
      </c>
      <c r="H11" s="152"/>
      <c r="I11" s="155">
        <f t="shared" ref="I11:I17" si="0">ROUND((E11+G11)/2,1)</f>
        <v>37.5</v>
      </c>
      <c r="J11" s="155"/>
    </row>
    <row r="12" spans="1:10" x14ac:dyDescent="0.2">
      <c r="A12" s="155">
        <v>312</v>
      </c>
      <c r="B12" s="156"/>
      <c r="C12" s="12" t="s">
        <v>104</v>
      </c>
      <c r="D12" s="12"/>
      <c r="E12" s="155">
        <v>50</v>
      </c>
      <c r="F12" s="12"/>
      <c r="G12" s="155">
        <v>75</v>
      </c>
      <c r="H12" s="152"/>
      <c r="I12" s="155">
        <f t="shared" si="0"/>
        <v>62.5</v>
      </c>
      <c r="J12" s="155"/>
    </row>
    <row r="13" spans="1:10" x14ac:dyDescent="0.2">
      <c r="A13" s="155">
        <v>313</v>
      </c>
      <c r="B13" s="156"/>
      <c r="C13" s="12" t="s">
        <v>105</v>
      </c>
      <c r="D13" s="12"/>
      <c r="E13" s="155">
        <v>35</v>
      </c>
      <c r="F13" s="12"/>
      <c r="G13" s="155">
        <v>45</v>
      </c>
      <c r="H13" s="152"/>
      <c r="I13" s="155">
        <f t="shared" si="0"/>
        <v>40</v>
      </c>
      <c r="J13" s="155"/>
    </row>
    <row r="14" spans="1:10" x14ac:dyDescent="0.2">
      <c r="A14" s="155">
        <v>314</v>
      </c>
      <c r="B14" s="156"/>
      <c r="C14" s="12" t="s">
        <v>106</v>
      </c>
      <c r="D14" s="12"/>
      <c r="E14" s="155">
        <v>25</v>
      </c>
      <c r="F14" s="12"/>
      <c r="G14" s="155">
        <v>35</v>
      </c>
      <c r="H14" s="152"/>
      <c r="I14" s="155">
        <f t="shared" si="0"/>
        <v>30</v>
      </c>
      <c r="J14" s="155"/>
    </row>
    <row r="15" spans="1:10" x14ac:dyDescent="0.2">
      <c r="A15" s="155">
        <v>315</v>
      </c>
      <c r="B15" s="156"/>
      <c r="C15" s="12" t="s">
        <v>107</v>
      </c>
      <c r="D15" s="12"/>
      <c r="E15" s="155">
        <v>25</v>
      </c>
      <c r="F15" s="12"/>
      <c r="G15" s="155">
        <v>50</v>
      </c>
      <c r="H15" s="152"/>
      <c r="I15" s="155">
        <f t="shared" si="0"/>
        <v>37.5</v>
      </c>
      <c r="J15" s="155"/>
    </row>
    <row r="16" spans="1:10" x14ac:dyDescent="0.2">
      <c r="A16" s="155">
        <v>316</v>
      </c>
      <c r="B16" s="156"/>
      <c r="C16" s="12" t="s">
        <v>50</v>
      </c>
      <c r="D16" s="12"/>
      <c r="E16" s="155">
        <v>50</v>
      </c>
      <c r="F16" s="12"/>
      <c r="G16" s="155">
        <v>75</v>
      </c>
      <c r="H16" s="152"/>
      <c r="I16" s="155">
        <f t="shared" si="0"/>
        <v>62.5</v>
      </c>
      <c r="J16" s="155"/>
    </row>
    <row r="17" spans="1:10" x14ac:dyDescent="0.2">
      <c r="A17" s="155">
        <v>317</v>
      </c>
      <c r="B17" s="156"/>
      <c r="C17" s="12" t="s">
        <v>108</v>
      </c>
      <c r="D17" s="12"/>
      <c r="E17" s="155">
        <v>30</v>
      </c>
      <c r="F17" s="12"/>
      <c r="G17" s="155">
        <v>40</v>
      </c>
      <c r="H17" s="152"/>
      <c r="I17" s="155">
        <f t="shared" si="0"/>
        <v>35</v>
      </c>
      <c r="J17" s="155"/>
    </row>
    <row r="18" spans="1:10" x14ac:dyDescent="0.2">
      <c r="A18" s="155"/>
      <c r="B18" s="156"/>
      <c r="C18" s="12"/>
      <c r="D18" s="12"/>
      <c r="E18" s="148"/>
      <c r="F18" s="12"/>
      <c r="G18" s="148"/>
      <c r="H18" s="12"/>
      <c r="I18" s="148"/>
      <c r="J18" s="148"/>
    </row>
    <row r="19" spans="1:10" x14ac:dyDescent="0.2">
      <c r="A19" s="155"/>
      <c r="B19" s="156"/>
      <c r="C19" s="157" t="s">
        <v>109</v>
      </c>
      <c r="D19" s="157"/>
      <c r="E19" s="155"/>
      <c r="F19" s="157"/>
      <c r="G19" s="155"/>
      <c r="H19" s="152"/>
      <c r="I19" s="155"/>
      <c r="J19" s="155"/>
    </row>
    <row r="20" spans="1:10" x14ac:dyDescent="0.2">
      <c r="A20" s="155">
        <v>321</v>
      </c>
      <c r="B20" s="156"/>
      <c r="C20" s="12" t="s">
        <v>103</v>
      </c>
      <c r="D20" s="12"/>
      <c r="E20" s="155">
        <v>35</v>
      </c>
      <c r="F20" s="12"/>
      <c r="G20" s="155">
        <v>40</v>
      </c>
      <c r="H20" s="152"/>
      <c r="I20" s="155">
        <f t="shared" ref="I20:I36" si="1">ROUND((E20+G20)/2,1)</f>
        <v>37.5</v>
      </c>
      <c r="J20" s="155"/>
    </row>
    <row r="21" spans="1:10" x14ac:dyDescent="0.2">
      <c r="A21" s="155">
        <v>324.7</v>
      </c>
      <c r="B21" s="156"/>
      <c r="C21" s="12" t="s">
        <v>45</v>
      </c>
      <c r="D21" s="12"/>
      <c r="E21" s="155">
        <v>20</v>
      </c>
      <c r="F21" s="12"/>
      <c r="G21" s="155">
        <v>20</v>
      </c>
      <c r="H21" s="152"/>
      <c r="I21" s="155">
        <f t="shared" si="1"/>
        <v>20</v>
      </c>
      <c r="J21" s="155"/>
    </row>
    <row r="22" spans="1:10" x14ac:dyDescent="0.2">
      <c r="A22" s="155">
        <v>328</v>
      </c>
      <c r="B22" s="156"/>
      <c r="C22" s="12" t="s">
        <v>110</v>
      </c>
      <c r="D22" s="12"/>
      <c r="E22" s="155">
        <v>25</v>
      </c>
      <c r="F22" s="12"/>
      <c r="G22" s="155">
        <v>25</v>
      </c>
      <c r="H22" s="152"/>
      <c r="I22" s="155">
        <f t="shared" si="1"/>
        <v>25</v>
      </c>
      <c r="J22" s="155"/>
    </row>
    <row r="23" spans="1:10" x14ac:dyDescent="0.2">
      <c r="A23" s="155"/>
      <c r="B23" s="156"/>
      <c r="C23" s="12" t="s">
        <v>111</v>
      </c>
      <c r="D23" s="12"/>
      <c r="E23" s="155"/>
      <c r="F23" s="12"/>
      <c r="G23" s="155"/>
      <c r="H23" s="160"/>
      <c r="I23" s="155"/>
      <c r="J23" s="155"/>
    </row>
    <row r="24" spans="1:10" x14ac:dyDescent="0.2">
      <c r="A24" s="155"/>
      <c r="B24" s="156"/>
      <c r="C24" s="157" t="s">
        <v>112</v>
      </c>
      <c r="D24" s="12"/>
      <c r="E24" s="155"/>
      <c r="F24" s="12"/>
      <c r="G24" s="155"/>
      <c r="H24" s="160"/>
      <c r="I24" s="155"/>
      <c r="J24" s="155"/>
    </row>
    <row r="25" spans="1:10" x14ac:dyDescent="0.2">
      <c r="A25" s="155">
        <v>331</v>
      </c>
      <c r="B25" s="156"/>
      <c r="C25" s="12" t="s">
        <v>103</v>
      </c>
      <c r="D25" s="12"/>
      <c r="E25" s="155">
        <v>35</v>
      </c>
      <c r="F25" s="12"/>
      <c r="G25" s="155">
        <v>40</v>
      </c>
      <c r="H25" s="152"/>
      <c r="I25" s="155">
        <f>ROUND((E25+G25)/2,1)</f>
        <v>37.5</v>
      </c>
      <c r="J25" s="155"/>
    </row>
    <row r="26" spans="1:10" x14ac:dyDescent="0.2">
      <c r="A26" s="155">
        <v>332</v>
      </c>
      <c r="B26" s="156"/>
      <c r="C26" s="12" t="s">
        <v>113</v>
      </c>
      <c r="D26" s="12"/>
      <c r="E26" s="155">
        <v>20</v>
      </c>
      <c r="F26" s="12"/>
      <c r="G26" s="155">
        <v>35</v>
      </c>
      <c r="H26" s="152"/>
      <c r="I26" s="155">
        <f>ROUND((E26+G26)/2,1)</f>
        <v>27.5</v>
      </c>
      <c r="J26" s="155"/>
    </row>
    <row r="27" spans="1:10" x14ac:dyDescent="0.2">
      <c r="A27" s="155"/>
      <c r="B27" s="156"/>
      <c r="C27" s="12"/>
      <c r="D27" s="12"/>
      <c r="E27" s="155"/>
      <c r="F27" s="12"/>
      <c r="G27" s="155"/>
      <c r="H27" s="160"/>
      <c r="I27" s="155"/>
      <c r="J27" s="155"/>
    </row>
    <row r="28" spans="1:10" x14ac:dyDescent="0.2">
      <c r="A28" s="155"/>
      <c r="B28" s="156"/>
      <c r="C28" s="161" t="s">
        <v>114</v>
      </c>
      <c r="D28" s="157"/>
      <c r="E28" s="155"/>
      <c r="F28" s="157"/>
      <c r="G28" s="155"/>
      <c r="H28" s="152"/>
      <c r="I28" s="155"/>
      <c r="J28" s="155"/>
    </row>
    <row r="29" spans="1:10" x14ac:dyDescent="0.2">
      <c r="A29" s="155">
        <v>341</v>
      </c>
      <c r="B29" s="156"/>
      <c r="C29" s="12" t="s">
        <v>103</v>
      </c>
      <c r="D29" s="12"/>
      <c r="E29" s="155">
        <v>35</v>
      </c>
      <c r="F29" s="12"/>
      <c r="G29" s="155">
        <v>40</v>
      </c>
      <c r="H29" s="152"/>
      <c r="I29" s="155">
        <f t="shared" si="1"/>
        <v>37.5</v>
      </c>
      <c r="J29" s="155"/>
    </row>
    <row r="30" spans="1:10" x14ac:dyDescent="0.2">
      <c r="A30" s="155">
        <v>342</v>
      </c>
      <c r="B30" s="156"/>
      <c r="C30" s="12" t="s">
        <v>115</v>
      </c>
      <c r="D30" s="12"/>
      <c r="E30" s="155">
        <v>30</v>
      </c>
      <c r="F30" s="12"/>
      <c r="G30" s="155">
        <v>60</v>
      </c>
      <c r="H30" s="152"/>
      <c r="I30" s="155">
        <f t="shared" si="1"/>
        <v>45</v>
      </c>
      <c r="J30" s="155"/>
    </row>
    <row r="31" spans="1:10" x14ac:dyDescent="0.2">
      <c r="A31" s="155">
        <v>343</v>
      </c>
      <c r="B31" s="156"/>
      <c r="C31" s="12" t="s">
        <v>116</v>
      </c>
      <c r="D31" s="12"/>
      <c r="E31" s="155">
        <v>50</v>
      </c>
      <c r="F31" s="12"/>
      <c r="G31" s="155">
        <v>75</v>
      </c>
      <c r="H31" s="152"/>
      <c r="I31" s="155">
        <f t="shared" si="1"/>
        <v>62.5</v>
      </c>
      <c r="J31" s="155"/>
    </row>
    <row r="32" spans="1:10" x14ac:dyDescent="0.2">
      <c r="A32" s="155">
        <v>344</v>
      </c>
      <c r="B32" s="156"/>
      <c r="C32" s="12" t="s">
        <v>117</v>
      </c>
      <c r="D32" s="12"/>
      <c r="E32" s="155">
        <v>50</v>
      </c>
      <c r="F32" s="12"/>
      <c r="G32" s="155">
        <v>75</v>
      </c>
      <c r="H32" s="152"/>
      <c r="I32" s="155">
        <f t="shared" si="1"/>
        <v>62.5</v>
      </c>
      <c r="J32" s="155"/>
    </row>
    <row r="33" spans="1:10" x14ac:dyDescent="0.2">
      <c r="A33" s="155">
        <v>345</v>
      </c>
      <c r="B33" s="156"/>
      <c r="C33" s="12" t="s">
        <v>118</v>
      </c>
      <c r="D33" s="12"/>
      <c r="E33" s="155">
        <v>30</v>
      </c>
      <c r="F33" s="12"/>
      <c r="G33" s="155">
        <v>50</v>
      </c>
      <c r="H33" s="152"/>
      <c r="I33" s="155">
        <f t="shared" si="1"/>
        <v>40</v>
      </c>
      <c r="J33" s="155"/>
    </row>
    <row r="34" spans="1:10" x14ac:dyDescent="0.2">
      <c r="A34" s="155">
        <v>346</v>
      </c>
      <c r="B34" s="156"/>
      <c r="C34" s="12" t="s">
        <v>119</v>
      </c>
      <c r="D34" s="12"/>
      <c r="E34" s="155">
        <v>35</v>
      </c>
      <c r="F34" s="12"/>
      <c r="G34" s="155">
        <v>45</v>
      </c>
      <c r="H34" s="152"/>
      <c r="I34" s="155">
        <f t="shared" si="1"/>
        <v>40</v>
      </c>
      <c r="J34" s="155"/>
    </row>
    <row r="35" spans="1:10" x14ac:dyDescent="0.2">
      <c r="A35" s="155">
        <v>347</v>
      </c>
      <c r="B35" s="156"/>
      <c r="C35" s="12" t="s">
        <v>120</v>
      </c>
      <c r="D35" s="12"/>
      <c r="E35" s="155">
        <v>40</v>
      </c>
      <c r="F35" s="12"/>
      <c r="G35" s="155">
        <v>50</v>
      </c>
      <c r="H35" s="152"/>
      <c r="I35" s="155">
        <f t="shared" si="1"/>
        <v>45</v>
      </c>
      <c r="J35" s="155"/>
    </row>
    <row r="36" spans="1:10" x14ac:dyDescent="0.2">
      <c r="A36" s="155">
        <v>348</v>
      </c>
      <c r="B36" s="156"/>
      <c r="C36" s="12" t="s">
        <v>51</v>
      </c>
      <c r="D36" s="12"/>
      <c r="E36" s="155">
        <v>40</v>
      </c>
      <c r="F36" s="12"/>
      <c r="G36" s="155">
        <v>60</v>
      </c>
      <c r="H36" s="152"/>
      <c r="I36" s="155">
        <f t="shared" si="1"/>
        <v>50</v>
      </c>
      <c r="J36" s="155"/>
    </row>
    <row r="37" spans="1:10" x14ac:dyDescent="0.2">
      <c r="A37" s="155"/>
      <c r="B37" s="156"/>
      <c r="C37" s="12"/>
      <c r="D37" s="12"/>
      <c r="E37" s="155"/>
      <c r="F37" s="12"/>
      <c r="G37" s="155"/>
      <c r="H37" s="152"/>
      <c r="I37" s="155"/>
      <c r="J37" s="155"/>
    </row>
    <row r="38" spans="1:10" x14ac:dyDescent="0.2">
      <c r="A38" s="155"/>
      <c r="B38" s="156"/>
      <c r="C38" s="161" t="s">
        <v>121</v>
      </c>
      <c r="D38" s="157"/>
      <c r="E38" s="155"/>
      <c r="F38" s="157"/>
      <c r="G38" s="155"/>
      <c r="H38" s="152"/>
      <c r="I38" s="155"/>
      <c r="J38" s="155"/>
    </row>
    <row r="39" spans="1:10" x14ac:dyDescent="0.2">
      <c r="A39" s="155">
        <v>390</v>
      </c>
      <c r="B39" s="156"/>
      <c r="C39" s="12" t="s">
        <v>122</v>
      </c>
      <c r="D39" s="12"/>
      <c r="E39" s="155">
        <v>35</v>
      </c>
      <c r="F39" s="12"/>
      <c r="G39" s="155">
        <v>40</v>
      </c>
      <c r="H39" s="152"/>
      <c r="I39" s="155">
        <f t="shared" ref="I39:I46" si="2">ROUND((E39+G39)/2,1)</f>
        <v>37.5</v>
      </c>
      <c r="J39" s="155"/>
    </row>
    <row r="40" spans="1:10" x14ac:dyDescent="0.2">
      <c r="A40" s="155">
        <v>391</v>
      </c>
      <c r="B40" s="156"/>
      <c r="C40" s="12" t="s">
        <v>123</v>
      </c>
      <c r="D40" s="12"/>
      <c r="E40" s="155">
        <v>20</v>
      </c>
      <c r="F40" s="12"/>
      <c r="G40" s="155">
        <v>25</v>
      </c>
      <c r="H40" s="152"/>
      <c r="I40" s="155">
        <f t="shared" si="2"/>
        <v>22.5</v>
      </c>
      <c r="J40" s="155"/>
    </row>
    <row r="41" spans="1:10" x14ac:dyDescent="0.2">
      <c r="A41" s="155">
        <v>392</v>
      </c>
      <c r="B41" s="156"/>
      <c r="C41" s="12" t="s">
        <v>124</v>
      </c>
      <c r="D41" s="12"/>
      <c r="E41" s="155">
        <v>7</v>
      </c>
      <c r="F41" s="12"/>
      <c r="G41" s="155">
        <v>7</v>
      </c>
      <c r="H41" s="152"/>
      <c r="I41" s="155">
        <f t="shared" si="2"/>
        <v>7</v>
      </c>
      <c r="J41" s="155"/>
    </row>
    <row r="42" spans="1:10" x14ac:dyDescent="0.2">
      <c r="A42" s="155">
        <v>393</v>
      </c>
      <c r="B42" s="156"/>
      <c r="C42" s="12" t="s">
        <v>125</v>
      </c>
      <c r="D42" s="12"/>
      <c r="E42" s="155">
        <v>20</v>
      </c>
      <c r="F42" s="12"/>
      <c r="G42" s="155">
        <v>20</v>
      </c>
      <c r="H42" s="152"/>
      <c r="I42" s="155">
        <f t="shared" si="2"/>
        <v>20</v>
      </c>
      <c r="J42" s="155"/>
    </row>
    <row r="43" spans="1:10" x14ac:dyDescent="0.2">
      <c r="A43" s="155">
        <v>394</v>
      </c>
      <c r="B43" s="156"/>
      <c r="C43" s="12" t="s">
        <v>126</v>
      </c>
      <c r="D43" s="12"/>
      <c r="E43" s="155">
        <v>15</v>
      </c>
      <c r="F43" s="12"/>
      <c r="G43" s="155">
        <v>20</v>
      </c>
      <c r="H43" s="152"/>
      <c r="I43" s="155">
        <f t="shared" si="2"/>
        <v>17.5</v>
      </c>
      <c r="J43" s="155"/>
    </row>
    <row r="44" spans="1:10" x14ac:dyDescent="0.2">
      <c r="A44" s="155">
        <v>395</v>
      </c>
      <c r="B44" s="156"/>
      <c r="C44" s="12" t="s">
        <v>127</v>
      </c>
      <c r="D44" s="12"/>
      <c r="E44" s="155">
        <v>15</v>
      </c>
      <c r="F44" s="12"/>
      <c r="G44" s="155">
        <v>20</v>
      </c>
      <c r="H44" s="152"/>
      <c r="I44" s="155">
        <f t="shared" si="2"/>
        <v>17.5</v>
      </c>
      <c r="J44" s="155"/>
    </row>
    <row r="45" spans="1:10" x14ac:dyDescent="0.2">
      <c r="A45" s="155">
        <v>396</v>
      </c>
      <c r="B45" s="156"/>
      <c r="C45" s="12" t="s">
        <v>128</v>
      </c>
      <c r="D45" s="12"/>
      <c r="E45" s="155">
        <v>10</v>
      </c>
      <c r="F45" s="12"/>
      <c r="G45" s="155">
        <v>15</v>
      </c>
      <c r="H45" s="152"/>
      <c r="I45" s="155">
        <f t="shared" si="2"/>
        <v>12.5</v>
      </c>
      <c r="J45" s="155"/>
    </row>
    <row r="46" spans="1:10" x14ac:dyDescent="0.2">
      <c r="A46" s="155">
        <v>397</v>
      </c>
      <c r="B46" s="156"/>
      <c r="C46" s="12" t="s">
        <v>129</v>
      </c>
      <c r="D46" s="12"/>
      <c r="E46" s="155">
        <v>10</v>
      </c>
      <c r="F46" s="12"/>
      <c r="G46" s="155">
        <v>10</v>
      </c>
      <c r="H46" s="152"/>
      <c r="I46" s="155">
        <f t="shared" si="2"/>
        <v>10</v>
      </c>
      <c r="J46" s="155"/>
    </row>
  </sheetData>
  <mergeCells count="3">
    <mergeCell ref="E5:I5"/>
    <mergeCell ref="E7:G7"/>
    <mergeCell ref="E8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4</vt:i4>
      </vt:variant>
    </vt:vector>
  </HeadingPairs>
  <TitlesOfParts>
    <vt:vector size="37" baseType="lpstr">
      <vt:lpstr>SAO - DSC</vt:lpstr>
      <vt:lpstr>SAO - Op Ratio</vt:lpstr>
      <vt:lpstr>Water Rate Inc</vt:lpstr>
      <vt:lpstr>Cost Excess Water Loss</vt:lpstr>
      <vt:lpstr>Contractual Services</vt:lpstr>
      <vt:lpstr>Sheet2</vt:lpstr>
      <vt:lpstr>Dep Adj</vt:lpstr>
      <vt:lpstr>TY Dep Sch</vt:lpstr>
      <vt:lpstr>NARUC Dep Lives</vt:lpstr>
      <vt:lpstr>Debt Sch</vt:lpstr>
      <vt:lpstr>KIA Loan B11-02</vt:lpstr>
      <vt:lpstr>KIA Loan B07-03</vt:lpstr>
      <vt:lpstr>KIA Loan B05-04</vt:lpstr>
      <vt:lpstr>CurRates</vt:lpstr>
      <vt:lpstr>Rates Comp DSC</vt:lpstr>
      <vt:lpstr>Rates Comp OR</vt:lpstr>
      <vt:lpstr>ExBA</vt:lpstr>
      <vt:lpstr>BA Adj</vt:lpstr>
      <vt:lpstr>Pro BA DSC</vt:lpstr>
      <vt:lpstr>Prop BA OR</vt:lpstr>
      <vt:lpstr>Table A</vt:lpstr>
      <vt:lpstr>Tble B</vt:lpstr>
      <vt:lpstr>Table C</vt:lpstr>
      <vt:lpstr>Table D</vt:lpstr>
      <vt:lpstr>Cust Notice - OR</vt:lpstr>
      <vt:lpstr>34x58 Inch</vt:lpstr>
      <vt:lpstr>1-Inch</vt:lpstr>
      <vt:lpstr>1 1-2-Inch</vt:lpstr>
      <vt:lpstr>2-Inch</vt:lpstr>
      <vt:lpstr>3-Inch</vt:lpstr>
      <vt:lpstr>4-Inch</vt:lpstr>
      <vt:lpstr>Wholesale</vt:lpstr>
      <vt:lpstr>Blank</vt:lpstr>
      <vt:lpstr>CurRates!Print_Area</vt:lpstr>
      <vt:lpstr>'Debt Sch'!Print_Area</vt:lpstr>
      <vt:lpstr>ExBA!Print_Area</vt:lpstr>
      <vt:lpstr>'SAO - DSC'!Print_Area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Mark Frost</cp:lastModifiedBy>
  <cp:lastPrinted>2024-10-08T02:09:40Z</cp:lastPrinted>
  <dcterms:created xsi:type="dcterms:W3CDTF">2016-05-18T14:12:06Z</dcterms:created>
  <dcterms:modified xsi:type="dcterms:W3CDTF">2025-05-18T19:39:39Z</dcterms:modified>
</cp:coreProperties>
</file>