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PSC Case 2025-00053 - ESC Plan Amendment\PSC DR2\Archive\"/>
    </mc:Choice>
  </mc:AlternateContent>
  <xr:revisionPtr revIDLastSave="0" documentId="13_ncr:1_{CCFE7015-1130-44F0-8E06-1A30AA5EE6A7}" xr6:coauthVersionLast="47" xr6:coauthVersionMax="47" xr10:uidLastSave="{00000000-0000-0000-0000-000000000000}"/>
  <bookViews>
    <workbookView xWindow="2640" yWindow="2640" windowWidth="38700" windowHeight="15285" xr2:uid="{00000000-000D-0000-FFFF-FFFF00000000}"/>
  </bookViews>
  <sheets>
    <sheet name="Rate of Return" sheetId="1" r:id="rId1"/>
    <sheet name="LTD Interest Rates" sheetId="2" r:id="rId2"/>
  </sheets>
  <definedNames>
    <definedName name="CTC_detail" localSheetId="0">#REF!</definedName>
    <definedName name="CTC_detail">#REF!</definedName>
    <definedName name="Feb_pmt" localSheetId="0">#REF!</definedName>
    <definedName name="Feb_pmt">#REF!</definedName>
    <definedName name="first_quarter" localSheetId="0">#REF!</definedName>
    <definedName name="first_quarter">#REF!</definedName>
    <definedName name="fourth_quarter" localSheetId="0">#REF!</definedName>
    <definedName name="fourth_quarter">#REF!</definedName>
    <definedName name="_xlnm.Print_Area" localSheetId="0">'Rate of Return'!$A$1:$J$42</definedName>
    <definedName name="Print_Area_MI" localSheetId="0">#REF!</definedName>
    <definedName name="Print_Area_MI">#REF!</definedName>
    <definedName name="second_quarter" localSheetId="0">#REF!</definedName>
    <definedName name="second_quarter">#REF!</definedName>
    <definedName name="third_quarter" localSheetId="0">#REF!</definedName>
    <definedName name="third_quart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6" i="2" l="1"/>
  <c r="E75" i="2"/>
  <c r="E74" i="2"/>
  <c r="E67" i="2"/>
  <c r="F7" i="1"/>
  <c r="E7" i="1"/>
  <c r="M23" i="2"/>
  <c r="E73" i="2" s="1"/>
  <c r="M37" i="2"/>
  <c r="M46" i="2"/>
  <c r="M59" i="2"/>
  <c r="H60" i="2"/>
  <c r="E72" i="2" s="1"/>
  <c r="C56" i="2"/>
  <c r="E69" i="2" s="1"/>
  <c r="C32" i="2"/>
  <c r="E68" i="2" s="1"/>
  <c r="C18" i="2"/>
  <c r="G35" i="1"/>
  <c r="G34" i="1"/>
  <c r="G33" i="1"/>
  <c r="G32" i="1"/>
  <c r="G31" i="1"/>
  <c r="G30" i="1"/>
  <c r="G29" i="1"/>
  <c r="G28" i="1"/>
  <c r="G27" i="1"/>
  <c r="G26" i="1"/>
  <c r="G23" i="1"/>
  <c r="G22" i="1"/>
  <c r="L59" i="2" l="1"/>
  <c r="D76" i="2" s="1"/>
  <c r="O55" i="2"/>
  <c r="O56" i="2"/>
  <c r="O57" i="2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O54" i="2"/>
  <c r="O53" i="2"/>
  <c r="O52" i="2"/>
  <c r="O59" i="2" l="1"/>
  <c r="N59" i="2" s="1"/>
  <c r="D37" i="1"/>
  <c r="M50" i="2"/>
  <c r="M41" i="2"/>
  <c r="M27" i="2"/>
  <c r="M12" i="2"/>
  <c r="L46" i="2"/>
  <c r="D75" i="2" s="1"/>
  <c r="O44" i="2"/>
  <c r="O43" i="2"/>
  <c r="L37" i="2"/>
  <c r="D74" i="2" s="1"/>
  <c r="O35" i="2"/>
  <c r="O34" i="2"/>
  <c r="O33" i="2"/>
  <c r="O32" i="2"/>
  <c r="O31" i="2"/>
  <c r="O30" i="2"/>
  <c r="O29" i="2"/>
  <c r="O28" i="2"/>
  <c r="L23" i="2"/>
  <c r="D73" i="2" s="1"/>
  <c r="O21" i="2"/>
  <c r="O20" i="2"/>
  <c r="O19" i="2"/>
  <c r="O18" i="2"/>
  <c r="O17" i="2"/>
  <c r="O16" i="2"/>
  <c r="O15" i="2"/>
  <c r="O14" i="2"/>
  <c r="O13" i="2"/>
  <c r="O23" i="2" s="1"/>
  <c r="H50" i="2"/>
  <c r="G60" i="2"/>
  <c r="D72" i="2" s="1"/>
  <c r="J58" i="2"/>
  <c r="J57" i="2"/>
  <c r="J56" i="2"/>
  <c r="J55" i="2"/>
  <c r="J54" i="2"/>
  <c r="J53" i="2"/>
  <c r="J52" i="2"/>
  <c r="B56" i="2"/>
  <c r="D69" i="2" s="1"/>
  <c r="E54" i="2"/>
  <c r="E53" i="2"/>
  <c r="E52" i="2"/>
  <c r="E51" i="2"/>
  <c r="E50" i="2"/>
  <c r="E49" i="2"/>
  <c r="E48" i="2"/>
  <c r="E47" i="2"/>
  <c r="H46" i="2"/>
  <c r="E71" i="2" s="1"/>
  <c r="G46" i="2"/>
  <c r="D71" i="2" s="1"/>
  <c r="E46" i="2"/>
  <c r="E45" i="2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J36" i="2"/>
  <c r="C36" i="2"/>
  <c r="J35" i="2"/>
  <c r="J34" i="2"/>
  <c r="H32" i="2"/>
  <c r="B32" i="2"/>
  <c r="D68" i="2" s="1"/>
  <c r="E30" i="2"/>
  <c r="E29" i="2"/>
  <c r="H28" i="2"/>
  <c r="E70" i="2" s="1"/>
  <c r="G28" i="2"/>
  <c r="D70" i="2" s="1"/>
  <c r="E28" i="2"/>
  <c r="E27" i="2"/>
  <c r="J26" i="2"/>
  <c r="E26" i="2"/>
  <c r="J25" i="2"/>
  <c r="E25" i="2"/>
  <c r="J24" i="2"/>
  <c r="E24" i="2"/>
  <c r="J23" i="2"/>
  <c r="J22" i="2"/>
  <c r="C22" i="2"/>
  <c r="J21" i="2"/>
  <c r="J20" i="2"/>
  <c r="J19" i="2"/>
  <c r="J18" i="2"/>
  <c r="B18" i="2"/>
  <c r="D67" i="2" s="1"/>
  <c r="J17" i="2"/>
  <c r="J16" i="2"/>
  <c r="E16" i="2"/>
  <c r="J15" i="2"/>
  <c r="E15" i="2"/>
  <c r="J14" i="2"/>
  <c r="E14" i="2"/>
  <c r="H12" i="2"/>
  <c r="E37" i="1"/>
  <c r="E78" i="2" l="1"/>
  <c r="G24" i="1"/>
  <c r="F76" i="2"/>
  <c r="E56" i="2"/>
  <c r="O46" i="2"/>
  <c r="N46" i="2" s="1"/>
  <c r="O37" i="2"/>
  <c r="E32" i="2"/>
  <c r="D32" i="2" s="1"/>
  <c r="E18" i="2"/>
  <c r="J46" i="2"/>
  <c r="I46" i="2" s="1"/>
  <c r="N37" i="2"/>
  <c r="F74" i="2" s="1"/>
  <c r="D56" i="2"/>
  <c r="J60" i="2"/>
  <c r="I60" i="2" s="1"/>
  <c r="F72" i="2" s="1"/>
  <c r="D18" i="2"/>
  <c r="F67" i="2" s="1"/>
  <c r="J28" i="2"/>
  <c r="I28" i="2" s="1"/>
  <c r="N23" i="2"/>
  <c r="F9" i="1"/>
  <c r="G19" i="1" l="1"/>
  <c r="F73" i="2"/>
  <c r="G15" i="1"/>
  <c r="F71" i="2"/>
  <c r="F78" i="2"/>
  <c r="G16" i="1"/>
  <c r="F69" i="2"/>
  <c r="G21" i="1"/>
  <c r="F75" i="2"/>
  <c r="G14" i="1"/>
  <c r="F70" i="2"/>
  <c r="G9" i="1"/>
  <c r="F68" i="2"/>
  <c r="G13" i="1"/>
  <c r="G20" i="1"/>
  <c r="G18" i="1"/>
  <c r="G17" i="1"/>
  <c r="G11" i="1"/>
  <c r="G12" i="1"/>
  <c r="G10" i="1"/>
  <c r="F37" i="1"/>
  <c r="H25" i="1" l="1"/>
  <c r="H27" i="1"/>
  <c r="H30" i="1"/>
  <c r="H24" i="1"/>
  <c r="H23" i="1"/>
  <c r="H26" i="1"/>
  <c r="H29" i="1"/>
  <c r="H34" i="1"/>
  <c r="H31" i="1"/>
  <c r="H32" i="1"/>
  <c r="H35" i="1"/>
  <c r="H28" i="1"/>
  <c r="H36" i="1"/>
  <c r="H22" i="1"/>
  <c r="H33" i="1"/>
  <c r="H21" i="1"/>
  <c r="H10" i="1"/>
  <c r="H12" i="1"/>
  <c r="H11" i="1"/>
  <c r="H17" i="1"/>
  <c r="H18" i="1"/>
  <c r="H20" i="1"/>
  <c r="H13" i="1"/>
  <c r="H15" i="1"/>
  <c r="H16" i="1"/>
  <c r="H14" i="1"/>
  <c r="H19" i="1"/>
  <c r="H9" i="1"/>
  <c r="H37" i="1" l="1"/>
  <c r="I37" i="1" s="1"/>
</calcChain>
</file>

<file path=xl/sharedStrings.xml><?xml version="1.0" encoding="utf-8"?>
<sst xmlns="http://schemas.openxmlformats.org/spreadsheetml/2006/main" count="269" uniqueCount="159">
  <si>
    <t>East Kentucky Power Cooperative, Inc.</t>
  </si>
  <si>
    <t>Page 1</t>
  </si>
  <si>
    <t>Determination of Rate of Return on Environmental Compliance Rate Base</t>
  </si>
  <si>
    <t>As of April 30, 2025</t>
  </si>
  <si>
    <t>Financing</t>
  </si>
  <si>
    <t>NBV</t>
  </si>
  <si>
    <t>CWIP</t>
  </si>
  <si>
    <t>Total Investment</t>
  </si>
  <si>
    <t>Weighted</t>
  </si>
  <si>
    <t>Rate of</t>
  </si>
  <si>
    <t>Source</t>
  </si>
  <si>
    <t>Cost</t>
  </si>
  <si>
    <t>Average</t>
  </si>
  <si>
    <t>Return</t>
  </si>
  <si>
    <t>Project No.</t>
  </si>
  <si>
    <t>Compliance Project</t>
  </si>
  <si>
    <t>(1)</t>
  </si>
  <si>
    <t>(2)</t>
  </si>
  <si>
    <t>(2b)</t>
  </si>
  <si>
    <t>(2c)</t>
  </si>
  <si>
    <t>(3)</t>
  </si>
  <si>
    <t>(4) = (2c)*(3)</t>
  </si>
  <si>
    <t>(5) = (4)*1.5</t>
  </si>
  <si>
    <t>Gilbert (Environmental Portion)</t>
  </si>
  <si>
    <t>Z-8</t>
  </si>
  <si>
    <t>Spurlock 1 - Precipitator</t>
  </si>
  <si>
    <t>Y-8</t>
  </si>
  <si>
    <t>Spurlock 1 - SCR</t>
  </si>
  <si>
    <t>Spurlock 2 - SCR</t>
  </si>
  <si>
    <t>Spurlock 1 Low Nox Burners</t>
  </si>
  <si>
    <t>AH-8</t>
  </si>
  <si>
    <t>Spurlock #2 Scrubber</t>
  </si>
  <si>
    <t>AG-8</t>
  </si>
  <si>
    <t>Spurlock #1 Scrubber</t>
  </si>
  <si>
    <t>Spurlock #4 (Environmental Portion)</t>
  </si>
  <si>
    <t>AD-8</t>
  </si>
  <si>
    <t>Spurlock #4 (Ash Silo Portion)</t>
  </si>
  <si>
    <t>Spurlock, Cooper&amp; Dale CEM Equip</t>
  </si>
  <si>
    <t>Air Quality Control System (CRP)</t>
  </si>
  <si>
    <t>AL-8</t>
  </si>
  <si>
    <t>Spurlock Landfill Expansion Land Only</t>
  </si>
  <si>
    <t>Spurlock Landfill Expansion</t>
  </si>
  <si>
    <t>AN-8</t>
  </si>
  <si>
    <t>Cooper 1 Tie in to Cooper Air Quality</t>
  </si>
  <si>
    <t>Smith Special Waste Landfill</t>
  </si>
  <si>
    <t>Spurlock CCR/ELG</t>
  </si>
  <si>
    <t>AS-48</t>
  </si>
  <si>
    <t>Spurlock CCR/ELG CWIP</t>
  </si>
  <si>
    <t>Credit Facility</t>
  </si>
  <si>
    <t>Cooper Landfill-Phases 1A &amp; 1B</t>
  </si>
  <si>
    <t>Spurlock Drainage Improvements</t>
  </si>
  <si>
    <t>Spurlock HG Compliance</t>
  </si>
  <si>
    <t xml:space="preserve">Spurlock Anhydrous Ammonia Sec Containment </t>
  </si>
  <si>
    <t xml:space="preserve">Spurlock Vacuum Truck Ash Transfer Station </t>
  </si>
  <si>
    <t>Spurlock Units 1 &amp; 2 Dry Sorbent Inject System</t>
  </si>
  <si>
    <t>Spurlock Coal Pile Retention Pond #2</t>
  </si>
  <si>
    <t>Cooper Treatment Plant pH Adjustment</t>
  </si>
  <si>
    <t>Spurlock Sediment Ponds Area D Landfill</t>
  </si>
  <si>
    <t>Spurlock Landfill, Area D, Phase 1 &amp; 2</t>
  </si>
  <si>
    <t>Spurlock Landfill, Area D, Phase 1 &amp; 2 CWIP</t>
  </si>
  <si>
    <t>The determination of the rate of return on environmental compliance rate base is calculated consistent with the approach that has been utilized since EKPC was originally authorized</t>
  </si>
  <si>
    <t>the environmental surcharge.  The only change is the addition and incorporation of a component related to construction work in progress ("CWIP") that is included in the surcharge.</t>
  </si>
  <si>
    <t>The interest rate used for the CWIP component reflects the interest rate for EKPC's credit facility as of April 30, 2025, consistent with the September 30, 2021 Order in</t>
  </si>
  <si>
    <t>Case No. 2021-00103.  The weighted average cost of debt is multiplied by the Times Interest Earned Ratio ("TIER") of 1.5.</t>
  </si>
  <si>
    <t>Page 2</t>
  </si>
  <si>
    <t>Determination of Rate of Return on Environmental Compliance Rate Base - Supporting Detail for Long-Term Debt Interest Rates</t>
  </si>
  <si>
    <t>Supporting Detail for Long-Term Debt Interest Rates</t>
  </si>
  <si>
    <t>Current</t>
  </si>
  <si>
    <t>Note</t>
  </si>
  <si>
    <t>liability</t>
  </si>
  <si>
    <t>Interest</t>
  </si>
  <si>
    <t>Yearly</t>
  </si>
  <si>
    <t>Y-8 30 year</t>
  </si>
  <si>
    <t>Number</t>
  </si>
  <si>
    <t>Rate</t>
  </si>
  <si>
    <t>AG-8 30 year</t>
  </si>
  <si>
    <t>AL-8 30 year</t>
  </si>
  <si>
    <t>H1210</t>
  </si>
  <si>
    <t>H0720</t>
  </si>
  <si>
    <t>H1035</t>
  </si>
  <si>
    <t>H1245</t>
  </si>
  <si>
    <t>H0960</t>
  </si>
  <si>
    <t>H1040</t>
  </si>
  <si>
    <t>H1250</t>
  </si>
  <si>
    <t>H1005</t>
  </si>
  <si>
    <t>H1045</t>
  </si>
  <si>
    <t>H1255</t>
  </si>
  <si>
    <t>H1050</t>
  </si>
  <si>
    <t>H1265</t>
  </si>
  <si>
    <t>H1055</t>
  </si>
  <si>
    <t>H1270</t>
  </si>
  <si>
    <t>H1060</t>
  </si>
  <si>
    <t>H1290</t>
  </si>
  <si>
    <t>H1070</t>
  </si>
  <si>
    <t>H1315</t>
  </si>
  <si>
    <t>H1115</t>
  </si>
  <si>
    <t>H1355</t>
  </si>
  <si>
    <t>Z-8 30 year</t>
  </si>
  <si>
    <t>H1130</t>
  </si>
  <si>
    <t>H1170</t>
  </si>
  <si>
    <t>H0825</t>
  </si>
  <si>
    <t>H1190</t>
  </si>
  <si>
    <t>H0830</t>
  </si>
  <si>
    <t>H1220</t>
  </si>
  <si>
    <t>H0840</t>
  </si>
  <si>
    <t>H1320</t>
  </si>
  <si>
    <t>H0845</t>
  </si>
  <si>
    <t>AN-8 30 year</t>
  </si>
  <si>
    <t>H0855</t>
  </si>
  <si>
    <t>F1395</t>
  </si>
  <si>
    <t>H0860</t>
  </si>
  <si>
    <t>H1025</t>
  </si>
  <si>
    <t>#5</t>
  </si>
  <si>
    <t>#7</t>
  </si>
  <si>
    <t>#9</t>
  </si>
  <si>
    <t>H1075</t>
  </si>
  <si>
    <t>#10</t>
  </si>
  <si>
    <t>AD-8 30 year</t>
  </si>
  <si>
    <t>H1085</t>
  </si>
  <si>
    <t>H1100</t>
  </si>
  <si>
    <t>H0935</t>
  </si>
  <si>
    <t>H1095</t>
  </si>
  <si>
    <t xml:space="preserve">H0940 </t>
  </si>
  <si>
    <t>H1105</t>
  </si>
  <si>
    <t xml:space="preserve">H0945 </t>
  </si>
  <si>
    <t>H1110</t>
  </si>
  <si>
    <t xml:space="preserve">H0955 </t>
  </si>
  <si>
    <t>H0965</t>
  </si>
  <si>
    <t>H0975</t>
  </si>
  <si>
    <t>#1</t>
  </si>
  <si>
    <t>H0980</t>
  </si>
  <si>
    <t>H0985</t>
  </si>
  <si>
    <t>H0995</t>
  </si>
  <si>
    <t>H1000</t>
  </si>
  <si>
    <t>H1010</t>
  </si>
  <si>
    <t>H1015</t>
  </si>
  <si>
    <t>H1020</t>
  </si>
  <si>
    <t>AH-8 30 year</t>
  </si>
  <si>
    <t>AS-48 30 year</t>
  </si>
  <si>
    <t>H1030</t>
  </si>
  <si>
    <t>H1065</t>
  </si>
  <si>
    <t>H1200</t>
  </si>
  <si>
    <t>#2</t>
  </si>
  <si>
    <t>H1215</t>
  </si>
  <si>
    <t>H1280</t>
  </si>
  <si>
    <t>H1275</t>
  </si>
  <si>
    <t>H1285</t>
  </si>
  <si>
    <t>#8</t>
  </si>
  <si>
    <t>H1305</t>
  </si>
  <si>
    <t>H1310</t>
  </si>
  <si>
    <t>#11</t>
  </si>
  <si>
    <t>H1325</t>
  </si>
  <si>
    <t>#12</t>
  </si>
  <si>
    <t>H1345</t>
  </si>
  <si>
    <t>Added Calculation for Data Request 2 - Response 15b</t>
  </si>
  <si>
    <t>Representive</t>
  </si>
  <si>
    <t>Project Number</t>
  </si>
  <si>
    <t>Current Liability</t>
  </si>
  <si>
    <t>← current liability weighted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</si>
</sst>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%"/>
    <numFmt numFmtId="166" formatCode="General_)"/>
    <numFmt numFmtId="167" formatCode="mm\-dd\-yy"/>
    <numFmt numFmtId="168" formatCode="_(* #,##0_);_(* \(#,##0\);_(* &quot;-&quot;??_);_(@_)"/>
    <numFmt numFmtId="169" formatCode="mm/dd/yy;@"/>
    <numFmt numFmtId="170" formatCode="0_);[Red]\(0\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Courier"/>
      <family val="3"/>
    </font>
    <font>
      <b/>
      <sz val="11"/>
      <color rgb="FFC00000"/>
      <name val="Arial"/>
      <family val="2"/>
    </font>
    <font>
      <sz val="12"/>
      <name val="Times New Roman"/>
      <family val="1"/>
    </font>
    <font>
      <b/>
      <u/>
      <sz val="11"/>
      <color rgb="FFC00000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2" fillId="0" borderId="0"/>
    <xf numFmtId="166" fontId="11" fillId="0" borderId="0"/>
    <xf numFmtId="4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2" applyFont="1" applyAlignment="1">
      <alignment horizontal="right"/>
    </xf>
    <xf numFmtId="0" fontId="3" fillId="0" borderId="0" xfId="2" applyFont="1"/>
    <xf numFmtId="0" fontId="2" fillId="0" borderId="0" xfId="2"/>
    <xf numFmtId="0" fontId="5" fillId="0" borderId="0" xfId="0" applyFont="1"/>
    <xf numFmtId="0" fontId="6" fillId="0" borderId="0" xfId="0" applyFont="1"/>
    <xf numFmtId="0" fontId="7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Fill="1"/>
    <xf numFmtId="44" fontId="0" fillId="0" borderId="0" xfId="0" applyNumberFormat="1" applyAlignment="1">
      <alignment horizontal="center"/>
    </xf>
    <xf numFmtId="44" fontId="8" fillId="0" borderId="0" xfId="2" applyNumberFormat="1" applyFont="1"/>
    <xf numFmtId="1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2" xfId="1" applyFont="1" applyFill="1" applyBorder="1"/>
    <xf numFmtId="165" fontId="0" fillId="0" borderId="2" xfId="0" applyNumberFormat="1" applyBorder="1" applyAlignment="1">
      <alignment horizontal="center"/>
    </xf>
    <xf numFmtId="0" fontId="8" fillId="0" borderId="0" xfId="2" applyFont="1"/>
    <xf numFmtId="0" fontId="0" fillId="0" borderId="0" xfId="0" applyAlignment="1">
      <alignment horizontal="right"/>
    </xf>
    <xf numFmtId="0" fontId="9" fillId="0" borderId="0" xfId="2" applyFont="1"/>
    <xf numFmtId="0" fontId="2" fillId="0" borderId="3" xfId="2" applyBorder="1"/>
    <xf numFmtId="0" fontId="2" fillId="0" borderId="4" xfId="2" applyBorder="1"/>
    <xf numFmtId="0" fontId="2" fillId="0" borderId="5" xfId="2" applyBorder="1"/>
    <xf numFmtId="166" fontId="12" fillId="0" borderId="6" xfId="3" applyFont="1" applyBorder="1" applyAlignment="1">
      <alignment horizontal="fill"/>
    </xf>
    <xf numFmtId="166" fontId="10" fillId="0" borderId="0" xfId="3" applyFont="1"/>
    <xf numFmtId="40" fontId="10" fillId="0" borderId="0" xfId="4" applyFont="1" applyFill="1" applyBorder="1" applyAlignment="1" applyProtection="1">
      <alignment horizontal="center"/>
    </xf>
    <xf numFmtId="165" fontId="10" fillId="0" borderId="0" xfId="3" applyNumberFormat="1" applyFont="1"/>
    <xf numFmtId="40" fontId="9" fillId="0" borderId="7" xfId="4" applyFont="1" applyFill="1" applyBorder="1"/>
    <xf numFmtId="166" fontId="14" fillId="0" borderId="6" xfId="3" applyFont="1" applyBorder="1"/>
    <xf numFmtId="166" fontId="12" fillId="0" borderId="6" xfId="3" applyFont="1" applyBorder="1"/>
    <xf numFmtId="166" fontId="10" fillId="0" borderId="0" xfId="3" applyFont="1" applyAlignment="1">
      <alignment horizontal="center"/>
    </xf>
    <xf numFmtId="165" fontId="10" fillId="0" borderId="0" xfId="3" applyNumberFormat="1" applyFont="1" applyAlignment="1">
      <alignment horizontal="center"/>
    </xf>
    <xf numFmtId="40" fontId="10" fillId="0" borderId="7" xfId="4" applyFont="1" applyFill="1" applyBorder="1" applyAlignment="1" applyProtection="1">
      <alignment horizontal="center"/>
    </xf>
    <xf numFmtId="0" fontId="2" fillId="0" borderId="6" xfId="2" applyBorder="1"/>
    <xf numFmtId="167" fontId="14" fillId="0" borderId="6" xfId="3" applyNumberFormat="1" applyFont="1" applyBorder="1"/>
    <xf numFmtId="167" fontId="15" fillId="0" borderId="0" xfId="3" applyNumberFormat="1" applyFont="1" applyAlignment="1">
      <alignment horizontal="center"/>
    </xf>
    <xf numFmtId="167" fontId="15" fillId="0" borderId="0" xfId="4" applyNumberFormat="1" applyFont="1" applyFill="1" applyBorder="1" applyAlignment="1" applyProtection="1">
      <alignment horizontal="center"/>
    </xf>
    <xf numFmtId="167" fontId="15" fillId="0" borderId="7" xfId="4" applyNumberFormat="1" applyFont="1" applyFill="1" applyBorder="1" applyAlignment="1" applyProtection="1">
      <alignment horizontal="center"/>
    </xf>
    <xf numFmtId="167" fontId="15" fillId="0" borderId="0" xfId="4" quotePrefix="1" applyNumberFormat="1" applyFont="1" applyFill="1" applyBorder="1" applyAlignment="1" applyProtection="1">
      <alignment horizontal="center"/>
    </xf>
    <xf numFmtId="167" fontId="16" fillId="0" borderId="0" xfId="3" applyNumberFormat="1" applyFont="1" applyAlignment="1">
      <alignment horizontal="center"/>
    </xf>
    <xf numFmtId="168" fontId="16" fillId="0" borderId="0" xfId="5" quotePrefix="1" applyNumberFormat="1" applyFont="1" applyFill="1" applyBorder="1" applyAlignment="1" applyProtection="1">
      <alignment horizontal="center"/>
    </xf>
    <xf numFmtId="167" fontId="16" fillId="0" borderId="7" xfId="4" applyNumberFormat="1" applyFont="1" applyFill="1" applyBorder="1" applyAlignment="1" applyProtection="1">
      <alignment horizontal="center"/>
    </xf>
    <xf numFmtId="166" fontId="9" fillId="0" borderId="0" xfId="3" applyFont="1" applyAlignment="1">
      <alignment horizontal="center"/>
    </xf>
    <xf numFmtId="38" fontId="9" fillId="0" borderId="0" xfId="4" applyNumberFormat="1" applyFont="1" applyFill="1" applyBorder="1" applyAlignment="1" applyProtection="1">
      <alignment horizontal="right"/>
    </xf>
    <xf numFmtId="165" fontId="9" fillId="0" borderId="0" xfId="3" applyNumberFormat="1" applyFont="1" applyAlignment="1">
      <alignment horizontal="center"/>
    </xf>
    <xf numFmtId="38" fontId="9" fillId="0" borderId="7" xfId="4" applyNumberFormat="1" applyFont="1" applyFill="1" applyBorder="1" applyAlignment="1" applyProtection="1">
      <alignment horizontal="right"/>
    </xf>
    <xf numFmtId="6" fontId="9" fillId="0" borderId="0" xfId="4" applyNumberFormat="1" applyFont="1" applyFill="1" applyBorder="1" applyProtection="1"/>
    <xf numFmtId="165" fontId="9" fillId="0" borderId="0" xfId="3" applyNumberFormat="1" applyFont="1" applyAlignment="1">
      <alignment horizontal="right"/>
    </xf>
    <xf numFmtId="6" fontId="9" fillId="0" borderId="7" xfId="4" applyNumberFormat="1" applyFont="1" applyFill="1" applyBorder="1" applyAlignment="1" applyProtection="1">
      <alignment horizontal="right"/>
    </xf>
    <xf numFmtId="169" fontId="12" fillId="0" borderId="6" xfId="3" applyNumberFormat="1" applyFont="1" applyBorder="1"/>
    <xf numFmtId="6" fontId="9" fillId="0" borderId="0" xfId="4" applyNumberFormat="1" applyFont="1" applyFill="1" applyBorder="1" applyAlignment="1" applyProtection="1">
      <alignment horizontal="right"/>
    </xf>
    <xf numFmtId="166" fontId="9" fillId="0" borderId="0" xfId="3" applyFont="1"/>
    <xf numFmtId="6" fontId="9" fillId="0" borderId="0" xfId="5" applyNumberFormat="1" applyFont="1" applyFill="1" applyBorder="1" applyAlignment="1" applyProtection="1">
      <alignment horizontal="right"/>
    </xf>
    <xf numFmtId="170" fontId="9" fillId="0" borderId="0" xfId="4" applyNumberFormat="1" applyFont="1" applyFill="1" applyBorder="1" applyAlignment="1">
      <alignment horizontal="center"/>
    </xf>
    <xf numFmtId="10" fontId="10" fillId="0" borderId="0" xfId="4" applyNumberFormat="1" applyFont="1" applyFill="1" applyBorder="1"/>
    <xf numFmtId="168" fontId="9" fillId="0" borderId="0" xfId="4" applyNumberFormat="1" applyFont="1" applyFill="1" applyBorder="1" applyAlignment="1">
      <alignment horizontal="center"/>
    </xf>
    <xf numFmtId="40" fontId="9" fillId="0" borderId="7" xfId="4" applyFont="1" applyFill="1" applyBorder="1" applyAlignment="1" applyProtection="1">
      <alignment horizontal="center"/>
    </xf>
    <xf numFmtId="166" fontId="9" fillId="0" borderId="6" xfId="3" applyFont="1" applyBorder="1"/>
    <xf numFmtId="10" fontId="10" fillId="0" borderId="0" xfId="4" applyNumberFormat="1" applyFont="1" applyFill="1" applyBorder="1" applyAlignment="1">
      <alignment horizontal="right"/>
    </xf>
    <xf numFmtId="6" fontId="9" fillId="0" borderId="7" xfId="4" applyNumberFormat="1" applyFont="1" applyFill="1" applyBorder="1" applyProtection="1"/>
    <xf numFmtId="167" fontId="16" fillId="0" borderId="0" xfId="4" quotePrefix="1" applyNumberFormat="1" applyFont="1" applyFill="1" applyBorder="1" applyAlignment="1" applyProtection="1">
      <alignment horizontal="center"/>
    </xf>
    <xf numFmtId="167" fontId="16" fillId="0" borderId="0" xfId="3" applyNumberFormat="1" applyFont="1" applyAlignment="1">
      <alignment horizontal="right"/>
    </xf>
    <xf numFmtId="165" fontId="9" fillId="0" borderId="0" xfId="3" applyNumberFormat="1" applyFont="1"/>
    <xf numFmtId="6" fontId="16" fillId="0" borderId="0" xfId="4" applyNumberFormat="1" applyFont="1" applyFill="1" applyBorder="1" applyAlignment="1" applyProtection="1">
      <alignment horizontal="right"/>
    </xf>
    <xf numFmtId="6" fontId="16" fillId="0" borderId="7" xfId="4" applyNumberFormat="1" applyFont="1" applyFill="1" applyBorder="1" applyAlignment="1" applyProtection="1">
      <alignment horizontal="right"/>
    </xf>
    <xf numFmtId="40" fontId="9" fillId="0" borderId="0" xfId="4" applyFont="1" applyFill="1" applyBorder="1" applyAlignment="1">
      <alignment horizontal="center"/>
    </xf>
    <xf numFmtId="40" fontId="9" fillId="0" borderId="0" xfId="4" applyFont="1" applyFill="1" applyBorder="1" applyProtection="1"/>
    <xf numFmtId="6" fontId="9" fillId="0" borderId="0" xfId="5" applyNumberFormat="1" applyFont="1" applyFill="1" applyBorder="1"/>
    <xf numFmtId="6" fontId="9" fillId="0" borderId="7" xfId="4" applyNumberFormat="1" applyFont="1" applyFill="1" applyBorder="1"/>
    <xf numFmtId="40" fontId="9" fillId="0" borderId="0" xfId="4" applyFont="1" applyFill="1" applyBorder="1"/>
    <xf numFmtId="6" fontId="9" fillId="0" borderId="7" xfId="4" applyNumberFormat="1" applyFont="1" applyFill="1" applyBorder="1" applyAlignment="1">
      <alignment horizontal="right"/>
    </xf>
    <xf numFmtId="6" fontId="9" fillId="0" borderId="0" xfId="4" applyNumberFormat="1" applyFont="1" applyFill="1" applyBorder="1"/>
    <xf numFmtId="166" fontId="12" fillId="0" borderId="8" xfId="3" applyFont="1" applyBorder="1"/>
    <xf numFmtId="0" fontId="2" fillId="0" borderId="1" xfId="2" applyBorder="1"/>
    <xf numFmtId="0" fontId="2" fillId="0" borderId="8" xfId="2" applyBorder="1"/>
    <xf numFmtId="0" fontId="2" fillId="0" borderId="9" xfId="2" applyBorder="1"/>
    <xf numFmtId="6" fontId="2" fillId="0" borderId="0" xfId="2" applyNumberFormat="1"/>
    <xf numFmtId="10" fontId="2" fillId="0" borderId="0" xfId="2" applyNumberFormat="1"/>
    <xf numFmtId="0" fontId="4" fillId="0" borderId="0" xfId="2" applyFont="1"/>
    <xf numFmtId="0" fontId="0" fillId="0" borderId="0" xfId="2" applyFont="1"/>
    <xf numFmtId="0" fontId="2" fillId="0" borderId="7" xfId="2" applyBorder="1"/>
    <xf numFmtId="6" fontId="9" fillId="0" borderId="0" xfId="4" applyNumberFormat="1" applyFont="1" applyFill="1" applyBorder="1" applyAlignment="1">
      <alignment horizontal="right"/>
    </xf>
    <xf numFmtId="166" fontId="12" fillId="0" borderId="0" xfId="3" applyFont="1"/>
    <xf numFmtId="8" fontId="2" fillId="0" borderId="0" xfId="2" applyNumberFormat="1"/>
    <xf numFmtId="10" fontId="2" fillId="0" borderId="0" xfId="8" applyNumberFormat="1" applyFont="1"/>
    <xf numFmtId="168" fontId="2" fillId="0" borderId="0" xfId="7" applyNumberFormat="1" applyFont="1"/>
    <xf numFmtId="0" fontId="17" fillId="0" borderId="0" xfId="2" applyFont="1"/>
    <xf numFmtId="0" fontId="3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9" fillId="0" borderId="3" xfId="2" applyFon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</cellXfs>
  <cellStyles count="9">
    <cellStyle name="Comma" xfId="7" builtinId="3"/>
    <cellStyle name="Comma 11 2" xfId="5" xr:uid="{00000000-0005-0000-0000-000000000000}"/>
    <cellStyle name="Comma 2" xfId="6" xr:uid="{00000000-0005-0000-0000-000001000000}"/>
    <cellStyle name="Comma_FFBACC97" xfId="4" xr:uid="{00000000-0005-0000-0000-000002000000}"/>
    <cellStyle name="Currency" xfId="1" builtinId="4"/>
    <cellStyle name="Normal" xfId="0" builtinId="0"/>
    <cellStyle name="Normal 3" xfId="2" xr:uid="{00000000-0005-0000-0000-000005000000}"/>
    <cellStyle name="Normal_FFBACC97" xfId="3" xr:uid="{00000000-0005-0000-0000-000006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8"/>
  <sheetViews>
    <sheetView tabSelected="1" workbookViewId="0">
      <selection activeCell="L4" sqref="L4"/>
    </sheetView>
  </sheetViews>
  <sheetFormatPr defaultRowHeight="12.75" x14ac:dyDescent="0.2"/>
  <cols>
    <col min="1" max="1" width="10.5703125" customWidth="1"/>
    <col min="2" max="2" width="43.5703125" customWidth="1"/>
    <col min="3" max="3" width="15.7109375" customWidth="1"/>
    <col min="4" max="4" width="17.28515625" bestFit="1" customWidth="1"/>
    <col min="5" max="5" width="15.7109375" customWidth="1"/>
    <col min="6" max="6" width="17.28515625" bestFit="1" customWidth="1"/>
    <col min="7" max="9" width="15.7109375" style="8" customWidth="1"/>
    <col min="10" max="10" width="15.7109375" customWidth="1"/>
  </cols>
  <sheetData>
    <row r="2" spans="1:10" ht="15" x14ac:dyDescent="0.2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1" t="s">
        <v>1</v>
      </c>
    </row>
    <row r="3" spans="1:10" ht="15" x14ac:dyDescent="0.2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2"/>
    </row>
    <row r="4" spans="1:10" ht="15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2"/>
    </row>
    <row r="5" spans="1:10" ht="15.75" x14ac:dyDescent="0.25">
      <c r="A5" s="4"/>
      <c r="B5" s="5"/>
      <c r="D5" s="6"/>
      <c r="G5" s="7"/>
    </row>
    <row r="6" spans="1:10" ht="15" customHeight="1" x14ac:dyDescent="0.2">
      <c r="C6" s="9" t="s">
        <v>4</v>
      </c>
      <c r="D6" s="8" t="s">
        <v>5</v>
      </c>
      <c r="E6" s="8" t="s">
        <v>6</v>
      </c>
      <c r="F6" s="8" t="s">
        <v>7</v>
      </c>
      <c r="H6" s="9" t="s">
        <v>8</v>
      </c>
      <c r="I6" s="8" t="s">
        <v>9</v>
      </c>
    </row>
    <row r="7" spans="1:10" ht="15" customHeight="1" x14ac:dyDescent="0.2">
      <c r="C7" s="8" t="s">
        <v>10</v>
      </c>
      <c r="D7" s="10">
        <v>45777</v>
      </c>
      <c r="E7" s="10">
        <f>D7</f>
        <v>45777</v>
      </c>
      <c r="F7" s="10">
        <f>D7</f>
        <v>45777</v>
      </c>
      <c r="G7" s="8" t="s">
        <v>11</v>
      </c>
      <c r="H7" s="9" t="s">
        <v>12</v>
      </c>
      <c r="I7" s="8" t="s">
        <v>13</v>
      </c>
    </row>
    <row r="8" spans="1:10" ht="15" customHeight="1" x14ac:dyDescent="0.2">
      <c r="A8" s="11" t="s">
        <v>14</v>
      </c>
      <c r="B8" s="11" t="s">
        <v>15</v>
      </c>
      <c r="C8" s="12" t="s">
        <v>16</v>
      </c>
      <c r="D8" s="12" t="s">
        <v>17</v>
      </c>
      <c r="E8" s="13" t="s">
        <v>18</v>
      </c>
      <c r="F8" s="13" t="s">
        <v>19</v>
      </c>
      <c r="G8" s="12" t="s">
        <v>20</v>
      </c>
      <c r="H8" s="13" t="s">
        <v>21</v>
      </c>
      <c r="I8" s="13" t="s">
        <v>22</v>
      </c>
      <c r="J8" s="14"/>
    </row>
    <row r="9" spans="1:10" ht="15" customHeight="1" x14ac:dyDescent="0.2">
      <c r="A9" s="8">
        <v>1</v>
      </c>
      <c r="B9" s="8" t="s">
        <v>23</v>
      </c>
      <c r="C9" s="8" t="s">
        <v>24</v>
      </c>
      <c r="D9" s="15">
        <v>39935179.135311209</v>
      </c>
      <c r="E9" s="16"/>
      <c r="F9" s="17">
        <f t="shared" ref="F9:F36" si="0">D9+E9</f>
        <v>39935179.135311209</v>
      </c>
      <c r="G9" s="18">
        <f>'LTD Interest Rates'!D32</f>
        <v>4.4490000000000002E-2</v>
      </c>
      <c r="H9" s="19">
        <f>ROUND((F9*G9)/$F$37,5)</f>
        <v>2.49E-3</v>
      </c>
    </row>
    <row r="10" spans="1:10" ht="15" customHeight="1" x14ac:dyDescent="0.2">
      <c r="A10" s="8">
        <v>2</v>
      </c>
      <c r="B10" s="8" t="s">
        <v>25</v>
      </c>
      <c r="C10" s="8" t="s">
        <v>26</v>
      </c>
      <c r="D10" s="15">
        <v>9007673.2463366315</v>
      </c>
      <c r="E10" s="16"/>
      <c r="F10" s="17">
        <f t="shared" si="0"/>
        <v>9007673.2463366315</v>
      </c>
      <c r="G10" s="18">
        <f>'LTD Interest Rates'!D18</f>
        <v>4.4089999999999997E-2</v>
      </c>
      <c r="H10" s="19">
        <f t="shared" ref="H10:H36" si="1">ROUND((F10*G10)/$F$37,5)</f>
        <v>5.5999999999999995E-4</v>
      </c>
    </row>
    <row r="11" spans="1:10" ht="15" customHeight="1" x14ac:dyDescent="0.2">
      <c r="A11" s="8">
        <v>3</v>
      </c>
      <c r="B11" s="8" t="s">
        <v>27</v>
      </c>
      <c r="C11" s="8" t="s">
        <v>26</v>
      </c>
      <c r="D11" s="15">
        <v>29669510.032178238</v>
      </c>
      <c r="E11" s="16"/>
      <c r="F11" s="17">
        <f t="shared" si="0"/>
        <v>29669510.032178238</v>
      </c>
      <c r="G11" s="18">
        <f>'LTD Interest Rates'!D18</f>
        <v>4.4089999999999997E-2</v>
      </c>
      <c r="H11" s="19">
        <f t="shared" si="1"/>
        <v>1.8400000000000001E-3</v>
      </c>
    </row>
    <row r="12" spans="1:10" ht="15" customHeight="1" x14ac:dyDescent="0.2">
      <c r="A12" s="8">
        <v>4</v>
      </c>
      <c r="B12" s="8" t="s">
        <v>28</v>
      </c>
      <c r="C12" s="8" t="s">
        <v>26</v>
      </c>
      <c r="D12" s="15">
        <v>15346200.789252333</v>
      </c>
      <c r="E12" s="16"/>
      <c r="F12" s="17">
        <f t="shared" si="0"/>
        <v>15346200.789252333</v>
      </c>
      <c r="G12" s="18">
        <f>'LTD Interest Rates'!D18</f>
        <v>4.4089999999999997E-2</v>
      </c>
      <c r="H12" s="19">
        <f t="shared" si="1"/>
        <v>9.5E-4</v>
      </c>
    </row>
    <row r="13" spans="1:10" ht="15" customHeight="1" x14ac:dyDescent="0.2">
      <c r="A13" s="8">
        <v>6</v>
      </c>
      <c r="B13" s="8" t="s">
        <v>29</v>
      </c>
      <c r="C13" s="8" t="s">
        <v>30</v>
      </c>
      <c r="D13" s="15">
        <v>1531332.4945500013</v>
      </c>
      <c r="E13" s="16"/>
      <c r="F13" s="17">
        <f t="shared" si="0"/>
        <v>1531332.4945500013</v>
      </c>
      <c r="G13" s="18">
        <f>'LTD Interest Rates'!I60</f>
        <v>2.5159999999999998E-2</v>
      </c>
      <c r="H13" s="19">
        <f t="shared" si="1"/>
        <v>5.0000000000000002E-5</v>
      </c>
    </row>
    <row r="14" spans="1:10" ht="15" customHeight="1" x14ac:dyDescent="0.2">
      <c r="A14" s="8">
        <v>7</v>
      </c>
      <c r="B14" s="8" t="s">
        <v>31</v>
      </c>
      <c r="C14" s="8" t="s">
        <v>32</v>
      </c>
      <c r="D14" s="15">
        <v>111299245.58000003</v>
      </c>
      <c r="E14" s="16"/>
      <c r="F14" s="17">
        <f t="shared" si="0"/>
        <v>111299245.58000003</v>
      </c>
      <c r="G14" s="18">
        <f>'LTD Interest Rates'!I28</f>
        <v>4.3889999999999998E-2</v>
      </c>
      <c r="H14" s="19">
        <f t="shared" si="1"/>
        <v>6.8500000000000002E-3</v>
      </c>
    </row>
    <row r="15" spans="1:10" ht="15" customHeight="1" x14ac:dyDescent="0.2">
      <c r="A15" s="8">
        <v>8</v>
      </c>
      <c r="B15" s="8" t="s">
        <v>33</v>
      </c>
      <c r="C15" s="8" t="s">
        <v>32</v>
      </c>
      <c r="D15" s="15">
        <v>79279134.24000001</v>
      </c>
      <c r="E15" s="16"/>
      <c r="F15" s="17">
        <f t="shared" si="0"/>
        <v>79279134.24000001</v>
      </c>
      <c r="G15" s="18">
        <f>'LTD Interest Rates'!I46</f>
        <v>4.2930000000000003E-2</v>
      </c>
      <c r="H15" s="19">
        <f t="shared" si="1"/>
        <v>4.7800000000000004E-3</v>
      </c>
    </row>
    <row r="16" spans="1:10" ht="15" customHeight="1" x14ac:dyDescent="0.2">
      <c r="A16" s="8">
        <v>9</v>
      </c>
      <c r="B16" s="8" t="s">
        <v>34</v>
      </c>
      <c r="C16" s="8" t="s">
        <v>35</v>
      </c>
      <c r="D16" s="15">
        <v>50769266.509999998</v>
      </c>
      <c r="E16" s="16"/>
      <c r="F16" s="17">
        <f t="shared" si="0"/>
        <v>50769266.509999998</v>
      </c>
      <c r="G16" s="18">
        <f>'LTD Interest Rates'!D56</f>
        <v>4.4179999999999997E-2</v>
      </c>
      <c r="H16" s="19">
        <f t="shared" si="1"/>
        <v>3.15E-3</v>
      </c>
    </row>
    <row r="17" spans="1:8" ht="15" customHeight="1" x14ac:dyDescent="0.2">
      <c r="A17" s="8">
        <v>9</v>
      </c>
      <c r="B17" s="8" t="s">
        <v>36</v>
      </c>
      <c r="C17" s="8" t="s">
        <v>30</v>
      </c>
      <c r="D17" s="15">
        <v>6724736.96</v>
      </c>
      <c r="E17" s="16"/>
      <c r="F17" s="17">
        <f t="shared" si="0"/>
        <v>6724736.96</v>
      </c>
      <c r="G17" s="18">
        <f>'LTD Interest Rates'!I60</f>
        <v>2.5159999999999998E-2</v>
      </c>
      <c r="H17" s="19">
        <f t="shared" si="1"/>
        <v>2.4000000000000001E-4</v>
      </c>
    </row>
    <row r="18" spans="1:8" ht="15" customHeight="1" x14ac:dyDescent="0.2">
      <c r="A18" s="8">
        <v>10</v>
      </c>
      <c r="B18" s="8" t="s">
        <v>37</v>
      </c>
      <c r="C18" s="8" t="s">
        <v>30</v>
      </c>
      <c r="D18" s="15">
        <v>1396192.4100000004</v>
      </c>
      <c r="E18" s="16"/>
      <c r="F18" s="17">
        <f t="shared" si="0"/>
        <v>1396192.4100000004</v>
      </c>
      <c r="G18" s="18">
        <f>'LTD Interest Rates'!I60</f>
        <v>2.5159999999999998E-2</v>
      </c>
      <c r="H18" s="19">
        <f t="shared" si="1"/>
        <v>5.0000000000000002E-5</v>
      </c>
    </row>
    <row r="19" spans="1:8" ht="15" customHeight="1" x14ac:dyDescent="0.2">
      <c r="A19" s="8">
        <v>11</v>
      </c>
      <c r="B19" s="8" t="s">
        <v>38</v>
      </c>
      <c r="C19" s="9" t="s">
        <v>39</v>
      </c>
      <c r="D19" s="15">
        <v>62534497.556962758</v>
      </c>
      <c r="E19" s="16"/>
      <c r="F19" s="17">
        <f t="shared" si="0"/>
        <v>62534497.556962758</v>
      </c>
      <c r="G19" s="18">
        <f>'LTD Interest Rates'!N23</f>
        <v>2.928E-2</v>
      </c>
      <c r="H19" s="19">
        <f t="shared" si="1"/>
        <v>2.5699999999999998E-3</v>
      </c>
    </row>
    <row r="20" spans="1:8" ht="15" customHeight="1" x14ac:dyDescent="0.2">
      <c r="A20" s="8">
        <v>12</v>
      </c>
      <c r="B20" s="8" t="s">
        <v>40</v>
      </c>
      <c r="C20" s="8" t="s">
        <v>30</v>
      </c>
      <c r="D20" s="15">
        <v>5311841.96</v>
      </c>
      <c r="E20" s="16"/>
      <c r="F20" s="17">
        <f t="shared" si="0"/>
        <v>5311841.96</v>
      </c>
      <c r="G20" s="18">
        <f>'LTD Interest Rates'!I60</f>
        <v>2.5159999999999998E-2</v>
      </c>
      <c r="H20" s="19">
        <f t="shared" si="1"/>
        <v>1.9000000000000001E-4</v>
      </c>
    </row>
    <row r="21" spans="1:8" ht="15" customHeight="1" x14ac:dyDescent="0.2">
      <c r="A21" s="8">
        <v>12</v>
      </c>
      <c r="B21" s="8" t="s">
        <v>41</v>
      </c>
      <c r="C21" s="8" t="s">
        <v>42</v>
      </c>
      <c r="D21" s="15">
        <v>19462515.809999999</v>
      </c>
      <c r="E21" s="16"/>
      <c r="F21" s="17">
        <f t="shared" si="0"/>
        <v>19462515.809999999</v>
      </c>
      <c r="G21" s="18">
        <f>'LTD Interest Rates'!N46</f>
        <v>3.1099999999999999E-2</v>
      </c>
      <c r="H21" s="19">
        <f t="shared" si="1"/>
        <v>8.4999999999999995E-4</v>
      </c>
    </row>
    <row r="22" spans="1:8" ht="15" customHeight="1" x14ac:dyDescent="0.2">
      <c r="A22" s="8">
        <v>14</v>
      </c>
      <c r="B22" s="8" t="s">
        <v>43</v>
      </c>
      <c r="C22" s="8" t="s">
        <v>42</v>
      </c>
      <c r="D22" s="15">
        <v>7225088.2600000016</v>
      </c>
      <c r="E22" s="16"/>
      <c r="F22" s="17">
        <f t="shared" si="0"/>
        <v>7225088.2600000016</v>
      </c>
      <c r="G22" s="18">
        <f>'LTD Interest Rates'!N28</f>
        <v>2.6790000000000001E-2</v>
      </c>
      <c r="H22" s="19">
        <f t="shared" si="1"/>
        <v>2.7E-4</v>
      </c>
    </row>
    <row r="23" spans="1:8" ht="15" customHeight="1" x14ac:dyDescent="0.2">
      <c r="A23" s="8">
        <v>15</v>
      </c>
      <c r="B23" s="8" t="s">
        <v>44</v>
      </c>
      <c r="C23" s="8" t="s">
        <v>42</v>
      </c>
      <c r="D23" s="15">
        <v>1609052.5427500026</v>
      </c>
      <c r="E23" s="16"/>
      <c r="F23" s="17">
        <f t="shared" si="0"/>
        <v>1609052.5427500026</v>
      </c>
      <c r="G23" s="18">
        <f>'LTD Interest Rates'!N29</f>
        <v>2.6790000000000001E-2</v>
      </c>
      <c r="H23" s="19">
        <f t="shared" si="1"/>
        <v>6.0000000000000002E-5</v>
      </c>
    </row>
    <row r="24" spans="1:8" ht="15" customHeight="1" x14ac:dyDescent="0.2">
      <c r="A24" s="8">
        <v>16</v>
      </c>
      <c r="B24" s="8" t="s">
        <v>45</v>
      </c>
      <c r="C24" s="8" t="s">
        <v>46</v>
      </c>
      <c r="D24" s="15">
        <v>214706116.79000002</v>
      </c>
      <c r="E24" s="16"/>
      <c r="F24" s="17">
        <f t="shared" si="0"/>
        <v>214706116.79000002</v>
      </c>
      <c r="G24" s="18">
        <f>'LTD Interest Rates'!N59</f>
        <v>5.0430000000000003E-2</v>
      </c>
      <c r="H24" s="19">
        <f t="shared" si="1"/>
        <v>1.519E-2</v>
      </c>
    </row>
    <row r="25" spans="1:8" ht="15" customHeight="1" x14ac:dyDescent="0.2">
      <c r="A25" s="8">
        <v>16</v>
      </c>
      <c r="B25" s="8" t="s">
        <v>47</v>
      </c>
      <c r="C25" s="8" t="s">
        <v>48</v>
      </c>
      <c r="D25" s="15"/>
      <c r="E25" s="16">
        <v>186065.06</v>
      </c>
      <c r="F25" s="17">
        <f t="shared" si="0"/>
        <v>186065.06</v>
      </c>
      <c r="G25" s="18">
        <v>5.3199999999999997E-2</v>
      </c>
      <c r="H25" s="19">
        <f t="shared" si="1"/>
        <v>1.0000000000000001E-5</v>
      </c>
    </row>
    <row r="26" spans="1:8" ht="15" customHeight="1" x14ac:dyDescent="0.2">
      <c r="A26" s="8">
        <v>17</v>
      </c>
      <c r="B26" s="8" t="s">
        <v>49</v>
      </c>
      <c r="C26" s="8" t="s">
        <v>42</v>
      </c>
      <c r="D26" s="15">
        <v>3508841.48</v>
      </c>
      <c r="E26" s="16"/>
      <c r="F26" s="17">
        <f t="shared" si="0"/>
        <v>3508841.48</v>
      </c>
      <c r="G26" s="18">
        <f>'LTD Interest Rates'!N30</f>
        <v>2.6790000000000001E-2</v>
      </c>
      <c r="H26" s="19">
        <f t="shared" si="1"/>
        <v>1.2999999999999999E-4</v>
      </c>
    </row>
    <row r="27" spans="1:8" ht="15" customHeight="1" x14ac:dyDescent="0.2">
      <c r="A27" s="8">
        <v>21</v>
      </c>
      <c r="B27" s="9" t="s">
        <v>50</v>
      </c>
      <c r="C27" s="8" t="s">
        <v>42</v>
      </c>
      <c r="D27" s="15">
        <v>9420834.0499999989</v>
      </c>
      <c r="E27" s="16"/>
      <c r="F27" s="17">
        <f t="shared" si="0"/>
        <v>9420834.0499999989</v>
      </c>
      <c r="G27" s="18">
        <f>'LTD Interest Rates'!N32</f>
        <v>3.2809999999999999E-2</v>
      </c>
      <c r="H27" s="19">
        <f t="shared" si="1"/>
        <v>4.2999999999999999E-4</v>
      </c>
    </row>
    <row r="28" spans="1:8" ht="15" customHeight="1" x14ac:dyDescent="0.2">
      <c r="A28" s="8">
        <v>22</v>
      </c>
      <c r="B28" s="9" t="s">
        <v>51</v>
      </c>
      <c r="C28" s="8" t="s">
        <v>42</v>
      </c>
      <c r="D28" s="15">
        <v>1859303.9800000002</v>
      </c>
      <c r="E28" s="16"/>
      <c r="F28" s="17">
        <f t="shared" si="0"/>
        <v>1859303.9800000002</v>
      </c>
      <c r="G28" s="18">
        <f>'LTD Interest Rates'!N31</f>
        <v>2.9899999999999999E-2</v>
      </c>
      <c r="H28" s="19">
        <f t="shared" si="1"/>
        <v>8.0000000000000007E-5</v>
      </c>
    </row>
    <row r="29" spans="1:8" ht="15" customHeight="1" x14ac:dyDescent="0.2">
      <c r="A29" s="8">
        <v>23</v>
      </c>
      <c r="B29" s="9" t="s">
        <v>52</v>
      </c>
      <c r="C29" s="8" t="s">
        <v>42</v>
      </c>
      <c r="D29" s="15">
        <v>923136.33</v>
      </c>
      <c r="E29" s="16"/>
      <c r="F29" s="17">
        <f t="shared" si="0"/>
        <v>923136.33</v>
      </c>
      <c r="G29" s="18">
        <f>'LTD Interest Rates'!N34</f>
        <v>1.9140000000000001E-2</v>
      </c>
      <c r="H29" s="19">
        <f t="shared" si="1"/>
        <v>2.0000000000000002E-5</v>
      </c>
    </row>
    <row r="30" spans="1:8" ht="15" customHeight="1" x14ac:dyDescent="0.2">
      <c r="A30" s="8">
        <v>24</v>
      </c>
      <c r="B30" s="9" t="s">
        <v>53</v>
      </c>
      <c r="C30" s="8" t="s">
        <v>42</v>
      </c>
      <c r="D30" s="15">
        <v>1848451.36</v>
      </c>
      <c r="E30" s="16"/>
      <c r="F30" s="17">
        <f t="shared" si="0"/>
        <v>1848451.36</v>
      </c>
      <c r="G30" s="18">
        <f>'LTD Interest Rates'!N35</f>
        <v>2.222E-2</v>
      </c>
      <c r="H30" s="19">
        <f t="shared" si="1"/>
        <v>6.0000000000000002E-5</v>
      </c>
    </row>
    <row r="31" spans="1:8" ht="15" customHeight="1" x14ac:dyDescent="0.2">
      <c r="A31" s="8">
        <v>25</v>
      </c>
      <c r="B31" s="9" t="s">
        <v>54</v>
      </c>
      <c r="C31" s="8" t="s">
        <v>42</v>
      </c>
      <c r="D31" s="15">
        <v>2886872.5700000012</v>
      </c>
      <c r="E31" s="16"/>
      <c r="F31" s="17">
        <f t="shared" si="0"/>
        <v>2886872.5700000012</v>
      </c>
      <c r="G31" s="18">
        <f>'LTD Interest Rates'!N44</f>
        <v>3.2809999999999999E-2</v>
      </c>
      <c r="H31" s="19">
        <f t="shared" si="1"/>
        <v>1.2999999999999999E-4</v>
      </c>
    </row>
    <row r="32" spans="1:8" ht="15" customHeight="1" x14ac:dyDescent="0.2">
      <c r="A32" s="8">
        <v>26</v>
      </c>
      <c r="B32" s="8" t="s">
        <v>55</v>
      </c>
      <c r="C32" s="8" t="s">
        <v>46</v>
      </c>
      <c r="D32" s="15">
        <v>5550331.3799999943</v>
      </c>
      <c r="E32" s="16"/>
      <c r="F32" s="17">
        <f t="shared" si="0"/>
        <v>5550331.3799999943</v>
      </c>
      <c r="G32" s="18">
        <f>'LTD Interest Rates'!N53</f>
        <v>3.1030000000000002E-2</v>
      </c>
      <c r="H32" s="19">
        <f t="shared" si="1"/>
        <v>2.4000000000000001E-4</v>
      </c>
    </row>
    <row r="33" spans="1:10" ht="15" customHeight="1" x14ac:dyDescent="0.2">
      <c r="A33" s="8">
        <v>27</v>
      </c>
      <c r="B33" s="8" t="s">
        <v>56</v>
      </c>
      <c r="C33" s="8" t="s">
        <v>46</v>
      </c>
      <c r="D33" s="15">
        <v>16566.57</v>
      </c>
      <c r="E33" s="16"/>
      <c r="F33" s="17">
        <f t="shared" si="0"/>
        <v>16566.57</v>
      </c>
      <c r="G33" s="18">
        <f>'LTD Interest Rates'!N52</f>
        <v>1.264E-2</v>
      </c>
      <c r="H33" s="19">
        <f t="shared" si="1"/>
        <v>0</v>
      </c>
    </row>
    <row r="34" spans="1:10" ht="15" customHeight="1" x14ac:dyDescent="0.2">
      <c r="A34" s="8">
        <v>39</v>
      </c>
      <c r="B34" s="8" t="s">
        <v>57</v>
      </c>
      <c r="C34" s="8" t="s">
        <v>46</v>
      </c>
      <c r="D34" s="15">
        <v>10093114.929999998</v>
      </c>
      <c r="E34" s="16"/>
      <c r="F34" s="17">
        <f t="shared" si="0"/>
        <v>10093114.929999998</v>
      </c>
      <c r="G34" s="18">
        <f>'LTD Interest Rates'!N55</f>
        <v>5.1799999999999999E-2</v>
      </c>
      <c r="H34" s="19">
        <f t="shared" si="1"/>
        <v>7.2999999999999996E-4</v>
      </c>
    </row>
    <row r="35" spans="1:10" ht="15" customHeight="1" x14ac:dyDescent="0.2">
      <c r="A35" s="8">
        <v>40</v>
      </c>
      <c r="B35" s="8" t="s">
        <v>58</v>
      </c>
      <c r="C35" s="8" t="s">
        <v>46</v>
      </c>
      <c r="D35" s="15">
        <v>19827888.870000001</v>
      </c>
      <c r="E35" s="15"/>
      <c r="F35" s="17">
        <f t="shared" si="0"/>
        <v>19827888.870000001</v>
      </c>
      <c r="G35" s="18">
        <f>'LTD Interest Rates'!N56</f>
        <v>4.5269999999999998E-2</v>
      </c>
      <c r="H35" s="19">
        <f t="shared" si="1"/>
        <v>1.2600000000000001E-3</v>
      </c>
    </row>
    <row r="36" spans="1:10" ht="15" customHeight="1" x14ac:dyDescent="0.2">
      <c r="A36" s="8">
        <v>40</v>
      </c>
      <c r="B36" s="8" t="s">
        <v>59</v>
      </c>
      <c r="C36" s="8" t="s">
        <v>48</v>
      </c>
      <c r="D36" s="15"/>
      <c r="E36" s="15">
        <v>783316.36</v>
      </c>
      <c r="F36" s="17">
        <f t="shared" si="0"/>
        <v>783316.36</v>
      </c>
      <c r="G36" s="18">
        <v>5.3199999999999997E-2</v>
      </c>
      <c r="H36" s="19">
        <f t="shared" si="1"/>
        <v>6.0000000000000002E-5</v>
      </c>
    </row>
    <row r="37" spans="1:10" ht="15" customHeight="1" thickBot="1" x14ac:dyDescent="0.25">
      <c r="D37" s="20">
        <f>SUM(D9:D36)</f>
        <v>711742925.83734119</v>
      </c>
      <c r="E37" s="20">
        <f>SUM(E9:E36)</f>
        <v>969381.41999999993</v>
      </c>
      <c r="F37" s="20">
        <f>SUM(F9:F36)</f>
        <v>712712307.25734115</v>
      </c>
      <c r="H37" s="21">
        <f>SUM(H9:H36)</f>
        <v>4.3239999999999987E-2</v>
      </c>
      <c r="I37" s="21">
        <f>ROUND(H37*1.5,5)</f>
        <v>6.4860000000000001E-2</v>
      </c>
    </row>
    <row r="38" spans="1:10" ht="15" customHeight="1" thickTop="1" x14ac:dyDescent="0.2"/>
    <row r="39" spans="1:10" ht="15" customHeight="1" x14ac:dyDescent="0.2">
      <c r="B39" s="83" t="s">
        <v>60</v>
      </c>
      <c r="C39" s="22"/>
      <c r="D39" s="22"/>
      <c r="E39" s="22"/>
      <c r="F39" s="22"/>
      <c r="G39" s="22"/>
      <c r="H39" s="22"/>
      <c r="I39" s="22"/>
    </row>
    <row r="40" spans="1:10" ht="15" customHeight="1" x14ac:dyDescent="0.2">
      <c r="B40" s="83" t="s">
        <v>61</v>
      </c>
      <c r="C40" s="22"/>
      <c r="D40" s="22"/>
      <c r="E40" s="22"/>
      <c r="F40" s="22"/>
      <c r="G40" s="22"/>
      <c r="H40" s="22"/>
      <c r="I40" s="22"/>
      <c r="J40" s="22"/>
    </row>
    <row r="41" spans="1:10" ht="15" customHeight="1" x14ac:dyDescent="0.2">
      <c r="B41" s="84" t="s">
        <v>62</v>
      </c>
      <c r="C41" s="22"/>
      <c r="D41" s="22"/>
      <c r="E41" s="22"/>
      <c r="F41" s="22"/>
      <c r="G41" s="22"/>
      <c r="H41" s="22"/>
      <c r="I41" s="22"/>
      <c r="J41" s="22"/>
    </row>
    <row r="42" spans="1:10" ht="15" customHeight="1" x14ac:dyDescent="0.2">
      <c r="A42" s="23"/>
      <c r="B42" s="84" t="s">
        <v>63</v>
      </c>
      <c r="C42" s="22"/>
      <c r="D42" s="22"/>
      <c r="E42" s="22"/>
      <c r="F42" s="22"/>
      <c r="G42" s="22"/>
      <c r="H42" s="22"/>
      <c r="I42" s="22"/>
      <c r="J42" s="22"/>
    </row>
    <row r="43" spans="1:10" ht="15" customHeight="1" x14ac:dyDescent="0.2">
      <c r="A43" s="23"/>
      <c r="G43"/>
      <c r="H43"/>
      <c r="I43"/>
      <c r="J43" s="22"/>
    </row>
    <row r="44" spans="1:10" ht="15" customHeight="1" x14ac:dyDescent="0.2">
      <c r="A44" s="23"/>
      <c r="G44"/>
      <c r="H44"/>
      <c r="I44"/>
    </row>
    <row r="45" spans="1:10" ht="15" customHeight="1" x14ac:dyDescent="0.2">
      <c r="A45" s="23"/>
      <c r="G45"/>
      <c r="H45"/>
      <c r="I45"/>
    </row>
    <row r="46" spans="1:10" ht="15" customHeight="1" x14ac:dyDescent="0.2">
      <c r="A46" s="23"/>
      <c r="G46"/>
      <c r="H46"/>
      <c r="I46"/>
    </row>
    <row r="47" spans="1:10" ht="15" customHeight="1" x14ac:dyDescent="0.2">
      <c r="A47" s="23"/>
      <c r="G47"/>
      <c r="H47"/>
      <c r="I47"/>
    </row>
    <row r="48" spans="1:10" ht="15" customHeight="1" x14ac:dyDescent="0.2"/>
  </sheetData>
  <mergeCells count="3">
    <mergeCell ref="A2:I2"/>
    <mergeCell ref="A3:I3"/>
    <mergeCell ref="A4:I4"/>
  </mergeCells>
  <pageMargins left="0.7" right="0.7" top="0.75" bottom="0.75" header="0.3" footer="0.3"/>
  <pageSetup scale="6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O78"/>
  <sheetViews>
    <sheetView zoomScaleNormal="100" zoomScaleSheetLayoutView="80" workbookViewId="0">
      <selection activeCell="P1" sqref="P1"/>
    </sheetView>
  </sheetViews>
  <sheetFormatPr defaultColWidth="17.85546875" defaultRowHeight="14.25" x14ac:dyDescent="0.2"/>
  <cols>
    <col min="1" max="16384" width="17.85546875" style="3"/>
  </cols>
  <sheetData>
    <row r="3" spans="1:15" x14ac:dyDescent="0.2">
      <c r="A3" s="24"/>
    </row>
    <row r="4" spans="1:15" ht="15" x14ac:dyDescent="0.25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1" t="s">
        <v>64</v>
      </c>
    </row>
    <row r="5" spans="1:15" ht="15" x14ac:dyDescent="0.25">
      <c r="A5" s="93" t="s">
        <v>65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5" ht="15" x14ac:dyDescent="0.25">
      <c r="A6" s="93" t="s">
        <v>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8" spans="1:15" x14ac:dyDescent="0.2">
      <c r="A8" s="94" t="s">
        <v>66</v>
      </c>
      <c r="B8" s="95"/>
      <c r="C8" s="95"/>
      <c r="D8" s="95"/>
      <c r="E8" s="96"/>
      <c r="F8" s="94" t="s">
        <v>66</v>
      </c>
      <c r="G8" s="95"/>
      <c r="H8" s="95"/>
      <c r="I8" s="95"/>
      <c r="J8" s="96"/>
      <c r="K8" s="94" t="s">
        <v>66</v>
      </c>
      <c r="L8" s="95"/>
      <c r="M8" s="95"/>
      <c r="N8" s="95"/>
      <c r="O8" s="96"/>
    </row>
    <row r="9" spans="1:15" x14ac:dyDescent="0.2">
      <c r="A9" s="25"/>
      <c r="B9" s="26"/>
      <c r="C9" s="26"/>
      <c r="D9" s="26"/>
      <c r="E9" s="27"/>
      <c r="F9" s="25"/>
      <c r="G9" s="26"/>
      <c r="H9" s="26"/>
      <c r="I9" s="26"/>
      <c r="J9" s="27"/>
      <c r="K9" s="25"/>
      <c r="L9" s="26"/>
      <c r="M9" s="26"/>
      <c r="N9" s="26"/>
      <c r="O9" s="27"/>
    </row>
    <row r="10" spans="1:15" ht="15" x14ac:dyDescent="0.25">
      <c r="A10" s="28"/>
      <c r="B10" s="29"/>
      <c r="C10" s="30" t="s">
        <v>67</v>
      </c>
      <c r="D10" s="31"/>
      <c r="E10" s="32"/>
      <c r="F10" s="33"/>
      <c r="G10" s="29"/>
      <c r="H10" s="30" t="s">
        <v>67</v>
      </c>
      <c r="I10" s="31"/>
      <c r="J10" s="32"/>
      <c r="K10" s="33"/>
      <c r="L10" s="29"/>
      <c r="M10" s="30" t="s">
        <v>67</v>
      </c>
      <c r="N10" s="31"/>
      <c r="O10" s="32"/>
    </row>
    <row r="11" spans="1:15" ht="15" x14ac:dyDescent="0.25">
      <c r="A11" s="34"/>
      <c r="B11" s="35" t="s">
        <v>68</v>
      </c>
      <c r="C11" s="30" t="s">
        <v>69</v>
      </c>
      <c r="D11" s="36" t="s">
        <v>70</v>
      </c>
      <c r="E11" s="37" t="s">
        <v>71</v>
      </c>
      <c r="F11" s="38"/>
      <c r="G11" s="35" t="s">
        <v>68</v>
      </c>
      <c r="H11" s="30" t="s">
        <v>69</v>
      </c>
      <c r="I11" s="36" t="s">
        <v>70</v>
      </c>
      <c r="J11" s="37" t="s">
        <v>71</v>
      </c>
      <c r="K11" s="33"/>
      <c r="L11" s="35" t="s">
        <v>68</v>
      </c>
      <c r="M11" s="30" t="s">
        <v>69</v>
      </c>
      <c r="N11" s="36" t="s">
        <v>70</v>
      </c>
      <c r="O11" s="37" t="s">
        <v>71</v>
      </c>
    </row>
    <row r="12" spans="1:15" ht="15" x14ac:dyDescent="0.25">
      <c r="A12" s="39" t="s">
        <v>72</v>
      </c>
      <c r="B12" s="40" t="s">
        <v>73</v>
      </c>
      <c r="C12" s="41">
        <v>45777</v>
      </c>
      <c r="D12" s="40" t="s">
        <v>74</v>
      </c>
      <c r="E12" s="42" t="s">
        <v>70</v>
      </c>
      <c r="F12" s="33" t="s">
        <v>75</v>
      </c>
      <c r="G12" s="40" t="s">
        <v>73</v>
      </c>
      <c r="H12" s="43">
        <f>+C12</f>
        <v>45777</v>
      </c>
      <c r="I12" s="40" t="s">
        <v>74</v>
      </c>
      <c r="J12" s="42" t="s">
        <v>70</v>
      </c>
      <c r="K12" s="33" t="s">
        <v>76</v>
      </c>
      <c r="L12" s="40" t="s">
        <v>73</v>
      </c>
      <c r="M12" s="41">
        <f>C12</f>
        <v>45777</v>
      </c>
      <c r="N12" s="40" t="s">
        <v>74</v>
      </c>
      <c r="O12" s="42" t="s">
        <v>70</v>
      </c>
    </row>
    <row r="13" spans="1:15" ht="15" x14ac:dyDescent="0.25">
      <c r="A13" s="33"/>
      <c r="B13" s="44"/>
      <c r="C13" s="45"/>
      <c r="D13" s="44"/>
      <c r="E13" s="46"/>
      <c r="F13" s="33"/>
      <c r="G13" s="40"/>
      <c r="H13" s="43"/>
      <c r="I13" s="40"/>
      <c r="J13" s="42"/>
      <c r="K13" s="34"/>
      <c r="L13" s="47" t="s">
        <v>77</v>
      </c>
      <c r="M13" s="72">
        <v>17695697.610000007</v>
      </c>
      <c r="N13" s="67">
        <v>4.0669999999999998E-2</v>
      </c>
      <c r="O13" s="53">
        <f t="shared" ref="O13:O21" si="0">M13*N13</f>
        <v>719684.02179870021</v>
      </c>
    </row>
    <row r="14" spans="1:15" ht="15" x14ac:dyDescent="0.25">
      <c r="A14" s="34"/>
      <c r="B14" s="47" t="s">
        <v>78</v>
      </c>
      <c r="C14" s="51">
        <v>10125621.750000002</v>
      </c>
      <c r="D14" s="52">
        <v>4.4600000000000001E-2</v>
      </c>
      <c r="E14" s="53">
        <f t="shared" ref="E14:E16" si="1">C14*D14</f>
        <v>451602.73005000007</v>
      </c>
      <c r="F14" s="54"/>
      <c r="G14" s="47" t="s">
        <v>79</v>
      </c>
      <c r="H14" s="51">
        <v>23025600.489999991</v>
      </c>
      <c r="I14" s="52">
        <v>3.9879999999999999E-2</v>
      </c>
      <c r="J14" s="53">
        <f t="shared" ref="J14:J26" si="2">H14*I14</f>
        <v>918260.94754119962</v>
      </c>
      <c r="K14" s="34"/>
      <c r="L14" s="47" t="s">
        <v>80</v>
      </c>
      <c r="M14" s="72">
        <v>21074354.469999999</v>
      </c>
      <c r="N14" s="67">
        <v>2.7910000000000001E-2</v>
      </c>
      <c r="O14" s="53">
        <f t="shared" si="0"/>
        <v>588185.23325769999</v>
      </c>
    </row>
    <row r="15" spans="1:15" ht="15" x14ac:dyDescent="0.25">
      <c r="A15" s="34"/>
      <c r="B15" s="47" t="s">
        <v>81</v>
      </c>
      <c r="C15" s="51">
        <v>4724996.01</v>
      </c>
      <c r="D15" s="52">
        <v>4.3380000000000002E-2</v>
      </c>
      <c r="E15" s="53">
        <f t="shared" si="1"/>
        <v>204970.3269138</v>
      </c>
      <c r="F15" s="54"/>
      <c r="G15" s="47" t="s">
        <v>82</v>
      </c>
      <c r="H15" s="51">
        <v>16773893.180000002</v>
      </c>
      <c r="I15" s="52">
        <v>4.3740000000000001E-2</v>
      </c>
      <c r="J15" s="53">
        <f t="shared" si="2"/>
        <v>733690.0876932001</v>
      </c>
      <c r="K15" s="34"/>
      <c r="L15" s="47" t="s">
        <v>83</v>
      </c>
      <c r="M15" s="72">
        <v>21236998.459999997</v>
      </c>
      <c r="N15" s="67">
        <v>2.9159999999999998E-2</v>
      </c>
      <c r="O15" s="53">
        <f t="shared" si="0"/>
        <v>619270.8750935999</v>
      </c>
    </row>
    <row r="16" spans="1:15" ht="15" x14ac:dyDescent="0.25">
      <c r="A16" s="34"/>
      <c r="B16" s="47" t="s">
        <v>84</v>
      </c>
      <c r="C16" s="51">
        <v>1832484.9000000004</v>
      </c>
      <c r="D16" s="52">
        <v>4.3060000000000001E-2</v>
      </c>
      <c r="E16" s="53">
        <f t="shared" si="1"/>
        <v>78906.79979400002</v>
      </c>
      <c r="F16" s="54"/>
      <c r="G16" s="47" t="s">
        <v>85</v>
      </c>
      <c r="H16" s="51">
        <v>16788146.649999999</v>
      </c>
      <c r="I16" s="52">
        <v>4.3909999999999998E-2</v>
      </c>
      <c r="J16" s="53">
        <f t="shared" si="2"/>
        <v>737167.51940149989</v>
      </c>
      <c r="K16" s="34"/>
      <c r="L16" s="47" t="s">
        <v>86</v>
      </c>
      <c r="M16" s="72">
        <v>21399355.629999999</v>
      </c>
      <c r="N16" s="67">
        <v>3.0939999999999999E-2</v>
      </c>
      <c r="O16" s="53">
        <f t="shared" si="0"/>
        <v>662096.06319219992</v>
      </c>
    </row>
    <row r="17" spans="1:15" ht="15" x14ac:dyDescent="0.25">
      <c r="A17" s="34"/>
      <c r="B17" s="56"/>
      <c r="C17" s="57"/>
      <c r="D17" s="49"/>
      <c r="E17" s="53"/>
      <c r="F17" s="54"/>
      <c r="G17" s="47" t="s">
        <v>87</v>
      </c>
      <c r="H17" s="51">
        <v>16966472.789999995</v>
      </c>
      <c r="I17" s="52">
        <v>4.6050000000000001E-2</v>
      </c>
      <c r="J17" s="53">
        <f t="shared" si="2"/>
        <v>781306.07197949977</v>
      </c>
      <c r="K17" s="34"/>
      <c r="L17" s="47" t="s">
        <v>88</v>
      </c>
      <c r="M17" s="72">
        <v>13474387.370000001</v>
      </c>
      <c r="N17" s="67">
        <v>2.928E-2</v>
      </c>
      <c r="O17" s="53">
        <f t="shared" si="0"/>
        <v>394530.06219360005</v>
      </c>
    </row>
    <row r="18" spans="1:15" ht="15" x14ac:dyDescent="0.25">
      <c r="A18" s="34"/>
      <c r="B18" s="58">
        <f>COUNTA(B14:B16)</f>
        <v>3</v>
      </c>
      <c r="C18" s="57">
        <f>SUM(C14:C16)</f>
        <v>16683102.660000002</v>
      </c>
      <c r="D18" s="59">
        <f>ROUND(E18/C18,5)</f>
        <v>4.4089999999999997E-2</v>
      </c>
      <c r="E18" s="53">
        <f>SUM(E14:E16)</f>
        <v>735479.85675780009</v>
      </c>
      <c r="F18" s="54"/>
      <c r="G18" s="47" t="s">
        <v>89</v>
      </c>
      <c r="H18" s="55">
        <v>27146356.460000001</v>
      </c>
      <c r="I18" s="52">
        <v>4.6050000000000001E-2</v>
      </c>
      <c r="J18" s="53">
        <f t="shared" si="2"/>
        <v>1250089.714983</v>
      </c>
      <c r="K18" s="34"/>
      <c r="L18" s="47" t="s">
        <v>90</v>
      </c>
      <c r="M18" s="72">
        <v>20590567.73</v>
      </c>
      <c r="N18" s="67">
        <v>2.495E-2</v>
      </c>
      <c r="O18" s="53">
        <f t="shared" si="0"/>
        <v>513734.66486349999</v>
      </c>
    </row>
    <row r="19" spans="1:15" ht="15" x14ac:dyDescent="0.25">
      <c r="A19" s="34"/>
      <c r="B19" s="56"/>
      <c r="C19" s="60"/>
      <c r="D19" s="49"/>
      <c r="E19" s="61"/>
      <c r="F19" s="54"/>
      <c r="G19" s="47" t="s">
        <v>91</v>
      </c>
      <c r="H19" s="55">
        <v>16962330.220000003</v>
      </c>
      <c r="I19" s="52">
        <v>4.5999999999999999E-2</v>
      </c>
      <c r="J19" s="53">
        <f t="shared" si="2"/>
        <v>780267.19012000016</v>
      </c>
      <c r="K19" s="34"/>
      <c r="L19" s="47" t="s">
        <v>92</v>
      </c>
      <c r="M19" s="72">
        <v>19187335.899999999</v>
      </c>
      <c r="N19" s="67">
        <v>2.724E-2</v>
      </c>
      <c r="O19" s="53">
        <f t="shared" si="0"/>
        <v>522663.02991599997</v>
      </c>
    </row>
    <row r="20" spans="1:15" ht="15" x14ac:dyDescent="0.25">
      <c r="A20" s="33"/>
      <c r="B20" s="29"/>
      <c r="C20" s="30" t="s">
        <v>67</v>
      </c>
      <c r="D20" s="31"/>
      <c r="E20" s="32"/>
      <c r="F20" s="54"/>
      <c r="G20" s="47" t="s">
        <v>93</v>
      </c>
      <c r="H20" s="55">
        <v>7575270.2110196641</v>
      </c>
      <c r="I20" s="52">
        <v>4.2619999999999998E-2</v>
      </c>
      <c r="J20" s="53">
        <f t="shared" si="2"/>
        <v>322858.01639365806</v>
      </c>
      <c r="K20" s="34"/>
      <c r="L20" s="47" t="s">
        <v>94</v>
      </c>
      <c r="M20" s="72">
        <v>9755271.540000001</v>
      </c>
      <c r="N20" s="67">
        <v>2.5729999999999999E-2</v>
      </c>
      <c r="O20" s="53">
        <f t="shared" si="0"/>
        <v>251003.13672420001</v>
      </c>
    </row>
    <row r="21" spans="1:15" ht="15" x14ac:dyDescent="0.25">
      <c r="A21" s="33"/>
      <c r="B21" s="35" t="s">
        <v>68</v>
      </c>
      <c r="C21" s="30" t="s">
        <v>69</v>
      </c>
      <c r="D21" s="36" t="s">
        <v>70</v>
      </c>
      <c r="E21" s="37" t="s">
        <v>71</v>
      </c>
      <c r="F21" s="54"/>
      <c r="G21" s="47" t="s">
        <v>95</v>
      </c>
      <c r="H21" s="55">
        <v>1090595.1793424599</v>
      </c>
      <c r="I21" s="52">
        <v>4.1750000000000002E-2</v>
      </c>
      <c r="J21" s="53">
        <f t="shared" si="2"/>
        <v>45532.348737547705</v>
      </c>
      <c r="K21" s="34"/>
      <c r="L21" s="47" t="s">
        <v>96</v>
      </c>
      <c r="M21" s="72">
        <v>15995077.260000004</v>
      </c>
      <c r="N21" s="67">
        <v>2.656E-2</v>
      </c>
      <c r="O21" s="53">
        <f t="shared" si="0"/>
        <v>424829.25202560012</v>
      </c>
    </row>
    <row r="22" spans="1:15" ht="15" x14ac:dyDescent="0.25">
      <c r="A22" s="33" t="s">
        <v>97</v>
      </c>
      <c r="B22" s="40" t="s">
        <v>73</v>
      </c>
      <c r="C22" s="41">
        <f>+C12</f>
        <v>45777</v>
      </c>
      <c r="D22" s="40" t="s">
        <v>74</v>
      </c>
      <c r="E22" s="42" t="s">
        <v>70</v>
      </c>
      <c r="F22" s="54"/>
      <c r="G22" s="47" t="s">
        <v>98</v>
      </c>
      <c r="H22" s="55">
        <v>3947656.1300000004</v>
      </c>
      <c r="I22" s="52">
        <v>3.9899999999999998E-2</v>
      </c>
      <c r="J22" s="53">
        <f t="shared" si="2"/>
        <v>157511.47958700001</v>
      </c>
      <c r="K22" s="34"/>
      <c r="L22" s="47"/>
      <c r="M22" s="72"/>
      <c r="N22" s="67"/>
      <c r="O22" s="53"/>
    </row>
    <row r="23" spans="1:15" ht="15" x14ac:dyDescent="0.25">
      <c r="A23" s="33"/>
      <c r="B23" s="44"/>
      <c r="C23" s="65"/>
      <c r="D23" s="66"/>
      <c r="E23" s="46"/>
      <c r="F23" s="54"/>
      <c r="G23" s="47" t="s">
        <v>99</v>
      </c>
      <c r="H23" s="55">
        <v>7270054.7685150001</v>
      </c>
      <c r="I23" s="52">
        <v>4.5080000000000002E-2</v>
      </c>
      <c r="J23" s="53">
        <f t="shared" si="2"/>
        <v>327734.06896465621</v>
      </c>
      <c r="K23" s="34"/>
      <c r="L23" s="58">
        <f>COUNTA(L13:L21)</f>
        <v>9</v>
      </c>
      <c r="M23" s="55">
        <f>SUM(M13:M21)</f>
        <v>160409045.97</v>
      </c>
      <c r="N23" s="59">
        <f>ROUND(O23/M23,5)</f>
        <v>2.928E-2</v>
      </c>
      <c r="O23" s="73">
        <f>SUM(O13:O21)</f>
        <v>4695996.3390651001</v>
      </c>
    </row>
    <row r="24" spans="1:15" ht="15" x14ac:dyDescent="0.25">
      <c r="A24" s="34"/>
      <c r="B24" s="47" t="s">
        <v>100</v>
      </c>
      <c r="C24" s="51">
        <v>14911656.250000007</v>
      </c>
      <c r="D24" s="52">
        <v>4.6580000000000003E-2</v>
      </c>
      <c r="E24" s="53">
        <f t="shared" ref="E24:E30" si="3">C24*D24</f>
        <v>694584.94812500034</v>
      </c>
      <c r="F24" s="54"/>
      <c r="G24" s="47" t="s">
        <v>101</v>
      </c>
      <c r="H24" s="55">
        <v>597959.7899999998</v>
      </c>
      <c r="I24" s="52">
        <v>3.9219999999999998E-2</v>
      </c>
      <c r="J24" s="53">
        <f t="shared" si="2"/>
        <v>23451.98296379999</v>
      </c>
      <c r="K24" s="34"/>
      <c r="L24" s="47"/>
      <c r="M24" s="74"/>
      <c r="N24" s="67"/>
      <c r="O24" s="32"/>
    </row>
    <row r="25" spans="1:15" ht="15" x14ac:dyDescent="0.25">
      <c r="A25" s="38"/>
      <c r="B25" s="47" t="s">
        <v>102</v>
      </c>
      <c r="C25" s="51">
        <v>14759886.239999996</v>
      </c>
      <c r="D25" s="52">
        <v>4.4970000000000003E-2</v>
      </c>
      <c r="E25" s="53">
        <f t="shared" si="3"/>
        <v>663752.08421279991</v>
      </c>
      <c r="F25" s="54"/>
      <c r="G25" s="47" t="s">
        <v>103</v>
      </c>
      <c r="H25" s="55">
        <v>2191399.9008821608</v>
      </c>
      <c r="I25" s="52">
        <v>3.9539999999999999E-2</v>
      </c>
      <c r="J25" s="53">
        <f t="shared" si="2"/>
        <v>86647.952080880626</v>
      </c>
      <c r="K25" s="33"/>
      <c r="L25" s="29"/>
      <c r="M25" s="30" t="s">
        <v>67</v>
      </c>
      <c r="N25" s="31"/>
      <c r="O25" s="32"/>
    </row>
    <row r="26" spans="1:15" ht="15" x14ac:dyDescent="0.25">
      <c r="A26" s="33"/>
      <c r="B26" s="47" t="s">
        <v>104</v>
      </c>
      <c r="C26" s="51">
        <v>14603325.299999999</v>
      </c>
      <c r="D26" s="52">
        <v>4.3319999999999997E-2</v>
      </c>
      <c r="E26" s="53">
        <f t="shared" si="3"/>
        <v>632616.05199599988</v>
      </c>
      <c r="F26" s="54"/>
      <c r="G26" s="47" t="s">
        <v>105</v>
      </c>
      <c r="H26" s="55">
        <v>275477.84579213994</v>
      </c>
      <c r="I26" s="52">
        <v>2.4320000000000001E-2</v>
      </c>
      <c r="J26" s="53">
        <f t="shared" si="2"/>
        <v>6699.6212096648433</v>
      </c>
      <c r="K26" s="33"/>
      <c r="L26" s="35" t="s">
        <v>68</v>
      </c>
      <c r="M26" s="30" t="s">
        <v>69</v>
      </c>
      <c r="N26" s="36" t="s">
        <v>70</v>
      </c>
      <c r="O26" s="37" t="s">
        <v>71</v>
      </c>
    </row>
    <row r="27" spans="1:15" ht="15" x14ac:dyDescent="0.25">
      <c r="A27" s="34"/>
      <c r="B27" s="47" t="s">
        <v>106</v>
      </c>
      <c r="C27" s="51">
        <v>11092738.709999997</v>
      </c>
      <c r="D27" s="52">
        <v>4.3240000000000001E-2</v>
      </c>
      <c r="E27" s="53">
        <f t="shared" si="3"/>
        <v>479650.02182039991</v>
      </c>
      <c r="F27" s="54"/>
      <c r="G27" s="47"/>
      <c r="H27" s="55"/>
      <c r="I27" s="49"/>
      <c r="J27" s="53"/>
      <c r="K27" s="33" t="s">
        <v>107</v>
      </c>
      <c r="L27" s="40" t="s">
        <v>73</v>
      </c>
      <c r="M27" s="41">
        <f>C12</f>
        <v>45777</v>
      </c>
      <c r="N27" s="40" t="s">
        <v>74</v>
      </c>
      <c r="O27" s="42" t="s">
        <v>70</v>
      </c>
    </row>
    <row r="28" spans="1:15" ht="15" x14ac:dyDescent="0.25">
      <c r="A28" s="34"/>
      <c r="B28" s="47" t="s">
        <v>108</v>
      </c>
      <c r="C28" s="51">
        <v>17678932.299999997</v>
      </c>
      <c r="D28" s="52">
        <v>4.4679999999999997E-2</v>
      </c>
      <c r="E28" s="53">
        <f t="shared" si="3"/>
        <v>789894.6951639998</v>
      </c>
      <c r="F28" s="34"/>
      <c r="G28" s="58">
        <f>COUNTA(G14:G26)</f>
        <v>13</v>
      </c>
      <c r="H28" s="55">
        <f>SUM(H14:H26)</f>
        <v>140611213.61555141</v>
      </c>
      <c r="I28" s="59">
        <f>ROUND(J28/H28,5)</f>
        <v>4.3889999999999998E-2</v>
      </c>
      <c r="J28" s="53">
        <f>SUM(J14:J26)</f>
        <v>6171217.0016556075</v>
      </c>
      <c r="K28" s="34"/>
      <c r="L28" s="47" t="s">
        <v>109</v>
      </c>
      <c r="M28" s="72">
        <v>12810947.107927542</v>
      </c>
      <c r="N28" s="67">
        <v>2.6790000000000001E-2</v>
      </c>
      <c r="O28" s="53">
        <f t="shared" ref="O28:O35" si="4">M28*N28</f>
        <v>343205.27302137885</v>
      </c>
    </row>
    <row r="29" spans="1:15" ht="15" x14ac:dyDescent="0.25">
      <c r="A29" s="34"/>
      <c r="B29" s="47" t="s">
        <v>110</v>
      </c>
      <c r="C29" s="51">
        <v>17681204.360000003</v>
      </c>
      <c r="D29" s="52">
        <v>4.4699999999999997E-2</v>
      </c>
      <c r="E29" s="53">
        <f t="shared" si="3"/>
        <v>790349.83489200007</v>
      </c>
      <c r="F29" s="38"/>
      <c r="J29" s="85"/>
      <c r="K29" s="34"/>
      <c r="L29" s="47" t="s">
        <v>109</v>
      </c>
      <c r="M29" s="72">
        <v>5181564.6157644112</v>
      </c>
      <c r="N29" s="67">
        <v>2.6790000000000001E-2</v>
      </c>
      <c r="O29" s="53">
        <f t="shared" si="4"/>
        <v>138814.11605632858</v>
      </c>
    </row>
    <row r="30" spans="1:15" ht="15" x14ac:dyDescent="0.25">
      <c r="A30" s="34"/>
      <c r="B30" s="47" t="s">
        <v>111</v>
      </c>
      <c r="C30" s="51">
        <v>2155951.4</v>
      </c>
      <c r="D30" s="52">
        <v>3.8010000000000002E-2</v>
      </c>
      <c r="E30" s="53">
        <f t="shared" si="3"/>
        <v>81947.712713999994</v>
      </c>
      <c r="F30" s="34"/>
      <c r="G30" s="29"/>
      <c r="H30" s="30" t="s">
        <v>67</v>
      </c>
      <c r="I30" s="31"/>
      <c r="J30" s="32"/>
      <c r="K30" s="34"/>
      <c r="L30" s="47" t="s">
        <v>109</v>
      </c>
      <c r="M30" s="72">
        <v>5346828.8882104298</v>
      </c>
      <c r="N30" s="67">
        <v>2.6790000000000001E-2</v>
      </c>
      <c r="O30" s="53">
        <f t="shared" si="4"/>
        <v>143241.54591515742</v>
      </c>
    </row>
    <row r="31" spans="1:15" ht="15" x14ac:dyDescent="0.25">
      <c r="A31" s="34"/>
      <c r="B31" s="56"/>
      <c r="C31" s="68"/>
      <c r="D31" s="49"/>
      <c r="E31" s="69"/>
      <c r="F31" s="38"/>
      <c r="G31" s="35" t="s">
        <v>68</v>
      </c>
      <c r="H31" s="30" t="s">
        <v>69</v>
      </c>
      <c r="I31" s="36" t="s">
        <v>70</v>
      </c>
      <c r="J31" s="37" t="s">
        <v>71</v>
      </c>
      <c r="K31" s="34"/>
      <c r="L31" s="47" t="s">
        <v>112</v>
      </c>
      <c r="M31" s="72">
        <v>2376957.1753358976</v>
      </c>
      <c r="N31" s="67">
        <v>2.9899999999999999E-2</v>
      </c>
      <c r="O31" s="53">
        <f t="shared" si="4"/>
        <v>71071.019542543334</v>
      </c>
    </row>
    <row r="32" spans="1:15" ht="15" x14ac:dyDescent="0.25">
      <c r="A32" s="34"/>
      <c r="B32" s="58">
        <f>COUNTA(B24:B30)</f>
        <v>7</v>
      </c>
      <c r="C32" s="55">
        <f>SUM(C24:C30)</f>
        <v>92883694.560000002</v>
      </c>
      <c r="D32" s="59">
        <f>ROUND(E32/C32,5)</f>
        <v>4.4490000000000002E-2</v>
      </c>
      <c r="E32" s="53">
        <f>SUM(E24:E30)</f>
        <v>4132795.3489241996</v>
      </c>
      <c r="F32" s="33" t="s">
        <v>75</v>
      </c>
      <c r="G32" s="40" t="s">
        <v>73</v>
      </c>
      <c r="H32" s="43">
        <f>C12</f>
        <v>45777</v>
      </c>
      <c r="I32" s="40" t="s">
        <v>74</v>
      </c>
      <c r="J32" s="42" t="s">
        <v>70</v>
      </c>
      <c r="K32" s="34"/>
      <c r="L32" s="47" t="s">
        <v>113</v>
      </c>
      <c r="M32" s="72">
        <v>11424788.752108861</v>
      </c>
      <c r="N32" s="67">
        <v>3.2809999999999999E-2</v>
      </c>
      <c r="O32" s="53">
        <f t="shared" si="4"/>
        <v>374847.31895669171</v>
      </c>
    </row>
    <row r="33" spans="1:15" ht="15" x14ac:dyDescent="0.25">
      <c r="A33" s="34"/>
      <c r="B33" s="56"/>
      <c r="C33" s="70"/>
      <c r="D33" s="49"/>
      <c r="E33" s="61"/>
      <c r="F33" s="33"/>
      <c r="G33" s="56"/>
      <c r="H33" s="71"/>
      <c r="I33" s="49"/>
      <c r="J33" s="32"/>
      <c r="K33" s="34"/>
      <c r="L33" s="47" t="s">
        <v>113</v>
      </c>
      <c r="M33" s="72">
        <v>3365224.6930910014</v>
      </c>
      <c r="N33" s="67">
        <v>3.2809999999999999E-2</v>
      </c>
      <c r="O33" s="53">
        <f t="shared" si="4"/>
        <v>110413.02218031575</v>
      </c>
    </row>
    <row r="34" spans="1:15" ht="15" x14ac:dyDescent="0.25">
      <c r="A34" s="34"/>
      <c r="B34" s="29"/>
      <c r="C34" s="30" t="s">
        <v>67</v>
      </c>
      <c r="D34" s="31"/>
      <c r="E34" s="32"/>
      <c r="F34" s="54"/>
      <c r="G34" s="47" t="s">
        <v>93</v>
      </c>
      <c r="H34" s="55">
        <v>9104395.2189803459</v>
      </c>
      <c r="I34" s="52">
        <v>4.2619999999999998E-2</v>
      </c>
      <c r="J34" s="53">
        <f t="shared" ref="J34:J44" si="5">H34*I34</f>
        <v>388029.32423294231</v>
      </c>
      <c r="K34" s="34"/>
      <c r="L34" s="47" t="s">
        <v>114</v>
      </c>
      <c r="M34" s="72">
        <v>899357.7338230632</v>
      </c>
      <c r="N34" s="67">
        <v>1.9140000000000001E-2</v>
      </c>
      <c r="O34" s="53">
        <f t="shared" si="4"/>
        <v>17213.707025373431</v>
      </c>
    </row>
    <row r="35" spans="1:15" ht="15" x14ac:dyDescent="0.25">
      <c r="A35" s="34"/>
      <c r="B35" s="35" t="s">
        <v>68</v>
      </c>
      <c r="C35" s="30" t="s">
        <v>69</v>
      </c>
      <c r="D35" s="36" t="s">
        <v>70</v>
      </c>
      <c r="E35" s="37" t="s">
        <v>71</v>
      </c>
      <c r="F35" s="34"/>
      <c r="G35" s="47" t="s">
        <v>115</v>
      </c>
      <c r="H35" s="86">
        <v>16542407.26</v>
      </c>
      <c r="I35" s="52">
        <v>4.1000000000000002E-2</v>
      </c>
      <c r="J35" s="53">
        <f t="shared" si="5"/>
        <v>678238.69766000006</v>
      </c>
      <c r="K35" s="34"/>
      <c r="L35" s="47" t="s">
        <v>116</v>
      </c>
      <c r="M35" s="72">
        <v>2039224.3135874842</v>
      </c>
      <c r="N35" s="67">
        <v>2.222E-2</v>
      </c>
      <c r="O35" s="53">
        <f t="shared" si="4"/>
        <v>45311.564247913899</v>
      </c>
    </row>
    <row r="36" spans="1:15" ht="15" x14ac:dyDescent="0.25">
      <c r="A36" s="33" t="s">
        <v>117</v>
      </c>
      <c r="B36" s="40" t="s">
        <v>73</v>
      </c>
      <c r="C36" s="41">
        <f>+C12</f>
        <v>45777</v>
      </c>
      <c r="D36" s="40" t="s">
        <v>74</v>
      </c>
      <c r="E36" s="42" t="s">
        <v>70</v>
      </c>
      <c r="F36" s="34"/>
      <c r="G36" s="47" t="s">
        <v>118</v>
      </c>
      <c r="H36" s="86">
        <v>16849208.950000007</v>
      </c>
      <c r="I36" s="52">
        <v>4.4639999999999999E-2</v>
      </c>
      <c r="J36" s="53">
        <f t="shared" si="5"/>
        <v>752148.68752800033</v>
      </c>
      <c r="K36" s="34"/>
      <c r="L36" s="47"/>
      <c r="M36" s="72"/>
      <c r="N36" s="67"/>
      <c r="O36" s="53"/>
    </row>
    <row r="37" spans="1:15" ht="15" x14ac:dyDescent="0.25">
      <c r="A37" s="34"/>
      <c r="B37" s="40"/>
      <c r="C37" s="43"/>
      <c r="D37" s="40"/>
      <c r="E37" s="42"/>
      <c r="F37" s="34"/>
      <c r="G37" s="47" t="s">
        <v>119</v>
      </c>
      <c r="H37" s="86">
        <v>16936618.890000001</v>
      </c>
      <c r="I37" s="52">
        <v>4.5690000000000001E-2</v>
      </c>
      <c r="J37" s="53">
        <f t="shared" si="5"/>
        <v>773834.11708410003</v>
      </c>
      <c r="K37" s="34"/>
      <c r="L37" s="58">
        <f>COUNTA(L28:L36)</f>
        <v>8</v>
      </c>
      <c r="M37" s="55">
        <f>SUM(M28:M35)</f>
        <v>43444893.279848695</v>
      </c>
      <c r="N37" s="59">
        <f>ROUND(O37/M37,5)</f>
        <v>2.8639999999999999E-2</v>
      </c>
      <c r="O37" s="73">
        <f>SUM(O28:O35)</f>
        <v>1244117.566945703</v>
      </c>
    </row>
    <row r="38" spans="1:15" ht="15" x14ac:dyDescent="0.25">
      <c r="A38" s="34"/>
      <c r="B38" s="47" t="s">
        <v>120</v>
      </c>
      <c r="C38" s="51">
        <v>33419036.480000004</v>
      </c>
      <c r="D38" s="52">
        <v>4.6690000000000002E-2</v>
      </c>
      <c r="E38" s="53">
        <f t="shared" ref="E38:E54" si="6">C38*D38</f>
        <v>1560334.8132512004</v>
      </c>
      <c r="F38" s="34"/>
      <c r="G38" s="47" t="s">
        <v>121</v>
      </c>
      <c r="H38" s="86">
        <v>16787309.100000005</v>
      </c>
      <c r="I38" s="52">
        <v>4.3900000000000002E-2</v>
      </c>
      <c r="J38" s="53">
        <f t="shared" si="5"/>
        <v>736962.8694900003</v>
      </c>
      <c r="K38" s="34"/>
      <c r="L38" s="56"/>
      <c r="M38" s="74"/>
      <c r="N38" s="67"/>
      <c r="O38" s="32"/>
    </row>
    <row r="39" spans="1:15" ht="15" x14ac:dyDescent="0.25">
      <c r="A39" s="34"/>
      <c r="B39" s="47" t="s">
        <v>122</v>
      </c>
      <c r="C39" s="51">
        <v>16460154.779999997</v>
      </c>
      <c r="D39" s="52">
        <v>4.3839999999999997E-2</v>
      </c>
      <c r="E39" s="53">
        <f t="shared" si="6"/>
        <v>721613.18555519986</v>
      </c>
      <c r="F39" s="54"/>
      <c r="G39" s="47" t="s">
        <v>123</v>
      </c>
      <c r="H39" s="86">
        <v>4814108.0673314184</v>
      </c>
      <c r="I39" s="52">
        <v>4.1419999999999998E-2</v>
      </c>
      <c r="J39" s="53">
        <f t="shared" si="5"/>
        <v>199400.35614886734</v>
      </c>
      <c r="K39" s="33"/>
      <c r="L39" s="29"/>
      <c r="M39" s="30" t="s">
        <v>67</v>
      </c>
      <c r="N39" s="31"/>
      <c r="O39" s="32"/>
    </row>
    <row r="40" spans="1:15" ht="15" x14ac:dyDescent="0.25">
      <c r="A40" s="34"/>
      <c r="B40" s="47" t="s">
        <v>124</v>
      </c>
      <c r="C40" s="51">
        <v>33382552.169999991</v>
      </c>
      <c r="D40" s="52">
        <v>4.648E-2</v>
      </c>
      <c r="E40" s="53">
        <f t="shared" si="6"/>
        <v>1551621.0248615996</v>
      </c>
      <c r="F40" s="54"/>
      <c r="G40" s="47" t="s">
        <v>125</v>
      </c>
      <c r="H40" s="86">
        <v>392097.47537103994</v>
      </c>
      <c r="I40" s="52">
        <v>4.1939999999999998E-2</v>
      </c>
      <c r="J40" s="53">
        <f t="shared" si="5"/>
        <v>16444.568117061415</v>
      </c>
      <c r="K40" s="33"/>
      <c r="L40" s="35" t="s">
        <v>68</v>
      </c>
      <c r="M40" s="30" t="s">
        <v>69</v>
      </c>
      <c r="N40" s="36" t="s">
        <v>70</v>
      </c>
      <c r="O40" s="37" t="s">
        <v>71</v>
      </c>
    </row>
    <row r="41" spans="1:15" ht="15" x14ac:dyDescent="0.25">
      <c r="A41" s="33"/>
      <c r="B41" s="47" t="s">
        <v>126</v>
      </c>
      <c r="C41" s="51">
        <v>33307713.579999998</v>
      </c>
      <c r="D41" s="52">
        <v>4.6050000000000001E-2</v>
      </c>
      <c r="E41" s="53">
        <f t="shared" si="6"/>
        <v>1533820.2103589999</v>
      </c>
      <c r="F41" s="54"/>
      <c r="G41" s="47" t="s">
        <v>95</v>
      </c>
      <c r="H41" s="55">
        <v>12194279.040657539</v>
      </c>
      <c r="I41" s="52">
        <v>4.1750000000000002E-2</v>
      </c>
      <c r="J41" s="53">
        <f t="shared" si="5"/>
        <v>509111.1499474523</v>
      </c>
      <c r="K41" s="33" t="s">
        <v>107</v>
      </c>
      <c r="L41" s="40" t="s">
        <v>73</v>
      </c>
      <c r="M41" s="41">
        <f>C12</f>
        <v>45777</v>
      </c>
      <c r="N41" s="40" t="s">
        <v>74</v>
      </c>
      <c r="O41" s="42" t="s">
        <v>70</v>
      </c>
    </row>
    <row r="42" spans="1:15" ht="15" x14ac:dyDescent="0.25">
      <c r="A42" s="33"/>
      <c r="B42" s="47" t="s">
        <v>127</v>
      </c>
      <c r="C42" s="51">
        <v>5270634.34</v>
      </c>
      <c r="D42" s="52">
        <v>4.3959999999999999E-2</v>
      </c>
      <c r="E42" s="53">
        <f t="shared" si="6"/>
        <v>231697.08558639997</v>
      </c>
      <c r="F42" s="54"/>
      <c r="G42" s="47" t="s">
        <v>99</v>
      </c>
      <c r="H42" s="55">
        <v>2494199.8666901402</v>
      </c>
      <c r="I42" s="67">
        <v>4.5080000000000002E-2</v>
      </c>
      <c r="J42" s="53">
        <f t="shared" si="5"/>
        <v>112438.52999039153</v>
      </c>
      <c r="K42" s="34"/>
      <c r="L42" s="56"/>
      <c r="M42" s="74"/>
      <c r="N42" s="67"/>
      <c r="O42" s="32"/>
    </row>
    <row r="43" spans="1:15" ht="15" x14ac:dyDescent="0.25">
      <c r="A43" s="33"/>
      <c r="B43" s="47" t="s">
        <v>128</v>
      </c>
      <c r="C43" s="51">
        <v>13147654.129999999</v>
      </c>
      <c r="D43" s="52">
        <v>4.3549999999999998E-2</v>
      </c>
      <c r="E43" s="53">
        <f t="shared" si="6"/>
        <v>572580.3373614999</v>
      </c>
      <c r="F43" s="54"/>
      <c r="G43" s="47" t="s">
        <v>103</v>
      </c>
      <c r="H43" s="55">
        <v>3145618.1319401213</v>
      </c>
      <c r="I43" s="67">
        <v>3.9539999999999999E-2</v>
      </c>
      <c r="J43" s="53">
        <f t="shared" si="5"/>
        <v>124377.74093691239</v>
      </c>
      <c r="K43" s="34"/>
      <c r="L43" s="47" t="s">
        <v>129</v>
      </c>
      <c r="M43" s="72">
        <v>2886902.1825895272</v>
      </c>
      <c r="N43" s="67">
        <v>2.9420000000000002E-2</v>
      </c>
      <c r="O43" s="53">
        <f>M43*N43</f>
        <v>84932.6622117839</v>
      </c>
    </row>
    <row r="44" spans="1:15" ht="15" x14ac:dyDescent="0.25">
      <c r="A44" s="33"/>
      <c r="B44" s="47" t="s">
        <v>130</v>
      </c>
      <c r="C44" s="51">
        <v>13156833.609999999</v>
      </c>
      <c r="D44" s="52">
        <v>4.3679999999999997E-2</v>
      </c>
      <c r="E44" s="53">
        <f t="shared" si="6"/>
        <v>574690.49208479992</v>
      </c>
      <c r="F44" s="54"/>
      <c r="G44" s="47" t="s">
        <v>105</v>
      </c>
      <c r="H44" s="55">
        <v>1592744.5948062595</v>
      </c>
      <c r="I44" s="67">
        <v>2.4320000000000001E-2</v>
      </c>
      <c r="J44" s="53">
        <f t="shared" si="5"/>
        <v>38735.548545688231</v>
      </c>
      <c r="K44" s="34"/>
      <c r="L44" s="47" t="s">
        <v>113</v>
      </c>
      <c r="M44" s="72">
        <v>2848116.9062966332</v>
      </c>
      <c r="N44" s="67">
        <v>3.2809999999999999E-2</v>
      </c>
      <c r="O44" s="53">
        <f>M44*N44</f>
        <v>93446.715695592531</v>
      </c>
    </row>
    <row r="45" spans="1:15" ht="15" x14ac:dyDescent="0.25">
      <c r="A45" s="33"/>
      <c r="B45" s="47" t="s">
        <v>131</v>
      </c>
      <c r="C45" s="51">
        <v>16585754.41</v>
      </c>
      <c r="D45" s="52">
        <v>4.5269999999999998E-2</v>
      </c>
      <c r="E45" s="53">
        <f t="shared" si="6"/>
        <v>750837.10214069998</v>
      </c>
      <c r="F45" s="54"/>
      <c r="G45" s="47"/>
      <c r="H45" s="55"/>
      <c r="I45" s="67"/>
      <c r="J45" s="53"/>
      <c r="K45" s="34"/>
      <c r="L45" s="56"/>
      <c r="M45" s="76"/>
      <c r="N45" s="67"/>
      <c r="O45" s="73"/>
    </row>
    <row r="46" spans="1:15" ht="15" x14ac:dyDescent="0.25">
      <c r="A46" s="33"/>
      <c r="B46" s="47" t="s">
        <v>132</v>
      </c>
      <c r="C46" s="51">
        <v>16669531.419999998</v>
      </c>
      <c r="D46" s="52">
        <v>4.623E-2</v>
      </c>
      <c r="E46" s="53">
        <f t="shared" si="6"/>
        <v>770632.43754659989</v>
      </c>
      <c r="F46" s="34"/>
      <c r="G46" s="58">
        <f>COUNTA(G33:G45)</f>
        <v>11</v>
      </c>
      <c r="H46" s="55">
        <f>SUM(H34:H44)</f>
        <v>100852986.59577687</v>
      </c>
      <c r="I46" s="59">
        <f>ROUND(J46/H46,5)</f>
        <v>4.2930000000000003E-2</v>
      </c>
      <c r="J46" s="75">
        <f>SUM(J34:J44)</f>
        <v>4329721.5896814167</v>
      </c>
      <c r="K46" s="34"/>
      <c r="L46" s="58">
        <f>COUNTA(L43:L45)</f>
        <v>2</v>
      </c>
      <c r="M46" s="55">
        <f>SUM(M43:M44)</f>
        <v>5735019.0888861604</v>
      </c>
      <c r="N46" s="59">
        <f>ROUND(O46/M46,5)</f>
        <v>3.1099999999999999E-2</v>
      </c>
      <c r="O46" s="73">
        <f>SUM(O43:O44)</f>
        <v>178379.37790737645</v>
      </c>
    </row>
    <row r="47" spans="1:15" ht="15" x14ac:dyDescent="0.25">
      <c r="A47" s="33"/>
      <c r="B47" s="47" t="s">
        <v>133</v>
      </c>
      <c r="C47" s="51">
        <v>5177395.5299999984</v>
      </c>
      <c r="D47" s="52">
        <v>4.2979999999999997E-2</v>
      </c>
      <c r="E47" s="53">
        <f t="shared" si="6"/>
        <v>222524.45987939992</v>
      </c>
      <c r="F47" s="38"/>
      <c r="J47" s="85"/>
      <c r="K47" s="34"/>
      <c r="L47" s="47"/>
      <c r="M47" s="72"/>
      <c r="N47" s="67"/>
      <c r="O47" s="53"/>
    </row>
    <row r="48" spans="1:15" ht="15" x14ac:dyDescent="0.25">
      <c r="A48" s="34"/>
      <c r="B48" s="47" t="s">
        <v>134</v>
      </c>
      <c r="C48" s="51">
        <v>16427501.869999997</v>
      </c>
      <c r="D48" s="52">
        <v>4.3470000000000002E-2</v>
      </c>
      <c r="E48" s="53">
        <f t="shared" si="6"/>
        <v>714103.50628889992</v>
      </c>
      <c r="F48" s="33"/>
      <c r="G48" s="29"/>
      <c r="H48" s="30" t="s">
        <v>67</v>
      </c>
      <c r="I48" s="31"/>
      <c r="J48" s="32"/>
      <c r="K48" s="33"/>
      <c r="L48" s="29"/>
      <c r="M48" s="30" t="s">
        <v>67</v>
      </c>
      <c r="N48" s="31"/>
      <c r="O48" s="32"/>
    </row>
    <row r="49" spans="1:15" ht="15" x14ac:dyDescent="0.25">
      <c r="A49" s="34"/>
      <c r="B49" s="47" t="s">
        <v>135</v>
      </c>
      <c r="C49" s="51">
        <v>16478659.900000006</v>
      </c>
      <c r="D49" s="52">
        <v>4.4049999999999999E-2</v>
      </c>
      <c r="E49" s="53">
        <f t="shared" si="6"/>
        <v>725884.96859500022</v>
      </c>
      <c r="F49" s="33"/>
      <c r="G49" s="35" t="s">
        <v>68</v>
      </c>
      <c r="H49" s="30" t="s">
        <v>69</v>
      </c>
      <c r="I49" s="36" t="s">
        <v>70</v>
      </c>
      <c r="J49" s="37" t="s">
        <v>71</v>
      </c>
      <c r="K49" s="33"/>
      <c r="L49" s="35" t="s">
        <v>68</v>
      </c>
      <c r="M49" s="30" t="s">
        <v>69</v>
      </c>
      <c r="N49" s="36" t="s">
        <v>70</v>
      </c>
      <c r="O49" s="37" t="s">
        <v>71</v>
      </c>
    </row>
    <row r="50" spans="1:15" ht="15" x14ac:dyDescent="0.25">
      <c r="A50" s="34"/>
      <c r="B50" s="47" t="s">
        <v>136</v>
      </c>
      <c r="C50" s="51">
        <v>4456035.4200000009</v>
      </c>
      <c r="D50" s="52">
        <v>2.8459999999999999E-2</v>
      </c>
      <c r="E50" s="53">
        <f t="shared" si="6"/>
        <v>126818.76805320002</v>
      </c>
      <c r="F50" s="33" t="s">
        <v>137</v>
      </c>
      <c r="G50" s="40" t="s">
        <v>73</v>
      </c>
      <c r="H50" s="43">
        <f>C12</f>
        <v>45777</v>
      </c>
      <c r="I50" s="40" t="s">
        <v>74</v>
      </c>
      <c r="J50" s="42" t="s">
        <v>70</v>
      </c>
      <c r="K50" s="33" t="s">
        <v>138</v>
      </c>
      <c r="L50" s="40" t="s">
        <v>73</v>
      </c>
      <c r="M50" s="41">
        <f>C12</f>
        <v>45777</v>
      </c>
      <c r="N50" s="40" t="s">
        <v>74</v>
      </c>
      <c r="O50" s="42" t="s">
        <v>70</v>
      </c>
    </row>
    <row r="51" spans="1:15" ht="15" x14ac:dyDescent="0.25">
      <c r="A51" s="34"/>
      <c r="B51" s="47" t="s">
        <v>139</v>
      </c>
      <c r="C51" s="51">
        <v>15777738.780000003</v>
      </c>
      <c r="D51" s="52">
        <v>3.6510000000000001E-2</v>
      </c>
      <c r="E51" s="53">
        <f t="shared" si="6"/>
        <v>576045.2428578001</v>
      </c>
      <c r="F51" s="34"/>
      <c r="G51" s="47"/>
      <c r="H51" s="48"/>
      <c r="I51" s="49"/>
      <c r="J51" s="50"/>
      <c r="K51" s="34"/>
      <c r="L51" s="56"/>
      <c r="M51" s="74"/>
      <c r="N51" s="67"/>
      <c r="O51" s="32"/>
    </row>
    <row r="52" spans="1:15" ht="15" x14ac:dyDescent="0.25">
      <c r="A52" s="34"/>
      <c r="B52" s="47" t="s">
        <v>140</v>
      </c>
      <c r="C52" s="51">
        <v>9580117.5300000012</v>
      </c>
      <c r="D52" s="52">
        <v>4.2520000000000002E-2</v>
      </c>
      <c r="E52" s="53">
        <f t="shared" si="6"/>
        <v>407346.59737560007</v>
      </c>
      <c r="F52" s="34"/>
      <c r="G52" s="47" t="s">
        <v>141</v>
      </c>
      <c r="H52" s="55">
        <v>275767.78999999992</v>
      </c>
      <c r="I52" s="52">
        <v>3.9129999999999998E-2</v>
      </c>
      <c r="J52" s="53">
        <f t="shared" ref="J52:J58" si="7">H52*I52</f>
        <v>10790.793622699997</v>
      </c>
      <c r="K52" s="34"/>
      <c r="L52" s="47" t="s">
        <v>142</v>
      </c>
      <c r="M52" s="72">
        <v>21030.086610108152</v>
      </c>
      <c r="N52" s="67">
        <v>1.264E-2</v>
      </c>
      <c r="O52" s="53">
        <f t="shared" ref="O52:O57" si="8">M52*N52</f>
        <v>265.82029475176705</v>
      </c>
    </row>
    <row r="53" spans="1:15" ht="15" x14ac:dyDescent="0.25">
      <c r="A53" s="34"/>
      <c r="B53" s="47" t="s">
        <v>143</v>
      </c>
      <c r="C53" s="51">
        <v>1212042.02</v>
      </c>
      <c r="D53" s="52">
        <v>3.9539999999999999E-2</v>
      </c>
      <c r="E53" s="53">
        <f t="shared" si="6"/>
        <v>47924.141470800001</v>
      </c>
      <c r="F53" s="34"/>
      <c r="G53" s="47" t="s">
        <v>144</v>
      </c>
      <c r="H53" s="55">
        <v>15338745.689999999</v>
      </c>
      <c r="I53" s="52">
        <v>2.3019999999999999E-2</v>
      </c>
      <c r="J53" s="53">
        <f t="shared" si="7"/>
        <v>353097.92578379996</v>
      </c>
      <c r="K53" s="34"/>
      <c r="L53" s="47" t="s">
        <v>113</v>
      </c>
      <c r="M53" s="72">
        <v>6011896.4543537749</v>
      </c>
      <c r="N53" s="67">
        <v>3.1030000000000002E-2</v>
      </c>
      <c r="O53" s="53">
        <f t="shared" si="8"/>
        <v>186549.14697859765</v>
      </c>
    </row>
    <row r="54" spans="1:15" ht="15" x14ac:dyDescent="0.25">
      <c r="A54" s="34"/>
      <c r="B54" s="47" t="s">
        <v>145</v>
      </c>
      <c r="C54" s="51">
        <v>1057975.8500000001</v>
      </c>
      <c r="D54" s="52">
        <v>2.3689999999999999E-2</v>
      </c>
      <c r="E54" s="53">
        <f t="shared" si="6"/>
        <v>25063.447886500002</v>
      </c>
      <c r="F54" s="34"/>
      <c r="G54" s="47" t="s">
        <v>146</v>
      </c>
      <c r="H54" s="55">
        <v>14853228.929999996</v>
      </c>
      <c r="I54" s="52">
        <v>2.3380000000000001E-2</v>
      </c>
      <c r="J54" s="53">
        <f t="shared" si="7"/>
        <v>347268.49238339992</v>
      </c>
      <c r="K54" s="34"/>
      <c r="L54" s="47" t="s">
        <v>147</v>
      </c>
      <c r="M54" s="72">
        <v>121.18209422941968</v>
      </c>
      <c r="N54" s="67">
        <v>4.1910000000000003E-2</v>
      </c>
      <c r="O54" s="53">
        <f t="shared" si="8"/>
        <v>5.0787415691549791</v>
      </c>
    </row>
    <row r="55" spans="1:15" ht="15" x14ac:dyDescent="0.25">
      <c r="A55" s="34"/>
      <c r="B55" s="56"/>
      <c r="C55" s="55"/>
      <c r="D55" s="71"/>
      <c r="E55" s="53"/>
      <c r="F55" s="34"/>
      <c r="G55" s="47" t="s">
        <v>148</v>
      </c>
      <c r="H55" s="55">
        <v>8123016.6400000025</v>
      </c>
      <c r="I55" s="52">
        <v>2.5100000000000001E-2</v>
      </c>
      <c r="J55" s="53">
        <f t="shared" si="7"/>
        <v>203887.71766400005</v>
      </c>
      <c r="K55" s="34"/>
      <c r="L55" s="47" t="s">
        <v>116</v>
      </c>
      <c r="M55" s="72">
        <v>208925573.24743026</v>
      </c>
      <c r="N55" s="67">
        <v>5.1799999999999999E-2</v>
      </c>
      <c r="O55" s="53">
        <f t="shared" si="8"/>
        <v>10822344.694216888</v>
      </c>
    </row>
    <row r="56" spans="1:15" ht="15" x14ac:dyDescent="0.25">
      <c r="A56" s="34"/>
      <c r="B56" s="58">
        <f>COUNTA(B38:B54)</f>
        <v>17</v>
      </c>
      <c r="C56" s="55">
        <f>SUM(C38:C54)</f>
        <v>251567331.81999996</v>
      </c>
      <c r="D56" s="59">
        <f>ROUND(E56/C56,5)</f>
        <v>4.4179999999999997E-2</v>
      </c>
      <c r="E56" s="53">
        <f>SUM(E38:E54)</f>
        <v>11113537.821154198</v>
      </c>
      <c r="F56" s="34"/>
      <c r="G56" s="47" t="s">
        <v>149</v>
      </c>
      <c r="H56" s="55">
        <v>4411042.3099999996</v>
      </c>
      <c r="I56" s="52">
        <v>2.393E-2</v>
      </c>
      <c r="J56" s="53">
        <f t="shared" si="7"/>
        <v>105556.24247829999</v>
      </c>
      <c r="K56" s="34"/>
      <c r="L56" s="58" t="s">
        <v>150</v>
      </c>
      <c r="M56" s="51">
        <v>25184180.170845583</v>
      </c>
      <c r="N56" s="67">
        <v>4.5269999999999998E-2</v>
      </c>
      <c r="O56" s="53">
        <f t="shared" si="8"/>
        <v>1140087.8363341794</v>
      </c>
    </row>
    <row r="57" spans="1:15" ht="15" x14ac:dyDescent="0.25">
      <c r="A57" s="34"/>
      <c r="F57" s="34"/>
      <c r="G57" s="47" t="s">
        <v>151</v>
      </c>
      <c r="H57" s="55">
        <v>2537624.1745927003</v>
      </c>
      <c r="I57" s="52">
        <v>3.338E-2</v>
      </c>
      <c r="J57" s="53">
        <f t="shared" si="7"/>
        <v>84705.894947904337</v>
      </c>
      <c r="K57" s="34"/>
      <c r="L57" s="47" t="s">
        <v>152</v>
      </c>
      <c r="M57" s="74">
        <v>4666597.7010776643</v>
      </c>
      <c r="N57" s="67">
        <v>4.2070000000000003E-2</v>
      </c>
      <c r="O57" s="53">
        <f t="shared" si="8"/>
        <v>196323.76528433737</v>
      </c>
    </row>
    <row r="58" spans="1:15" ht="15" x14ac:dyDescent="0.25">
      <c r="A58" s="34"/>
      <c r="F58" s="34"/>
      <c r="G58" s="47" t="s">
        <v>153</v>
      </c>
      <c r="H58" s="55">
        <v>4053801.8912190003</v>
      </c>
      <c r="I58" s="52">
        <v>3.5130000000000002E-2</v>
      </c>
      <c r="J58" s="53">
        <f t="shared" si="7"/>
        <v>142410.06043852348</v>
      </c>
      <c r="K58" s="34"/>
      <c r="L58" s="47"/>
      <c r="M58" s="74"/>
      <c r="N58" s="67"/>
      <c r="O58" s="53"/>
    </row>
    <row r="59" spans="1:15" ht="15" x14ac:dyDescent="0.25">
      <c r="A59" s="34"/>
      <c r="F59" s="34"/>
      <c r="G59" s="47"/>
      <c r="H59" s="55"/>
      <c r="I59" s="52"/>
      <c r="J59" s="53"/>
      <c r="K59" s="34"/>
      <c r="L59" s="58">
        <f>COUNTA(L52:L57)</f>
        <v>6</v>
      </c>
      <c r="M59" s="55">
        <f>SUM(M52:M57)</f>
        <v>244809398.84241161</v>
      </c>
      <c r="N59" s="59">
        <f>ROUND(O59/M59,5)</f>
        <v>5.0430000000000003E-2</v>
      </c>
      <c r="O59" s="73">
        <f>SUM(O52:O57)</f>
        <v>12345576.341850324</v>
      </c>
    </row>
    <row r="60" spans="1:15" ht="15" x14ac:dyDescent="0.25">
      <c r="A60" s="34"/>
      <c r="F60" s="62"/>
      <c r="G60" s="58">
        <f>COUNTA(G51:G58)</f>
        <v>7</v>
      </c>
      <c r="H60" s="51">
        <f>SUM(H51:H58)</f>
        <v>49593227.425811701</v>
      </c>
      <c r="I60" s="63">
        <f>ROUND(J60/H60,5)</f>
        <v>2.5159999999999998E-2</v>
      </c>
      <c r="J60" s="64">
        <f>SUM(J51:J58)</f>
        <v>1247717.1273186277</v>
      </c>
      <c r="K60" s="34"/>
      <c r="L60" s="58"/>
      <c r="M60" s="51"/>
      <c r="N60" s="63"/>
      <c r="O60" s="64"/>
    </row>
    <row r="61" spans="1:15" ht="15" x14ac:dyDescent="0.25">
      <c r="A61" s="77"/>
      <c r="B61" s="78"/>
      <c r="C61" s="78"/>
      <c r="D61" s="78"/>
      <c r="E61" s="78"/>
      <c r="F61" s="79"/>
      <c r="G61" s="78"/>
      <c r="H61" s="78"/>
      <c r="I61" s="78"/>
      <c r="J61" s="80"/>
      <c r="K61" s="79"/>
      <c r="L61" s="78"/>
      <c r="M61" s="78"/>
      <c r="N61" s="78"/>
      <c r="O61" s="80"/>
    </row>
    <row r="62" spans="1:15" ht="15" x14ac:dyDescent="0.25">
      <c r="A62" s="87"/>
    </row>
    <row r="63" spans="1:15" ht="15" x14ac:dyDescent="0.25">
      <c r="A63" s="87"/>
      <c r="D63" s="3" t="s">
        <v>154</v>
      </c>
    </row>
    <row r="64" spans="1:15" ht="15" x14ac:dyDescent="0.25">
      <c r="A64" s="87"/>
      <c r="C64" s="81"/>
    </row>
    <row r="65" spans="1:9" ht="15" x14ac:dyDescent="0.25">
      <c r="A65" s="87"/>
      <c r="D65" s="3" t="s">
        <v>155</v>
      </c>
      <c r="I65" s="88"/>
    </row>
    <row r="66" spans="1:9" ht="15" x14ac:dyDescent="0.25">
      <c r="A66" s="87"/>
      <c r="D66" s="82" t="s">
        <v>156</v>
      </c>
      <c r="E66" s="81" t="s">
        <v>157</v>
      </c>
      <c r="F66" s="3" t="s">
        <v>74</v>
      </c>
    </row>
    <row r="67" spans="1:9" ht="15" x14ac:dyDescent="0.25">
      <c r="A67" s="87"/>
      <c r="D67" s="90">
        <f>B18</f>
        <v>3</v>
      </c>
      <c r="E67" s="81">
        <f>C18</f>
        <v>16683102.660000002</v>
      </c>
      <c r="F67" s="89">
        <f>D18</f>
        <v>4.4089999999999997E-2</v>
      </c>
    </row>
    <row r="68" spans="1:9" ht="15" x14ac:dyDescent="0.25">
      <c r="A68" s="87"/>
      <c r="D68" s="90">
        <f>B32</f>
        <v>7</v>
      </c>
      <c r="E68" s="81">
        <f>C32</f>
        <v>92883694.560000002</v>
      </c>
      <c r="F68" s="89">
        <f>D32</f>
        <v>4.4490000000000002E-2</v>
      </c>
    </row>
    <row r="69" spans="1:9" ht="15" x14ac:dyDescent="0.25">
      <c r="A69" s="87"/>
      <c r="D69" s="90">
        <f>B56</f>
        <v>17</v>
      </c>
      <c r="E69" s="81">
        <f>C56</f>
        <v>251567331.81999996</v>
      </c>
      <c r="F69" s="89">
        <f>D56</f>
        <v>4.4179999999999997E-2</v>
      </c>
      <c r="H69" s="91"/>
    </row>
    <row r="70" spans="1:9" ht="15" x14ac:dyDescent="0.25">
      <c r="A70" s="87"/>
      <c r="D70" s="90">
        <f>G28</f>
        <v>13</v>
      </c>
      <c r="E70" s="81">
        <f>H28</f>
        <v>140611213.61555141</v>
      </c>
      <c r="F70" s="89">
        <f>I28</f>
        <v>4.3889999999999998E-2</v>
      </c>
    </row>
    <row r="71" spans="1:9" ht="15" x14ac:dyDescent="0.25">
      <c r="A71" s="87"/>
      <c r="D71" s="90">
        <f>G46</f>
        <v>11</v>
      </c>
      <c r="E71" s="81">
        <f>H46</f>
        <v>100852986.59577687</v>
      </c>
      <c r="F71" s="89">
        <f>I46</f>
        <v>4.2930000000000003E-2</v>
      </c>
    </row>
    <row r="72" spans="1:9" x14ac:dyDescent="0.2">
      <c r="D72" s="90">
        <f>G60</f>
        <v>7</v>
      </c>
      <c r="E72" s="81">
        <f>H60</f>
        <v>49593227.425811701</v>
      </c>
      <c r="F72" s="89">
        <f>I60</f>
        <v>2.5159999999999998E-2</v>
      </c>
    </row>
    <row r="73" spans="1:9" x14ac:dyDescent="0.2">
      <c r="D73" s="90">
        <f>L23</f>
        <v>9</v>
      </c>
      <c r="E73" s="81">
        <f>M23</f>
        <v>160409045.97</v>
      </c>
      <c r="F73" s="89">
        <f>N23</f>
        <v>2.928E-2</v>
      </c>
    </row>
    <row r="74" spans="1:9" x14ac:dyDescent="0.2">
      <c r="D74" s="90">
        <f>L37</f>
        <v>8</v>
      </c>
      <c r="E74" s="81">
        <f>M37</f>
        <v>43444893.279848695</v>
      </c>
      <c r="F74" s="89">
        <f>N37</f>
        <v>2.8639999999999999E-2</v>
      </c>
    </row>
    <row r="75" spans="1:9" x14ac:dyDescent="0.2">
      <c r="D75" s="90">
        <f>L46</f>
        <v>2</v>
      </c>
      <c r="E75" s="81">
        <f>M46</f>
        <v>5735019.0888861604</v>
      </c>
      <c r="F75" s="89">
        <f>N46</f>
        <v>3.1099999999999999E-2</v>
      </c>
    </row>
    <row r="76" spans="1:9" x14ac:dyDescent="0.2">
      <c r="D76" s="90">
        <f>L59</f>
        <v>6</v>
      </c>
      <c r="E76" s="81">
        <f>M59</f>
        <v>244809398.84241161</v>
      </c>
      <c r="F76" s="89">
        <f>N59</f>
        <v>5.0430000000000003E-2</v>
      </c>
      <c r="G76" s="89"/>
    </row>
    <row r="78" spans="1:9" x14ac:dyDescent="0.2">
      <c r="E78" s="81">
        <f>SUM(E67:E76)</f>
        <v>1106589913.8582864</v>
      </c>
      <c r="F78" s="89">
        <f>SUMPRODUCT(E67:E76,F67:F76)/SUM(E67:E76)</f>
        <v>4.1746399345889709E-2</v>
      </c>
      <c r="G78" s="3" t="s">
        <v>158</v>
      </c>
    </row>
  </sheetData>
  <mergeCells count="6">
    <mergeCell ref="A4:N4"/>
    <mergeCell ref="A5:N5"/>
    <mergeCell ref="A6:N6"/>
    <mergeCell ref="A8:E8"/>
    <mergeCell ref="F8:J8"/>
    <mergeCell ref="K8:O8"/>
  </mergeCells>
  <pageMargins left="0.7" right="0.7" top="0.75" bottom="0.75" header="0.3" footer="0.3"/>
  <pageSetup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980b554da23a07fc20832a1dd7bf2e0e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8e4adc7ef244004100da516e020dff9c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ea435f-7073-4c60-9060-e78a3a9f8d50" xsi:nil="true"/>
    <Comment xmlns="ae06fcea-541a-49e3-952a-5eaf56d381f3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1A1256-681B-453D-B6E1-AE52409E11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CDC2F-EC1A-49C8-A588-F2FEC8111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6fcea-541a-49e3-952a-5eaf56d381f3"/>
    <ds:schemaRef ds:uri="daea435f-7073-4c60-9060-e78a3a9f8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316F9D-A604-425D-9230-9A3D3AB22880}">
  <ds:schemaRefs>
    <ds:schemaRef ds:uri="http://schemas.microsoft.com/office/2006/metadata/properties"/>
    <ds:schemaRef ds:uri="http://schemas.microsoft.com/office/infopath/2007/PartnerControls"/>
    <ds:schemaRef ds:uri="daea435f-7073-4c60-9060-e78a3a9f8d50"/>
    <ds:schemaRef ds:uri="ae06fcea-541a-49e3-952a-5eaf56d381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Rate of Return</vt:lpstr>
      <vt:lpstr>LTD Interest Rates</vt:lpstr>
      <vt:lpstr>'Rate of Return'!Print_Area</vt:lpstr>
    </vt:vector>
  </TitlesOfParts>
  <Manager/>
  <Company>East Kentcuky Power Cooperative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 Buttleman</dc:creator>
  <cp:keywords/>
  <dc:description/>
  <cp:lastModifiedBy>Jacob Watson</cp:lastModifiedBy>
  <cp:revision/>
  <dcterms:created xsi:type="dcterms:W3CDTF">2023-05-12T14:50:02Z</dcterms:created>
  <dcterms:modified xsi:type="dcterms:W3CDTF">2025-09-22T17:29:14Z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