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cing\Share\000 - PSC Cases\PSC Case 2025-00053 - ESC Plan Amendment\PSC DR 1\Archive\"/>
    </mc:Choice>
  </mc:AlternateContent>
  <xr:revisionPtr revIDLastSave="0" documentId="13_ncr:1_{DDF7A834-1BA2-4A58-94FE-2CC5D316DB14}" xr6:coauthVersionLast="47" xr6:coauthVersionMax="47" xr10:uidLastSave="{00000000-0000-0000-0000-000000000000}"/>
  <bookViews>
    <workbookView xWindow="5415" yWindow="5415" windowWidth="38700" windowHeight="15285" xr2:uid="{C279BF6C-9A68-4021-9869-74AE761B5FA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8" i="1" l="1"/>
  <c r="H18" i="1" s="1"/>
  <c r="G17" i="1"/>
  <c r="F16" i="1"/>
  <c r="H16" i="1" s="1"/>
  <c r="I16" i="1" s="1"/>
  <c r="F15" i="1"/>
  <c r="H15" i="1" s="1"/>
  <c r="G14" i="1"/>
  <c r="F14" i="1"/>
  <c r="H14" i="1" s="1"/>
  <c r="I14" i="1" s="1"/>
  <c r="F13" i="1"/>
  <c r="H13" i="1" s="1"/>
  <c r="J13" i="1" s="1"/>
  <c r="F12" i="1"/>
  <c r="H12" i="1" s="1"/>
  <c r="F11" i="1"/>
  <c r="H11" i="1" s="1"/>
  <c r="G10" i="1"/>
  <c r="F10" i="1" s="1"/>
  <c r="F9" i="1"/>
  <c r="H9" i="1" s="1"/>
  <c r="J9" i="1" s="1"/>
  <c r="F8" i="1"/>
  <c r="H8" i="1" s="1"/>
  <c r="I8" i="1" s="1"/>
  <c r="F7" i="1"/>
  <c r="H7" i="1" s="1"/>
  <c r="F6" i="1"/>
  <c r="J6" i="1" s="1"/>
  <c r="F5" i="1"/>
  <c r="H5" i="1" s="1"/>
  <c r="J5" i="1" s="1"/>
  <c r="F4" i="1"/>
  <c r="H4" i="1" s="1"/>
  <c r="I4" i="1" s="1"/>
  <c r="I5" i="1" l="1"/>
  <c r="L9" i="1"/>
  <c r="K9" i="1"/>
  <c r="J12" i="1"/>
  <c r="I12" i="1"/>
  <c r="L13" i="1"/>
  <c r="K13" i="1"/>
  <c r="I9" i="1"/>
  <c r="I13" i="1"/>
  <c r="J4" i="1"/>
  <c r="L5" i="1"/>
  <c r="K5" i="1"/>
  <c r="L6" i="1"/>
  <c r="K6" i="1"/>
  <c r="J7" i="1"/>
  <c r="I7" i="1"/>
  <c r="J8" i="1"/>
  <c r="J11" i="1"/>
  <c r="I11" i="1"/>
  <c r="J14" i="1"/>
  <c r="J15" i="1"/>
  <c r="I15" i="1"/>
  <c r="J16" i="1"/>
  <c r="I18" i="1"/>
  <c r="J18" i="1"/>
  <c r="H10" i="1"/>
  <c r="J10" i="1" s="1"/>
  <c r="L10" i="1" s="1"/>
  <c r="N10" i="1" s="1"/>
  <c r="O10" i="1" s="1"/>
  <c r="F17" i="1"/>
  <c r="H17" i="1" s="1"/>
  <c r="K10" i="1" l="1"/>
  <c r="J17" i="1"/>
  <c r="I17" i="1"/>
  <c r="K15" i="1"/>
  <c r="L15" i="1"/>
  <c r="L16" i="1"/>
  <c r="K16" i="1"/>
  <c r="K7" i="1"/>
  <c r="L7" i="1"/>
  <c r="N5" i="1"/>
  <c r="O5" i="1" s="1"/>
  <c r="M5" i="1"/>
  <c r="K11" i="1"/>
  <c r="L11" i="1"/>
  <c r="L4" i="1"/>
  <c r="K4" i="1"/>
  <c r="L12" i="1"/>
  <c r="K12" i="1"/>
  <c r="L18" i="1"/>
  <c r="K18" i="1"/>
  <c r="L8" i="1"/>
  <c r="K8" i="1"/>
  <c r="M6" i="1"/>
  <c r="N6" i="1"/>
  <c r="O6" i="1" s="1"/>
  <c r="I10" i="1"/>
  <c r="L14" i="1"/>
  <c r="K14" i="1"/>
  <c r="M10" i="1"/>
  <c r="N13" i="1"/>
  <c r="O13" i="1" s="1"/>
  <c r="M13" i="1"/>
  <c r="N9" i="1"/>
  <c r="O9" i="1" s="1"/>
  <c r="M9" i="1"/>
  <c r="M14" i="1" l="1"/>
  <c r="N14" i="1"/>
  <c r="O14" i="1" s="1"/>
  <c r="N11" i="1"/>
  <c r="O11" i="1" s="1"/>
  <c r="M11" i="1"/>
  <c r="N7" i="1"/>
  <c r="O7" i="1" s="1"/>
  <c r="M7" i="1"/>
  <c r="N15" i="1"/>
  <c r="O15" i="1" s="1"/>
  <c r="M15" i="1"/>
  <c r="M8" i="1"/>
  <c r="N8" i="1"/>
  <c r="O8" i="1" s="1"/>
  <c r="N12" i="1"/>
  <c r="O12" i="1" s="1"/>
  <c r="M12" i="1"/>
  <c r="N18" i="1"/>
  <c r="O18" i="1" s="1"/>
  <c r="M18" i="1"/>
  <c r="M4" i="1"/>
  <c r="N4" i="1"/>
  <c r="O4" i="1" s="1"/>
  <c r="N16" i="1"/>
  <c r="O16" i="1" s="1"/>
  <c r="M16" i="1"/>
  <c r="L17" i="1"/>
  <c r="K17" i="1"/>
  <c r="N17" i="1" l="1"/>
  <c r="O17" i="1" s="1"/>
  <c r="M17" i="1"/>
</calcChain>
</file>

<file path=xl/sharedStrings.xml><?xml version="1.0" encoding="utf-8"?>
<sst xmlns="http://schemas.openxmlformats.org/spreadsheetml/2006/main" count="51" uniqueCount="50">
  <si>
    <t>Items</t>
  </si>
  <si>
    <t>PROJECT ID</t>
  </si>
  <si>
    <t>LTD_Actual_Total</t>
  </si>
  <si>
    <t>Total Forecasted Project Cost</t>
  </si>
  <si>
    <t>Depreciation Rate</t>
  </si>
  <si>
    <t>Annual Depreciation</t>
  </si>
  <si>
    <t>Current CWIP</t>
  </si>
  <si>
    <t>25 Year End NBV</t>
  </si>
  <si>
    <t>25 Year End A/D</t>
  </si>
  <si>
    <t>26 Year End NBV</t>
  </si>
  <si>
    <t>26 Year End A/D</t>
  </si>
  <si>
    <t>27 Year End NBV</t>
  </si>
  <si>
    <t>27 Year End A/D</t>
  </si>
  <si>
    <t>28 Year End NBV</t>
  </si>
  <si>
    <t>28 Year End A/D</t>
  </si>
  <si>
    <t>Spurlock South Side Cap</t>
  </si>
  <si>
    <t>A0366</t>
  </si>
  <si>
    <t>JK Smith Final Cap</t>
  </si>
  <si>
    <t>A0375</t>
  </si>
  <si>
    <t>Spurlock Landfill Haul Road Paving Phase 2</t>
  </si>
  <si>
    <t>0S583</t>
  </si>
  <si>
    <t>Cooper U2 Air Heater Basket/Seal Replacement</t>
  </si>
  <si>
    <t>0B436</t>
  </si>
  <si>
    <t>Cooper Unit 2 Replace Middle Layer SCR Catalyst</t>
  </si>
  <si>
    <t>0B435</t>
  </si>
  <si>
    <t>Cooper SCR - Top Catalyst Layer Replacement 2024/25</t>
  </si>
  <si>
    <t>0B434</t>
  </si>
  <si>
    <t>Spurlock WWT - Ash Reliability Improvements</t>
  </si>
  <si>
    <t>0S580</t>
  </si>
  <si>
    <t>Spurlock Landfill Westside pump station</t>
  </si>
  <si>
    <t>0S596</t>
  </si>
  <si>
    <t>Spurlock Unit 3 &amp; 4 Cooling Tower Concentrated Acid Tank - Add second tank</t>
  </si>
  <si>
    <t>0S573</t>
  </si>
  <si>
    <t>0.0335; 0.0367</t>
  </si>
  <si>
    <t>Spurlock Vac Truck Air Compressor</t>
  </si>
  <si>
    <t>0S584</t>
  </si>
  <si>
    <t>Cooper Landfill Leachate System 480 Volt Electric</t>
  </si>
  <si>
    <t>0B433</t>
  </si>
  <si>
    <t>Spurlock WWT Distilate System Upgrades</t>
  </si>
  <si>
    <t>0S574</t>
  </si>
  <si>
    <t>Spurlock Water Mass Balance Pond- Install Heat Trace on Supply/Return Lines to Pond</t>
  </si>
  <si>
    <t>0S587</t>
  </si>
  <si>
    <t>Spurlock Landfill A, B, C Runon and Runoff Upgrade</t>
  </si>
  <si>
    <t>0S541</t>
  </si>
  <si>
    <t>Spurlock CCR ELG Operations Control Facility (Environmental Plant Operational Facility)</t>
  </si>
  <si>
    <t>0S576</t>
  </si>
  <si>
    <t>Spurlock Unit 3 and Unit 4 - Dust Suppression for BC3, BC4, PC3 and PC4 Conveyors</t>
  </si>
  <si>
    <t>0S575</t>
  </si>
  <si>
    <t>Spurlock Station Ash Cooling Actuators</t>
  </si>
  <si>
    <t>0S571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</si>
</sst>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2" fillId="0" borderId="0" xfId="2" applyFont="1" applyFill="1"/>
    <xf numFmtId="43" fontId="2" fillId="0" borderId="0" xfId="1" applyFont="1" applyFill="1"/>
    <xf numFmtId="0" fontId="2" fillId="0" borderId="0" xfId="0" quotePrefix="1" applyFont="1"/>
    <xf numFmtId="3" fontId="2" fillId="0" borderId="0" xfId="0" applyNumberFormat="1" applyFont="1"/>
    <xf numFmtId="44" fontId="2" fillId="0" borderId="1" xfId="2" applyFont="1" applyFill="1" applyBorder="1"/>
    <xf numFmtId="44" fontId="2" fillId="0" borderId="2" xfId="2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44" fontId="2" fillId="0" borderId="0" xfId="2" applyFont="1" applyFill="1" applyBorder="1"/>
    <xf numFmtId="44" fontId="2" fillId="0" borderId="5" xfId="2" applyFont="1" applyFill="1" applyBorder="1"/>
    <xf numFmtId="4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44" fontId="2" fillId="0" borderId="6" xfId="2" applyFont="1" applyFill="1" applyBorder="1"/>
    <xf numFmtId="44" fontId="2" fillId="0" borderId="7" xfId="2" applyFont="1" applyFill="1" applyBorder="1"/>
    <xf numFmtId="44" fontId="2" fillId="0" borderId="8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FBF3-8E66-496D-99A5-066972C441BD}">
  <dimension ref="A1:O18"/>
  <sheetViews>
    <sheetView tabSelected="1" zoomScale="80" zoomScaleNormal="80" workbookViewId="0">
      <selection activeCell="C12" sqref="C12:C13"/>
    </sheetView>
  </sheetViews>
  <sheetFormatPr defaultColWidth="8.85546875" defaultRowHeight="15" customHeight="1" x14ac:dyDescent="0.25"/>
  <cols>
    <col min="1" max="1" width="88.42578125" style="1" bestFit="1" customWidth="1"/>
    <col min="2" max="2" width="13.42578125" style="1" bestFit="1" customWidth="1"/>
    <col min="3" max="3" width="19.85546875" style="1" bestFit="1" customWidth="1"/>
    <col min="4" max="4" width="30.140625" style="1" bestFit="1" customWidth="1"/>
    <col min="5" max="5" width="18.42578125" style="1" bestFit="1" customWidth="1"/>
    <col min="6" max="6" width="22.85546875" style="1" bestFit="1" customWidth="1"/>
    <col min="7" max="7" width="16.28515625" style="1" bestFit="1" customWidth="1"/>
    <col min="8" max="8" width="17.7109375" style="1" bestFit="1" customWidth="1"/>
    <col min="9" max="9" width="17.28515625" style="1" bestFit="1" customWidth="1"/>
    <col min="10" max="10" width="17.7109375" style="1" bestFit="1" customWidth="1"/>
    <col min="11" max="11" width="17.28515625" style="1" bestFit="1" customWidth="1"/>
    <col min="12" max="12" width="17.7109375" style="1" bestFit="1" customWidth="1"/>
    <col min="13" max="13" width="17.28515625" style="1" bestFit="1" customWidth="1"/>
    <col min="14" max="14" width="17.7109375" style="1" bestFit="1" customWidth="1"/>
    <col min="15" max="15" width="17.28515625" style="1" bestFit="1" customWidth="1"/>
    <col min="16" max="16384" width="8.85546875" style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s="1" t="s">
        <v>15</v>
      </c>
      <c r="B2" s="1" t="s">
        <v>16</v>
      </c>
      <c r="C2" s="3">
        <v>0</v>
      </c>
      <c r="D2" s="5"/>
      <c r="F2" s="2"/>
      <c r="G2" s="3"/>
      <c r="H2" s="6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8">
        <v>0</v>
      </c>
    </row>
    <row r="3" spans="1:15" x14ac:dyDescent="0.25">
      <c r="A3" s="1" t="s">
        <v>17</v>
      </c>
      <c r="B3" s="1" t="s">
        <v>18</v>
      </c>
      <c r="C3" s="3">
        <v>0</v>
      </c>
      <c r="D3" s="5"/>
      <c r="F3" s="2"/>
      <c r="G3" s="3"/>
      <c r="H3" s="9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1">
        <v>0</v>
      </c>
    </row>
    <row r="4" spans="1:15" x14ac:dyDescent="0.25">
      <c r="A4" s="1" t="s">
        <v>19</v>
      </c>
      <c r="B4" s="1" t="s">
        <v>20</v>
      </c>
      <c r="C4" s="12">
        <v>17440</v>
      </c>
      <c r="D4" s="5">
        <v>3414357</v>
      </c>
      <c r="E4" s="1">
        <v>3.39E-2</v>
      </c>
      <c r="F4" s="2">
        <f t="shared" ref="F4:F9" si="0">E4*D4</f>
        <v>115746.7023</v>
      </c>
      <c r="G4" s="3">
        <v>60320.43</v>
      </c>
      <c r="H4" s="9">
        <f>D4-(F4/12*2)</f>
        <v>3395065.88295</v>
      </c>
      <c r="I4" s="10">
        <f>D4-H4</f>
        <v>19291.117050000001</v>
      </c>
      <c r="J4" s="10">
        <f t="shared" ref="J4:J7" si="1">H4-F4</f>
        <v>3279319.18065</v>
      </c>
      <c r="K4" s="10">
        <f t="shared" ref="K4:K9" si="2">D4-J4</f>
        <v>135037.81935000001</v>
      </c>
      <c r="L4" s="10">
        <f t="shared" ref="L4:L7" si="3">J4-F4</f>
        <v>3163572.47835</v>
      </c>
      <c r="M4" s="10">
        <f t="shared" ref="M4:M9" si="4">D4-L4</f>
        <v>250784.52165000001</v>
      </c>
      <c r="N4" s="10">
        <f t="shared" ref="N4:N7" si="5">L4-F4</f>
        <v>3047825.77605</v>
      </c>
      <c r="O4" s="11">
        <f t="shared" ref="O4:O9" si="6">D4-N4</f>
        <v>366531.22395000001</v>
      </c>
    </row>
    <row r="5" spans="1:15" x14ac:dyDescent="0.25">
      <c r="A5" s="1" t="s">
        <v>21</v>
      </c>
      <c r="B5" s="1" t="s">
        <v>22</v>
      </c>
      <c r="C5" s="12">
        <v>95434.73</v>
      </c>
      <c r="D5" s="5">
        <v>2287031</v>
      </c>
      <c r="E5" s="1">
        <v>8.0299999999999996E-2</v>
      </c>
      <c r="F5" s="2">
        <f t="shared" si="0"/>
        <v>183648.58929999999</v>
      </c>
      <c r="G5" s="3">
        <v>506270.82</v>
      </c>
      <c r="H5" s="9">
        <f>D5-(F5/12*8)</f>
        <v>2164598.6071333336</v>
      </c>
      <c r="I5" s="10">
        <f>D5-H5</f>
        <v>122432.39286666643</v>
      </c>
      <c r="J5" s="10">
        <f t="shared" si="1"/>
        <v>1980950.0178333335</v>
      </c>
      <c r="K5" s="10">
        <f t="shared" si="2"/>
        <v>306080.98216666654</v>
      </c>
      <c r="L5" s="10">
        <f t="shared" si="3"/>
        <v>1797301.4285333334</v>
      </c>
      <c r="M5" s="10">
        <f t="shared" si="4"/>
        <v>489729.57146666665</v>
      </c>
      <c r="N5" s="10">
        <f t="shared" si="5"/>
        <v>1613652.8392333332</v>
      </c>
      <c r="O5" s="11">
        <f t="shared" si="6"/>
        <v>673378.16076666676</v>
      </c>
    </row>
    <row r="6" spans="1:15" x14ac:dyDescent="0.25">
      <c r="A6" s="1" t="s">
        <v>23</v>
      </c>
      <c r="B6" s="1" t="s">
        <v>24</v>
      </c>
      <c r="C6" s="3">
        <v>0</v>
      </c>
      <c r="D6" s="5">
        <v>1527472</v>
      </c>
      <c r="E6" s="1">
        <v>8.0299999999999996E-2</v>
      </c>
      <c r="F6" s="2">
        <f t="shared" si="0"/>
        <v>122656.00159999999</v>
      </c>
      <c r="G6" s="3">
        <v>450.44</v>
      </c>
      <c r="H6" s="9">
        <v>0</v>
      </c>
      <c r="I6" s="10">
        <v>0</v>
      </c>
      <c r="J6" s="10">
        <f>D6-(F6/12*8)</f>
        <v>1445701.3322666667</v>
      </c>
      <c r="K6" s="10">
        <f t="shared" si="2"/>
        <v>81770.667733333306</v>
      </c>
      <c r="L6" s="10">
        <f t="shared" si="3"/>
        <v>1323045.3306666666</v>
      </c>
      <c r="M6" s="10">
        <f t="shared" si="4"/>
        <v>204426.66933333338</v>
      </c>
      <c r="N6" s="10">
        <f t="shared" si="5"/>
        <v>1200389.3290666665</v>
      </c>
      <c r="O6" s="11">
        <f t="shared" si="6"/>
        <v>327082.67093333346</v>
      </c>
    </row>
    <row r="7" spans="1:15" x14ac:dyDescent="0.25">
      <c r="A7" s="1" t="s">
        <v>25</v>
      </c>
      <c r="B7" s="1" t="s">
        <v>26</v>
      </c>
      <c r="C7" s="12">
        <v>8392.51</v>
      </c>
      <c r="D7" s="5">
        <v>1296144</v>
      </c>
      <c r="E7" s="13">
        <v>0.04</v>
      </c>
      <c r="F7" s="2">
        <f t="shared" si="0"/>
        <v>51845.760000000002</v>
      </c>
      <c r="G7" s="3">
        <v>689572.93</v>
      </c>
      <c r="H7" s="9">
        <f>D7-(F7/12*8)</f>
        <v>1261580.1599999999</v>
      </c>
      <c r="I7" s="10">
        <f>D7-H7</f>
        <v>34563.840000000084</v>
      </c>
      <c r="J7" s="10">
        <f t="shared" si="1"/>
        <v>1209734.3999999999</v>
      </c>
      <c r="K7" s="10">
        <f t="shared" si="2"/>
        <v>86409.600000000093</v>
      </c>
      <c r="L7" s="10">
        <f t="shared" si="3"/>
        <v>1157888.6399999999</v>
      </c>
      <c r="M7" s="10">
        <f t="shared" si="4"/>
        <v>138255.3600000001</v>
      </c>
      <c r="N7" s="10">
        <f t="shared" si="5"/>
        <v>1106042.8799999999</v>
      </c>
      <c r="O7" s="11">
        <f t="shared" si="6"/>
        <v>190101.12000000011</v>
      </c>
    </row>
    <row r="8" spans="1:15" x14ac:dyDescent="0.25">
      <c r="A8" s="1" t="s">
        <v>27</v>
      </c>
      <c r="B8" s="1" t="s">
        <v>28</v>
      </c>
      <c r="C8" s="12">
        <v>221902.28</v>
      </c>
      <c r="D8" s="5">
        <v>1264820</v>
      </c>
      <c r="E8" s="1">
        <v>3.1399999999999997E-2</v>
      </c>
      <c r="F8" s="2">
        <f t="shared" si="0"/>
        <v>39715.347999999998</v>
      </c>
      <c r="G8" s="3">
        <v>734558.54</v>
      </c>
      <c r="H8" s="9">
        <f>D8-(F8/12*13)</f>
        <v>1221795.0396666666</v>
      </c>
      <c r="I8" s="10">
        <f>D8-H8</f>
        <v>43024.960333333351</v>
      </c>
      <c r="J8" s="10">
        <f>H8-F8</f>
        <v>1182079.6916666667</v>
      </c>
      <c r="K8" s="10">
        <f t="shared" si="2"/>
        <v>82740.308333333349</v>
      </c>
      <c r="L8" s="10">
        <f>J8-F8</f>
        <v>1142364.3436666667</v>
      </c>
      <c r="M8" s="10">
        <f t="shared" si="4"/>
        <v>122455.65633333335</v>
      </c>
      <c r="N8" s="10">
        <f>L8-F8</f>
        <v>1102648.9956666667</v>
      </c>
      <c r="O8" s="11">
        <f t="shared" si="6"/>
        <v>162171.00433333335</v>
      </c>
    </row>
    <row r="9" spans="1:15" x14ac:dyDescent="0.25">
      <c r="A9" s="1" t="s">
        <v>29</v>
      </c>
      <c r="B9" s="1" t="s">
        <v>30</v>
      </c>
      <c r="C9" s="3">
        <v>0</v>
      </c>
      <c r="D9" s="5">
        <v>810000</v>
      </c>
      <c r="E9" s="1">
        <v>3.39E-2</v>
      </c>
      <c r="F9" s="2">
        <f t="shared" si="0"/>
        <v>27459</v>
      </c>
      <c r="G9" s="3">
        <v>206.08</v>
      </c>
      <c r="H9" s="9">
        <f>D9-(F9/12*1)</f>
        <v>807711.75</v>
      </c>
      <c r="I9" s="10">
        <f>D9-H9</f>
        <v>2288.25</v>
      </c>
      <c r="J9" s="10">
        <f t="shared" ref="J9:J16" si="7">H9-F9</f>
        <v>780252.75</v>
      </c>
      <c r="K9" s="10">
        <f t="shared" si="2"/>
        <v>29747.25</v>
      </c>
      <c r="L9" s="10">
        <f t="shared" ref="L9:L16" si="8">J9-F9</f>
        <v>752793.75</v>
      </c>
      <c r="M9" s="10">
        <f t="shared" si="4"/>
        <v>57206.25</v>
      </c>
      <c r="N9" s="10">
        <f t="shared" ref="N9:N16" si="9">L9-F9</f>
        <v>725334.75</v>
      </c>
      <c r="O9" s="11">
        <f t="shared" si="6"/>
        <v>84665.25</v>
      </c>
    </row>
    <row r="10" spans="1:15" x14ac:dyDescent="0.25">
      <c r="A10" s="1" t="s">
        <v>31</v>
      </c>
      <c r="B10" s="1" t="s">
        <v>32</v>
      </c>
      <c r="C10" s="12">
        <v>263898.65999999997</v>
      </c>
      <c r="D10" s="5">
        <v>796929</v>
      </c>
      <c r="E10" s="14" t="s">
        <v>33</v>
      </c>
      <c r="F10" s="2">
        <f>((C10+G10)*0.0335/2)+((C10+G10)*0.0367/2)</f>
        <v>37537.466499000002</v>
      </c>
      <c r="G10" s="3">
        <f>803296.87+2247.96</f>
        <v>805544.83</v>
      </c>
      <c r="H10" s="9">
        <f>(C10+G10)-(F10/12*14)</f>
        <v>1025649.7790844999</v>
      </c>
      <c r="I10" s="10">
        <f>($C10+$G10)-H10</f>
        <v>43793.710915500065</v>
      </c>
      <c r="J10" s="10">
        <f t="shared" si="7"/>
        <v>988112.31258549995</v>
      </c>
      <c r="K10" s="10">
        <f>($C10+$G10)-J10</f>
        <v>81331.177414500038</v>
      </c>
      <c r="L10" s="10">
        <f t="shared" si="8"/>
        <v>950574.84608649998</v>
      </c>
      <c r="M10" s="10">
        <f>($C10+$G10)-L10</f>
        <v>118868.64391350001</v>
      </c>
      <c r="N10" s="10">
        <f t="shared" si="9"/>
        <v>913037.37958750001</v>
      </c>
      <c r="O10" s="11">
        <f>($C10+$G10)-N10</f>
        <v>156406.11041249998</v>
      </c>
    </row>
    <row r="11" spans="1:15" x14ac:dyDescent="0.25">
      <c r="A11" s="1" t="s">
        <v>34</v>
      </c>
      <c r="B11" s="1" t="s">
        <v>35</v>
      </c>
      <c r="C11" s="12">
        <v>84281.35</v>
      </c>
      <c r="D11" s="5">
        <v>740000</v>
      </c>
      <c r="E11" s="1">
        <v>3.1399999999999997E-2</v>
      </c>
      <c r="F11" s="2">
        <f>E11*(C11+G11)</f>
        <v>35434.131327999996</v>
      </c>
      <c r="G11" s="3">
        <v>1044194.17</v>
      </c>
      <c r="H11" s="9">
        <f>(C11+G11)-(F11/12*12)</f>
        <v>1093041.388672</v>
      </c>
      <c r="I11" s="10">
        <f>($C11+$G11)-H11</f>
        <v>35434.131327999989</v>
      </c>
      <c r="J11" s="10">
        <f t="shared" si="7"/>
        <v>1057607.257344</v>
      </c>
      <c r="K11" s="10">
        <f>($C11+$G11)-J11</f>
        <v>70868.262655999977</v>
      </c>
      <c r="L11" s="10">
        <f t="shared" si="8"/>
        <v>1022173.1260160001</v>
      </c>
      <c r="M11" s="10">
        <f>($C11+$G11)-L11</f>
        <v>106302.39398399997</v>
      </c>
      <c r="N11" s="10">
        <f t="shared" si="9"/>
        <v>986738.99468800006</v>
      </c>
      <c r="O11" s="11">
        <f>($C11+$G11)-N11</f>
        <v>141736.52531199995</v>
      </c>
    </row>
    <row r="12" spans="1:15" x14ac:dyDescent="0.25">
      <c r="A12" s="1" t="s">
        <v>36</v>
      </c>
      <c r="B12" s="1" t="s">
        <v>37</v>
      </c>
      <c r="C12" s="12">
        <v>79858.58</v>
      </c>
      <c r="D12" s="5">
        <v>693875</v>
      </c>
      <c r="E12" s="1">
        <v>9.5200000000000007E-2</v>
      </c>
      <c r="F12" s="2">
        <f>E12*D12</f>
        <v>66056.900000000009</v>
      </c>
      <c r="G12" s="3">
        <v>464550.76</v>
      </c>
      <c r="H12" s="9">
        <f>D12-(F12/12*13)</f>
        <v>622313.35833333328</v>
      </c>
      <c r="I12" s="10">
        <f>D12-H12</f>
        <v>71561.641666666721</v>
      </c>
      <c r="J12" s="10">
        <f t="shared" si="7"/>
        <v>556256.45833333326</v>
      </c>
      <c r="K12" s="10">
        <f>D12-J12</f>
        <v>137618.54166666674</v>
      </c>
      <c r="L12" s="10">
        <f t="shared" si="8"/>
        <v>490199.55833333323</v>
      </c>
      <c r="M12" s="10">
        <f>D12-L12</f>
        <v>203675.44166666677</v>
      </c>
      <c r="N12" s="10">
        <f t="shared" si="9"/>
        <v>424142.65833333321</v>
      </c>
      <c r="O12" s="11">
        <f>D12-N12</f>
        <v>269732.34166666679</v>
      </c>
    </row>
    <row r="13" spans="1:15" x14ac:dyDescent="0.25">
      <c r="A13" s="1" t="s">
        <v>38</v>
      </c>
      <c r="B13" s="1" t="s">
        <v>39</v>
      </c>
      <c r="C13" s="12">
        <v>610841.06000000006</v>
      </c>
      <c r="D13" s="5">
        <v>610841.06000000006</v>
      </c>
      <c r="E13" s="1">
        <v>3.1399999999999997E-2</v>
      </c>
      <c r="F13" s="2">
        <f>E13*D13</f>
        <v>19180.409284000001</v>
      </c>
      <c r="G13" s="3">
        <v>0</v>
      </c>
      <c r="H13" s="9">
        <f>D13-(F13/12*24)</f>
        <v>572480.24143200007</v>
      </c>
      <c r="I13" s="10">
        <f>D13-H13</f>
        <v>38360.818567999988</v>
      </c>
      <c r="J13" s="10">
        <f t="shared" si="7"/>
        <v>553299.83214800002</v>
      </c>
      <c r="K13" s="10">
        <f>D13-J13</f>
        <v>57541.22785200004</v>
      </c>
      <c r="L13" s="10">
        <f t="shared" si="8"/>
        <v>534119.42286399996</v>
      </c>
      <c r="M13" s="10">
        <f>D13-L13</f>
        <v>76721.637136000092</v>
      </c>
      <c r="N13" s="10">
        <f t="shared" si="9"/>
        <v>514939.01357999997</v>
      </c>
      <c r="O13" s="11">
        <f>D13-N13</f>
        <v>95902.046420000086</v>
      </c>
    </row>
    <row r="14" spans="1:15" x14ac:dyDescent="0.25">
      <c r="A14" s="1" t="s">
        <v>40</v>
      </c>
      <c r="B14" s="1" t="s">
        <v>41</v>
      </c>
      <c r="C14" s="12">
        <v>19366.650000000001</v>
      </c>
      <c r="D14" s="5">
        <v>340000</v>
      </c>
      <c r="E14" s="1">
        <v>3.1399999999999997E-2</v>
      </c>
      <c r="F14" s="2">
        <f>E14*D14</f>
        <v>10676</v>
      </c>
      <c r="G14" s="3">
        <f>235651.74+2920</f>
        <v>238571.74</v>
      </c>
      <c r="H14" s="9">
        <f>D14-(F14/12*16)</f>
        <v>325765.33333333331</v>
      </c>
      <c r="I14" s="10">
        <f>D14-H14</f>
        <v>14234.666666666686</v>
      </c>
      <c r="J14" s="10">
        <f t="shared" si="7"/>
        <v>315089.33333333331</v>
      </c>
      <c r="K14" s="10">
        <f>D14-J14</f>
        <v>24910.666666666686</v>
      </c>
      <c r="L14" s="10">
        <f t="shared" si="8"/>
        <v>304413.33333333331</v>
      </c>
      <c r="M14" s="10">
        <f>D14-L14</f>
        <v>35586.666666666686</v>
      </c>
      <c r="N14" s="10">
        <f t="shared" si="9"/>
        <v>293737.33333333331</v>
      </c>
      <c r="O14" s="11">
        <f>D14-N14</f>
        <v>46262.666666666686</v>
      </c>
    </row>
    <row r="15" spans="1:15" x14ac:dyDescent="0.25">
      <c r="A15" s="1" t="s">
        <v>42</v>
      </c>
      <c r="B15" s="1" t="s">
        <v>43</v>
      </c>
      <c r="C15" s="12">
        <v>196486.98</v>
      </c>
      <c r="D15" s="5">
        <v>310000</v>
      </c>
      <c r="E15" s="1">
        <v>3.39E-2</v>
      </c>
      <c r="F15" s="2">
        <f>E15*D15</f>
        <v>10509</v>
      </c>
      <c r="G15" s="3">
        <v>0</v>
      </c>
      <c r="H15" s="9">
        <f>D15-(F15/12*54)</f>
        <v>262709.5</v>
      </c>
      <c r="I15" s="10">
        <f>D15-H15</f>
        <v>47290.5</v>
      </c>
      <c r="J15" s="10">
        <f t="shared" si="7"/>
        <v>252200.5</v>
      </c>
      <c r="K15" s="10">
        <f>D15-J15</f>
        <v>57799.5</v>
      </c>
      <c r="L15" s="10">
        <f t="shared" si="8"/>
        <v>241691.5</v>
      </c>
      <c r="M15" s="10">
        <f>D15-L15</f>
        <v>68308.5</v>
      </c>
      <c r="N15" s="10">
        <f t="shared" si="9"/>
        <v>231182.5</v>
      </c>
      <c r="O15" s="11">
        <f>D15-N15</f>
        <v>78817.5</v>
      </c>
    </row>
    <row r="16" spans="1:15" x14ac:dyDescent="0.25">
      <c r="A16" s="1" t="s">
        <v>44</v>
      </c>
      <c r="B16" s="1" t="s">
        <v>45</v>
      </c>
      <c r="C16" s="12">
        <v>42861.64</v>
      </c>
      <c r="D16" s="5">
        <v>300000</v>
      </c>
      <c r="E16" s="1">
        <v>3.1399999999999997E-2</v>
      </c>
      <c r="F16" s="2">
        <f>E16*D16</f>
        <v>9420</v>
      </c>
      <c r="G16" s="3">
        <v>66600.44</v>
      </c>
      <c r="H16" s="9">
        <f>D16-(F16/12*4)</f>
        <v>296860</v>
      </c>
      <c r="I16" s="10">
        <f>D16-H16</f>
        <v>3140</v>
      </c>
      <c r="J16" s="10">
        <f t="shared" si="7"/>
        <v>287440</v>
      </c>
      <c r="K16" s="10">
        <f>D16-J16</f>
        <v>12560</v>
      </c>
      <c r="L16" s="10">
        <f t="shared" si="8"/>
        <v>278020</v>
      </c>
      <c r="M16" s="10">
        <f>D16-L16</f>
        <v>21980</v>
      </c>
      <c r="N16" s="10">
        <f t="shared" si="9"/>
        <v>268600</v>
      </c>
      <c r="O16" s="11">
        <f>D16-N16</f>
        <v>31400</v>
      </c>
    </row>
    <row r="17" spans="1:15" x14ac:dyDescent="0.25">
      <c r="A17" s="1" t="s">
        <v>46</v>
      </c>
      <c r="B17" s="1" t="s">
        <v>47</v>
      </c>
      <c r="C17" s="12">
        <v>182810.57</v>
      </c>
      <c r="D17" s="5">
        <v>290180</v>
      </c>
      <c r="E17" s="14" t="s">
        <v>33</v>
      </c>
      <c r="F17" s="2">
        <f>((C17+G17)*0.0335/2)+((C17+G17)*0.0367/2)</f>
        <v>14476.004478000003</v>
      </c>
      <c r="G17" s="3">
        <f>228879.05+732.16</f>
        <v>229611.21</v>
      </c>
      <c r="H17" s="9">
        <f>(C17+G17)-(F17/12*14)</f>
        <v>395533.10810900002</v>
      </c>
      <c r="I17" s="10">
        <f>($C17+$G17)-H17</f>
        <v>16888.671891000005</v>
      </c>
      <c r="J17" s="10">
        <f>H17-F17</f>
        <v>381057.10363100003</v>
      </c>
      <c r="K17" s="10">
        <f>($C17+$G17)-J17</f>
        <v>31364.676368999993</v>
      </c>
      <c r="L17" s="10">
        <f>J17-F17</f>
        <v>366581.09915300005</v>
      </c>
      <c r="M17" s="10">
        <f>($C17+$G17)-L17</f>
        <v>45840.680846999981</v>
      </c>
      <c r="N17" s="10">
        <f>L17-F17</f>
        <v>352105.09467500006</v>
      </c>
      <c r="O17" s="11">
        <f>($C17+$G17)-N17</f>
        <v>60316.685324999969</v>
      </c>
    </row>
    <row r="18" spans="1:15" x14ac:dyDescent="0.25">
      <c r="A18" s="1" t="s">
        <v>48</v>
      </c>
      <c r="B18" s="1" t="s">
        <v>49</v>
      </c>
      <c r="C18" s="12">
        <v>31816.38</v>
      </c>
      <c r="D18" s="5">
        <v>31816</v>
      </c>
      <c r="E18" s="1">
        <v>3.1399999999999997E-2</v>
      </c>
      <c r="F18" s="2">
        <f>E18*D18</f>
        <v>999.02239999999995</v>
      </c>
      <c r="G18" s="3">
        <v>0</v>
      </c>
      <c r="H18" s="15">
        <f>D18-(F18/12*25)</f>
        <v>29734.703333333335</v>
      </c>
      <c r="I18" s="16">
        <f>D18-H18</f>
        <v>2081.2966666666653</v>
      </c>
      <c r="J18" s="16">
        <f>H18-F18</f>
        <v>28735.680933333333</v>
      </c>
      <c r="K18" s="16">
        <f>D18-J18</f>
        <v>3080.3190666666669</v>
      </c>
      <c r="L18" s="16">
        <f>J18-F18</f>
        <v>27736.658533333331</v>
      </c>
      <c r="M18" s="16">
        <f>D18-L18</f>
        <v>4079.3414666666686</v>
      </c>
      <c r="N18" s="16">
        <f>L18-F18</f>
        <v>26737.63613333333</v>
      </c>
      <c r="O18" s="17">
        <f>D18-N18</f>
        <v>5078.3638666666702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77FC09-F92E-47D2-A455-EF6444970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F57AA7-1667-400D-A13C-E9E6BAD49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052029-C97A-4A9A-9CA3-F3407F8174FF}">
  <ds:schemaRefs>
    <ds:schemaRef ds:uri="http://schemas.microsoft.com/office/2006/metadata/properties"/>
    <ds:schemaRef ds:uri="http://schemas.microsoft.com/office/infopath/2007/PartnerControls"/>
    <ds:schemaRef ds:uri="ae06fcea-541a-49e3-952a-5eaf56d381f3"/>
    <ds:schemaRef ds:uri="daea435f-7073-4c60-9060-e78a3a9f8d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Everly</dc:creator>
  <cp:keywords/>
  <dc:description/>
  <cp:lastModifiedBy>Jacob Watson</cp:lastModifiedBy>
  <cp:revision/>
  <dcterms:created xsi:type="dcterms:W3CDTF">2025-08-21T14:03:47Z</dcterms:created>
  <dcterms:modified xsi:type="dcterms:W3CDTF">2025-08-25T18:22:22Z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