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H:\Pricing\Share\000 - PSC Cases\PSC Case 2025-00053 - ESC Plan Amendment\To be filed\"/>
    </mc:Choice>
  </mc:AlternateContent>
  <xr:revisionPtr revIDLastSave="0" documentId="13_ncr:1_{CA754D50-81F7-4919-ABBA-D4268CE75EEC}" xr6:coauthVersionLast="47" xr6:coauthVersionMax="47" xr10:uidLastSave="{00000000-0000-0000-0000-000000000000}"/>
  <bookViews>
    <workbookView xWindow="-120" yWindow="-120" windowWidth="51840" windowHeight="21120" xr2:uid="{00000000-000D-0000-FFFF-FFFF00000000}"/>
  </bookViews>
  <sheets>
    <sheet name="Impacts" sheetId="9" r:id="rId1"/>
    <sheet name="Proposed - YE 2025" sheetId="21" r:id="rId2"/>
    <sheet name="Proposed - YE 2026" sheetId="24" r:id="rId3"/>
    <sheet name="Proposed - YE 2027" sheetId="23" r:id="rId4"/>
    <sheet name="Proposed - YE 2028" sheetId="22" r:id="rId5"/>
    <sheet name="BESF" sheetId="11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5" i="22" l="1"/>
  <c r="M55" i="23"/>
  <c r="M55" i="24"/>
  <c r="M55" i="21"/>
  <c r="F38" i="9" l="1"/>
  <c r="D52" i="22"/>
  <c r="A65" i="11"/>
  <c r="A63" i="11"/>
  <c r="A64" i="11"/>
  <c r="D36" i="11"/>
  <c r="D77" i="22"/>
  <c r="F94" i="9"/>
  <c r="D70" i="22" l="1"/>
  <c r="D70" i="23"/>
  <c r="D70" i="24"/>
  <c r="J46" i="21"/>
  <c r="K46" i="21" s="1"/>
  <c r="M46" i="21" s="1"/>
  <c r="N46" i="21" s="1"/>
  <c r="J44" i="21"/>
  <c r="K44" i="21" s="1"/>
  <c r="M44" i="21" s="1"/>
  <c r="N44" i="21" s="1"/>
  <c r="J42" i="21"/>
  <c r="K42" i="21" s="1"/>
  <c r="M42" i="21" s="1"/>
  <c r="N42" i="21" s="1"/>
  <c r="J40" i="21"/>
  <c r="K40" i="21" s="1"/>
  <c r="M40" i="21" s="1"/>
  <c r="N40" i="21" s="1"/>
  <c r="J38" i="21"/>
  <c r="J36" i="21"/>
  <c r="J34" i="21"/>
  <c r="J32" i="21"/>
  <c r="K32" i="21" s="1"/>
  <c r="M32" i="21" s="1"/>
  <c r="N32" i="21" s="1"/>
  <c r="J30" i="21"/>
  <c r="J28" i="21"/>
  <c r="K28" i="21" s="1"/>
  <c r="M28" i="21" s="1"/>
  <c r="N28" i="21" s="1"/>
  <c r="J26" i="21"/>
  <c r="J24" i="21"/>
  <c r="K24" i="21" s="1"/>
  <c r="M24" i="21" s="1"/>
  <c r="N24" i="21" s="1"/>
  <c r="J22" i="21"/>
  <c r="J20" i="21"/>
  <c r="J14" i="21"/>
  <c r="K14" i="21" s="1"/>
  <c r="M14" i="21" s="1"/>
  <c r="N14" i="21" s="1"/>
  <c r="M14" i="23"/>
  <c r="D11" i="11"/>
  <c r="J14" i="22"/>
  <c r="K38" i="21"/>
  <c r="M38" i="21" s="1"/>
  <c r="N38" i="21" s="1"/>
  <c r="K36" i="21"/>
  <c r="M36" i="21" s="1"/>
  <c r="N36" i="21" s="1"/>
  <c r="K34" i="21"/>
  <c r="M34" i="21" s="1"/>
  <c r="N34" i="21" s="1"/>
  <c r="K30" i="21"/>
  <c r="M30" i="21" s="1"/>
  <c r="N30" i="21" s="1"/>
  <c r="K22" i="21"/>
  <c r="M22" i="21" s="1"/>
  <c r="N22" i="21" s="1"/>
  <c r="K20" i="21"/>
  <c r="M20" i="21" s="1"/>
  <c r="N20" i="21" s="1"/>
  <c r="J18" i="21"/>
  <c r="K18" i="21" s="1"/>
  <c r="M18" i="21" s="1"/>
  <c r="N18" i="21" s="1"/>
  <c r="J16" i="21"/>
  <c r="K16" i="21" s="1"/>
  <c r="M16" i="21" s="1"/>
  <c r="N16" i="21" s="1"/>
  <c r="J16" i="24"/>
  <c r="K16" i="24"/>
  <c r="M16" i="24" s="1"/>
  <c r="J18" i="24"/>
  <c r="K18" i="24" s="1"/>
  <c r="M18" i="24" s="1"/>
  <c r="J20" i="24"/>
  <c r="K20" i="24"/>
  <c r="M20" i="24" s="1"/>
  <c r="J22" i="24"/>
  <c r="K22" i="24"/>
  <c r="M22" i="24" s="1"/>
  <c r="J24" i="24"/>
  <c r="K24" i="24"/>
  <c r="M24" i="24" s="1"/>
  <c r="J26" i="24"/>
  <c r="K26" i="24"/>
  <c r="J28" i="24"/>
  <c r="K28" i="24" s="1"/>
  <c r="M28" i="24" s="1"/>
  <c r="J30" i="24"/>
  <c r="K30" i="24"/>
  <c r="M30" i="24" s="1"/>
  <c r="J32" i="24"/>
  <c r="K32" i="24" s="1"/>
  <c r="M32" i="24" s="1"/>
  <c r="J34" i="24"/>
  <c r="K34" i="24"/>
  <c r="M34" i="24" s="1"/>
  <c r="J36" i="24"/>
  <c r="K36" i="24" s="1"/>
  <c r="M36" i="24" s="1"/>
  <c r="J38" i="24"/>
  <c r="K38" i="24"/>
  <c r="J40" i="24"/>
  <c r="K40" i="24" s="1"/>
  <c r="M40" i="24" s="1"/>
  <c r="J42" i="24"/>
  <c r="K42" i="24"/>
  <c r="M42" i="24" s="1"/>
  <c r="J44" i="24"/>
  <c r="K44" i="24"/>
  <c r="M44" i="24" s="1"/>
  <c r="N44" i="24" s="1"/>
  <c r="J46" i="24"/>
  <c r="K46" i="24"/>
  <c r="M46" i="24" s="1"/>
  <c r="D77" i="24"/>
  <c r="O48" i="24"/>
  <c r="D53" i="24" s="1"/>
  <c r="G48" i="24"/>
  <c r="E48" i="24"/>
  <c r="D48" i="24"/>
  <c r="L46" i="24"/>
  <c r="F46" i="24"/>
  <c r="I46" i="24" s="1"/>
  <c r="L44" i="24"/>
  <c r="F44" i="24"/>
  <c r="I44" i="24" s="1"/>
  <c r="L42" i="24"/>
  <c r="F42" i="24"/>
  <c r="I42" i="24" s="1"/>
  <c r="L40" i="24"/>
  <c r="F40" i="24"/>
  <c r="I40" i="24" s="1"/>
  <c r="L38" i="24"/>
  <c r="M38" i="24"/>
  <c r="N38" i="24" s="1"/>
  <c r="F38" i="24"/>
  <c r="I38" i="24" s="1"/>
  <c r="L36" i="24"/>
  <c r="F36" i="24"/>
  <c r="I36" i="24" s="1"/>
  <c r="L34" i="24"/>
  <c r="F34" i="24"/>
  <c r="I34" i="24" s="1"/>
  <c r="L32" i="24"/>
  <c r="F32" i="24"/>
  <c r="I32" i="24" s="1"/>
  <c r="L30" i="24"/>
  <c r="F30" i="24"/>
  <c r="I30" i="24" s="1"/>
  <c r="L28" i="24"/>
  <c r="F28" i="24"/>
  <c r="I28" i="24" s="1"/>
  <c r="L26" i="24"/>
  <c r="M26" i="24"/>
  <c r="F26" i="24"/>
  <c r="I26" i="24" s="1"/>
  <c r="L24" i="24"/>
  <c r="F24" i="24"/>
  <c r="H24" i="24" s="1"/>
  <c r="L22" i="24"/>
  <c r="F22" i="24"/>
  <c r="I22" i="24" s="1"/>
  <c r="L20" i="24"/>
  <c r="F20" i="24"/>
  <c r="I20" i="24" s="1"/>
  <c r="L18" i="24"/>
  <c r="F18" i="24"/>
  <c r="I18" i="24" s="1"/>
  <c r="L16" i="24"/>
  <c r="F16" i="24"/>
  <c r="I16" i="24" s="1"/>
  <c r="L14" i="24"/>
  <c r="J14" i="24"/>
  <c r="F14" i="24"/>
  <c r="I14" i="24" s="1"/>
  <c r="A2" i="24"/>
  <c r="A3" i="24" s="1"/>
  <c r="A4" i="24" s="1"/>
  <c r="A5" i="24" s="1"/>
  <c r="A6" i="24" s="1"/>
  <c r="A7" i="24" s="1"/>
  <c r="A8" i="24" s="1"/>
  <c r="A9" i="24" s="1"/>
  <c r="A10" i="24" s="1"/>
  <c r="A11" i="24" s="1"/>
  <c r="A12" i="24" s="1"/>
  <c r="A13" i="24" s="1"/>
  <c r="A14" i="24" s="1"/>
  <c r="A15" i="24" s="1"/>
  <c r="A16" i="24" s="1"/>
  <c r="A17" i="24" s="1"/>
  <c r="A18" i="24" s="1"/>
  <c r="A19" i="24" s="1"/>
  <c r="A20" i="24" s="1"/>
  <c r="A21" i="24" s="1"/>
  <c r="A22" i="24" s="1"/>
  <c r="A23" i="24" s="1"/>
  <c r="A24" i="24" s="1"/>
  <c r="A25" i="24" s="1"/>
  <c r="A26" i="24" s="1"/>
  <c r="A27" i="24" s="1"/>
  <c r="A28" i="24" s="1"/>
  <c r="A29" i="24" s="1"/>
  <c r="A30" i="24" s="1"/>
  <c r="A31" i="24" s="1"/>
  <c r="A32" i="24" s="1"/>
  <c r="A33" i="24" s="1"/>
  <c r="A34" i="24" s="1"/>
  <c r="A35" i="24" s="1"/>
  <c r="A36" i="24" s="1"/>
  <c r="A37" i="24" s="1"/>
  <c r="A38" i="24" s="1"/>
  <c r="A39" i="24" s="1"/>
  <c r="A40" i="24" s="1"/>
  <c r="A41" i="24" s="1"/>
  <c r="A42" i="24" s="1"/>
  <c r="A43" i="24" s="1"/>
  <c r="A44" i="24" s="1"/>
  <c r="A45" i="24" s="1"/>
  <c r="A46" i="24" s="1"/>
  <c r="A47" i="24" s="1"/>
  <c r="A48" i="24" s="1"/>
  <c r="A49" i="24" s="1"/>
  <c r="A50" i="24" s="1"/>
  <c r="A51" i="24" s="1"/>
  <c r="A52" i="24" s="1"/>
  <c r="A53" i="24" s="1"/>
  <c r="A54" i="24" s="1"/>
  <c r="A55" i="24" s="1"/>
  <c r="A56" i="24" s="1"/>
  <c r="A57" i="24" s="1"/>
  <c r="A58" i="24" s="1"/>
  <c r="A59" i="24" s="1"/>
  <c r="A60" i="24" s="1"/>
  <c r="A61" i="24" s="1"/>
  <c r="A62" i="24" s="1"/>
  <c r="A63" i="24" s="1"/>
  <c r="A64" i="24" s="1"/>
  <c r="A65" i="24" s="1"/>
  <c r="A66" i="24" s="1"/>
  <c r="A67" i="24" s="1"/>
  <c r="A68" i="24" s="1"/>
  <c r="A69" i="24" s="1"/>
  <c r="A70" i="24" s="1"/>
  <c r="A71" i="24" s="1"/>
  <c r="A72" i="24" s="1"/>
  <c r="A73" i="24" s="1"/>
  <c r="A74" i="24" s="1"/>
  <c r="A75" i="24" s="1"/>
  <c r="A76" i="24" s="1"/>
  <c r="A77" i="24" s="1"/>
  <c r="A78" i="24" s="1"/>
  <c r="A79" i="24" s="1"/>
  <c r="A80" i="24" s="1"/>
  <c r="A81" i="24" s="1"/>
  <c r="A82" i="24" s="1"/>
  <c r="A83" i="24" s="1"/>
  <c r="A84" i="24" s="1"/>
  <c r="A85" i="24" s="1"/>
  <c r="A86" i="24" s="1"/>
  <c r="A87" i="24" s="1"/>
  <c r="A88" i="24" s="1"/>
  <c r="A89" i="24" s="1"/>
  <c r="A90" i="24" s="1"/>
  <c r="A91" i="24" s="1"/>
  <c r="A92" i="24" s="1"/>
  <c r="A93" i="24" s="1"/>
  <c r="A94" i="24" s="1"/>
  <c r="A95" i="24" s="1"/>
  <c r="A96" i="24" s="1"/>
  <c r="A97" i="24" s="1"/>
  <c r="A98" i="24" s="1"/>
  <c r="A99" i="24" s="1"/>
  <c r="A100" i="24" s="1"/>
  <c r="A101" i="24" s="1"/>
  <c r="A102" i="24" s="1"/>
  <c r="A103" i="24" s="1"/>
  <c r="A104" i="24" s="1"/>
  <c r="A105" i="24" s="1"/>
  <c r="A106" i="24" s="1"/>
  <c r="A107" i="24" s="1"/>
  <c r="A108" i="24" s="1"/>
  <c r="A109" i="24" s="1"/>
  <c r="A110" i="24" s="1"/>
  <c r="A111" i="24" s="1"/>
  <c r="A112" i="24" s="1"/>
  <c r="A113" i="24" s="1"/>
  <c r="A114" i="24" s="1"/>
  <c r="A115" i="24" s="1"/>
  <c r="A116" i="24" s="1"/>
  <c r="A117" i="24" s="1"/>
  <c r="A118" i="24" s="1"/>
  <c r="A119" i="24" s="1"/>
  <c r="A120" i="24" s="1"/>
  <c r="A121" i="24" s="1"/>
  <c r="A122" i="24" s="1"/>
  <c r="A123" i="24" s="1"/>
  <c r="A124" i="24" s="1"/>
  <c r="A125" i="24" s="1"/>
  <c r="A126" i="24" s="1"/>
  <c r="A127" i="24" s="1"/>
  <c r="A128" i="24" s="1"/>
  <c r="A129" i="24" s="1"/>
  <c r="A130" i="24" s="1"/>
  <c r="A131" i="24" s="1"/>
  <c r="A132" i="24" s="1"/>
  <c r="A133" i="24" s="1"/>
  <c r="A134" i="24" s="1"/>
  <c r="A135" i="24" s="1"/>
  <c r="D77" i="23"/>
  <c r="O48" i="23"/>
  <c r="D53" i="23" s="1"/>
  <c r="G48" i="23"/>
  <c r="E48" i="23"/>
  <c r="D48" i="23"/>
  <c r="L46" i="23"/>
  <c r="K46" i="23"/>
  <c r="M46" i="23" s="1"/>
  <c r="F46" i="23"/>
  <c r="I46" i="23" s="1"/>
  <c r="L44" i="23"/>
  <c r="J44" i="23"/>
  <c r="K44" i="23" s="1"/>
  <c r="M44" i="23" s="1"/>
  <c r="F44" i="23"/>
  <c r="I44" i="23" s="1"/>
  <c r="L42" i="23"/>
  <c r="K42" i="23"/>
  <c r="M42" i="23" s="1"/>
  <c r="F42" i="23"/>
  <c r="I42" i="23" s="1"/>
  <c r="L40" i="23"/>
  <c r="K40" i="23"/>
  <c r="M40" i="23" s="1"/>
  <c r="F40" i="23"/>
  <c r="I40" i="23" s="1"/>
  <c r="L38" i="23"/>
  <c r="K38" i="23"/>
  <c r="M38" i="23" s="1"/>
  <c r="N38" i="23" s="1"/>
  <c r="F38" i="23"/>
  <c r="I38" i="23" s="1"/>
  <c r="L36" i="23"/>
  <c r="K36" i="23"/>
  <c r="M36" i="23" s="1"/>
  <c r="N36" i="23" s="1"/>
  <c r="F36" i="23"/>
  <c r="I36" i="23" s="1"/>
  <c r="L34" i="23"/>
  <c r="J34" i="23"/>
  <c r="F34" i="23"/>
  <c r="I34" i="23" s="1"/>
  <c r="L32" i="23"/>
  <c r="K32" i="23"/>
  <c r="M32" i="23" s="1"/>
  <c r="F32" i="23"/>
  <c r="I32" i="23" s="1"/>
  <c r="L30" i="23"/>
  <c r="K30" i="23"/>
  <c r="M30" i="23" s="1"/>
  <c r="N30" i="23" s="1"/>
  <c r="F30" i="23"/>
  <c r="I30" i="23" s="1"/>
  <c r="L28" i="23"/>
  <c r="J28" i="23"/>
  <c r="K28" i="23" s="1"/>
  <c r="M28" i="23" s="1"/>
  <c r="F28" i="23"/>
  <c r="L26" i="23"/>
  <c r="K26" i="23"/>
  <c r="M26" i="23" s="1"/>
  <c r="F26" i="23"/>
  <c r="I26" i="23" s="1"/>
  <c r="M24" i="23"/>
  <c r="L24" i="23"/>
  <c r="K24" i="23"/>
  <c r="F24" i="23"/>
  <c r="H24" i="23" s="1"/>
  <c r="L22" i="23"/>
  <c r="K22" i="23"/>
  <c r="M22" i="23" s="1"/>
  <c r="F22" i="23"/>
  <c r="I22" i="23" s="1"/>
  <c r="L20" i="23"/>
  <c r="K20" i="23"/>
  <c r="M20" i="23" s="1"/>
  <c r="F20" i="23"/>
  <c r="L18" i="23"/>
  <c r="K18" i="23"/>
  <c r="M18" i="23" s="1"/>
  <c r="F18" i="23"/>
  <c r="L16" i="23"/>
  <c r="K16" i="23"/>
  <c r="M16" i="23" s="1"/>
  <c r="F16" i="23"/>
  <c r="H16" i="23" s="1"/>
  <c r="L14" i="23"/>
  <c r="J14" i="23"/>
  <c r="K14" i="23" s="1"/>
  <c r="F14" i="23"/>
  <c r="A2" i="23"/>
  <c r="A3" i="23" s="1"/>
  <c r="A4" i="23" s="1"/>
  <c r="A5" i="23" s="1"/>
  <c r="A6" i="23" s="1"/>
  <c r="A7" i="23" s="1"/>
  <c r="A8" i="23" s="1"/>
  <c r="A9" i="23" s="1"/>
  <c r="A10" i="23" s="1"/>
  <c r="A11" i="23" s="1"/>
  <c r="A12" i="23" s="1"/>
  <c r="A13" i="23" s="1"/>
  <c r="A14" i="23" s="1"/>
  <c r="A15" i="23" s="1"/>
  <c r="A16" i="23" s="1"/>
  <c r="A17" i="23" s="1"/>
  <c r="A18" i="23" s="1"/>
  <c r="A19" i="23" s="1"/>
  <c r="A20" i="23" s="1"/>
  <c r="A21" i="23" s="1"/>
  <c r="A22" i="23" s="1"/>
  <c r="A23" i="23" s="1"/>
  <c r="A24" i="23" s="1"/>
  <c r="A25" i="23" s="1"/>
  <c r="A26" i="23" s="1"/>
  <c r="A27" i="23" s="1"/>
  <c r="A28" i="23" s="1"/>
  <c r="A29" i="23" s="1"/>
  <c r="A30" i="23" s="1"/>
  <c r="A31" i="23" s="1"/>
  <c r="A32" i="23" s="1"/>
  <c r="A33" i="23" s="1"/>
  <c r="A34" i="23" s="1"/>
  <c r="A35" i="23" s="1"/>
  <c r="A36" i="23" s="1"/>
  <c r="A37" i="23" s="1"/>
  <c r="A38" i="23" s="1"/>
  <c r="A39" i="23" s="1"/>
  <c r="A40" i="23" s="1"/>
  <c r="A41" i="23" s="1"/>
  <c r="A42" i="23" s="1"/>
  <c r="A43" i="23" s="1"/>
  <c r="A44" i="23" s="1"/>
  <c r="A45" i="23" s="1"/>
  <c r="A46" i="23" s="1"/>
  <c r="A47" i="23" s="1"/>
  <c r="A48" i="23" s="1"/>
  <c r="A49" i="23" s="1"/>
  <c r="A50" i="23" s="1"/>
  <c r="A51" i="23" s="1"/>
  <c r="A52" i="23" s="1"/>
  <c r="A53" i="23" s="1"/>
  <c r="A54" i="23" s="1"/>
  <c r="A55" i="23" s="1"/>
  <c r="A56" i="23" s="1"/>
  <c r="A57" i="23" s="1"/>
  <c r="A58" i="23" s="1"/>
  <c r="A59" i="23" s="1"/>
  <c r="A60" i="23" s="1"/>
  <c r="A61" i="23" s="1"/>
  <c r="A62" i="23" s="1"/>
  <c r="A63" i="23" s="1"/>
  <c r="A64" i="23" s="1"/>
  <c r="A65" i="23" s="1"/>
  <c r="A66" i="23" s="1"/>
  <c r="A67" i="23" s="1"/>
  <c r="A68" i="23" s="1"/>
  <c r="A69" i="23" s="1"/>
  <c r="A70" i="23" s="1"/>
  <c r="A71" i="23" s="1"/>
  <c r="A72" i="23" s="1"/>
  <c r="A73" i="23" s="1"/>
  <c r="A74" i="23" s="1"/>
  <c r="A75" i="23" s="1"/>
  <c r="A76" i="23" s="1"/>
  <c r="A77" i="23" s="1"/>
  <c r="A78" i="23" s="1"/>
  <c r="A79" i="23" s="1"/>
  <c r="A80" i="23" s="1"/>
  <c r="A81" i="23" s="1"/>
  <c r="A82" i="23" s="1"/>
  <c r="A83" i="23" s="1"/>
  <c r="A84" i="23" s="1"/>
  <c r="A85" i="23" s="1"/>
  <c r="A86" i="23" s="1"/>
  <c r="A87" i="23" s="1"/>
  <c r="A88" i="23" s="1"/>
  <c r="A89" i="23" s="1"/>
  <c r="A90" i="23" s="1"/>
  <c r="A91" i="23" s="1"/>
  <c r="A92" i="23" s="1"/>
  <c r="A93" i="23" s="1"/>
  <c r="A94" i="23" s="1"/>
  <c r="A95" i="23" s="1"/>
  <c r="A96" i="23" s="1"/>
  <c r="A97" i="23" s="1"/>
  <c r="A98" i="23" s="1"/>
  <c r="A99" i="23" s="1"/>
  <c r="A100" i="23" s="1"/>
  <c r="A101" i="23" s="1"/>
  <c r="A102" i="23" s="1"/>
  <c r="A103" i="23" s="1"/>
  <c r="A104" i="23" s="1"/>
  <c r="A105" i="23" s="1"/>
  <c r="A106" i="23" s="1"/>
  <c r="A107" i="23" s="1"/>
  <c r="A108" i="23" s="1"/>
  <c r="A109" i="23" s="1"/>
  <c r="A110" i="23" s="1"/>
  <c r="A111" i="23" s="1"/>
  <c r="A112" i="23" s="1"/>
  <c r="A113" i="23" s="1"/>
  <c r="A114" i="23" s="1"/>
  <c r="A115" i="23" s="1"/>
  <c r="A116" i="23" s="1"/>
  <c r="A117" i="23" s="1"/>
  <c r="A118" i="23" s="1"/>
  <c r="A119" i="23" s="1"/>
  <c r="A120" i="23" s="1"/>
  <c r="A121" i="23" s="1"/>
  <c r="A122" i="23" s="1"/>
  <c r="A123" i="23" s="1"/>
  <c r="A124" i="23" s="1"/>
  <c r="A125" i="23" s="1"/>
  <c r="A126" i="23" s="1"/>
  <c r="A127" i="23" s="1"/>
  <c r="A128" i="23" s="1"/>
  <c r="A129" i="23" s="1"/>
  <c r="A130" i="23" s="1"/>
  <c r="A131" i="23" s="1"/>
  <c r="A132" i="23" s="1"/>
  <c r="A133" i="23" s="1"/>
  <c r="A134" i="23" s="1"/>
  <c r="A135" i="23" s="1"/>
  <c r="O48" i="22"/>
  <c r="D53" i="22" s="1"/>
  <c r="G48" i="22"/>
  <c r="E48" i="22"/>
  <c r="D48" i="22"/>
  <c r="L46" i="22"/>
  <c r="K46" i="22"/>
  <c r="M46" i="22" s="1"/>
  <c r="F46" i="22"/>
  <c r="I46" i="22" s="1"/>
  <c r="L44" i="22"/>
  <c r="J44" i="22"/>
  <c r="K44" i="22" s="1"/>
  <c r="M44" i="22" s="1"/>
  <c r="F44" i="22"/>
  <c r="I44" i="22" s="1"/>
  <c r="L42" i="22"/>
  <c r="K42" i="22"/>
  <c r="M42" i="22" s="1"/>
  <c r="F42" i="22"/>
  <c r="I42" i="22" s="1"/>
  <c r="L40" i="22"/>
  <c r="K40" i="22"/>
  <c r="M40" i="22" s="1"/>
  <c r="F40" i="22"/>
  <c r="I40" i="22" s="1"/>
  <c r="L38" i="22"/>
  <c r="K38" i="22"/>
  <c r="M38" i="22" s="1"/>
  <c r="F38" i="22"/>
  <c r="I38" i="22" s="1"/>
  <c r="L36" i="22"/>
  <c r="K36" i="22"/>
  <c r="M36" i="22" s="1"/>
  <c r="N36" i="22" s="1"/>
  <c r="F36" i="22"/>
  <c r="I36" i="22" s="1"/>
  <c r="L34" i="22"/>
  <c r="J34" i="22"/>
  <c r="K34" i="22" s="1"/>
  <c r="M34" i="22" s="1"/>
  <c r="N34" i="22" s="1"/>
  <c r="F34" i="22"/>
  <c r="I34" i="22" s="1"/>
  <c r="L32" i="22"/>
  <c r="K32" i="22"/>
  <c r="M32" i="22" s="1"/>
  <c r="F32" i="22"/>
  <c r="L30" i="22"/>
  <c r="K30" i="22"/>
  <c r="M30" i="22" s="1"/>
  <c r="F30" i="22"/>
  <c r="I30" i="22" s="1"/>
  <c r="L28" i="22"/>
  <c r="J28" i="22"/>
  <c r="K28" i="22" s="1"/>
  <c r="M28" i="22" s="1"/>
  <c r="F28" i="22"/>
  <c r="I28" i="22" s="1"/>
  <c r="L26" i="22"/>
  <c r="K26" i="22"/>
  <c r="M26" i="22" s="1"/>
  <c r="F26" i="22"/>
  <c r="L24" i="22"/>
  <c r="K24" i="22"/>
  <c r="M24" i="22" s="1"/>
  <c r="F24" i="22"/>
  <c r="H24" i="22" s="1"/>
  <c r="L22" i="22"/>
  <c r="K22" i="22"/>
  <c r="M22" i="22" s="1"/>
  <c r="F22" i="22"/>
  <c r="I22" i="22" s="1"/>
  <c r="M20" i="22"/>
  <c r="L20" i="22"/>
  <c r="N20" i="22" s="1"/>
  <c r="K20" i="22"/>
  <c r="F20" i="22"/>
  <c r="I20" i="22" s="1"/>
  <c r="L18" i="22"/>
  <c r="K18" i="22"/>
  <c r="M18" i="22" s="1"/>
  <c r="F18" i="22"/>
  <c r="I18" i="22" s="1"/>
  <c r="L16" i="22"/>
  <c r="K16" i="22"/>
  <c r="M16" i="22" s="1"/>
  <c r="F16" i="22"/>
  <c r="I16" i="22" s="1"/>
  <c r="L14" i="22"/>
  <c r="J48" i="22"/>
  <c r="F14" i="22"/>
  <c r="A3" i="22"/>
  <c r="A4" i="22" s="1"/>
  <c r="A5" i="22" s="1"/>
  <c r="A6" i="22" s="1"/>
  <c r="A7" i="22" s="1"/>
  <c r="A8" i="22" s="1"/>
  <c r="A9" i="22" s="1"/>
  <c r="A10" i="22" s="1"/>
  <c r="A11" i="22" s="1"/>
  <c r="A12" i="22" s="1"/>
  <c r="A13" i="22" s="1"/>
  <c r="A14" i="22" s="1"/>
  <c r="A15" i="22" s="1"/>
  <c r="A16" i="22" s="1"/>
  <c r="A17" i="22" s="1"/>
  <c r="A18" i="22" s="1"/>
  <c r="A19" i="22" s="1"/>
  <c r="A20" i="22" s="1"/>
  <c r="A21" i="22" s="1"/>
  <c r="A22" i="22" s="1"/>
  <c r="A23" i="22" s="1"/>
  <c r="A24" i="22" s="1"/>
  <c r="A25" i="22" s="1"/>
  <c r="A26" i="22" s="1"/>
  <c r="A27" i="22" s="1"/>
  <c r="A28" i="22" s="1"/>
  <c r="A29" i="22" s="1"/>
  <c r="A30" i="22" s="1"/>
  <c r="A31" i="22" s="1"/>
  <c r="A32" i="22" s="1"/>
  <c r="A33" i="22" s="1"/>
  <c r="A34" i="22" s="1"/>
  <c r="A35" i="22" s="1"/>
  <c r="A36" i="22" s="1"/>
  <c r="A37" i="22" s="1"/>
  <c r="A38" i="22" s="1"/>
  <c r="A39" i="22" s="1"/>
  <c r="A40" i="22" s="1"/>
  <c r="A41" i="22" s="1"/>
  <c r="A42" i="22" s="1"/>
  <c r="A43" i="22" s="1"/>
  <c r="A44" i="22" s="1"/>
  <c r="A45" i="22" s="1"/>
  <c r="A46" i="22" s="1"/>
  <c r="A47" i="22" s="1"/>
  <c r="A48" i="22" s="1"/>
  <c r="A49" i="22" s="1"/>
  <c r="A50" i="22" s="1"/>
  <c r="A51" i="22" s="1"/>
  <c r="A52" i="22" s="1"/>
  <c r="A53" i="22" s="1"/>
  <c r="A54" i="22" s="1"/>
  <c r="A55" i="22" s="1"/>
  <c r="A56" i="22" s="1"/>
  <c r="A57" i="22" s="1"/>
  <c r="A58" i="22" s="1"/>
  <c r="A59" i="22" s="1"/>
  <c r="A60" i="22" s="1"/>
  <c r="A61" i="22" s="1"/>
  <c r="A62" i="22" s="1"/>
  <c r="A63" i="22" s="1"/>
  <c r="A64" i="22" s="1"/>
  <c r="A65" i="22" s="1"/>
  <c r="A66" i="22" s="1"/>
  <c r="A67" i="22" s="1"/>
  <c r="A68" i="22" s="1"/>
  <c r="A69" i="22" s="1"/>
  <c r="A70" i="22" s="1"/>
  <c r="A71" i="22" s="1"/>
  <c r="A72" i="22" s="1"/>
  <c r="A73" i="22" s="1"/>
  <c r="A74" i="22" s="1"/>
  <c r="A75" i="22" s="1"/>
  <c r="A76" i="22" s="1"/>
  <c r="A77" i="22" s="1"/>
  <c r="A78" i="22" s="1"/>
  <c r="A79" i="22" s="1"/>
  <c r="A80" i="22" s="1"/>
  <c r="A81" i="22" s="1"/>
  <c r="A82" i="22" s="1"/>
  <c r="A83" i="22" s="1"/>
  <c r="A84" i="22" s="1"/>
  <c r="A85" i="22" s="1"/>
  <c r="A86" i="22" s="1"/>
  <c r="A87" i="22" s="1"/>
  <c r="A88" i="22" s="1"/>
  <c r="A89" i="22" s="1"/>
  <c r="A90" i="22" s="1"/>
  <c r="A91" i="22" s="1"/>
  <c r="A92" i="22" s="1"/>
  <c r="A93" i="22" s="1"/>
  <c r="A94" i="22" s="1"/>
  <c r="A95" i="22" s="1"/>
  <c r="A96" i="22" s="1"/>
  <c r="A97" i="22" s="1"/>
  <c r="A98" i="22" s="1"/>
  <c r="A99" i="22" s="1"/>
  <c r="A100" i="22" s="1"/>
  <c r="A101" i="22" s="1"/>
  <c r="A102" i="22" s="1"/>
  <c r="A103" i="22" s="1"/>
  <c r="A104" i="22" s="1"/>
  <c r="A105" i="22" s="1"/>
  <c r="A106" i="22" s="1"/>
  <c r="A107" i="22" s="1"/>
  <c r="A108" i="22" s="1"/>
  <c r="A109" i="22" s="1"/>
  <c r="A110" i="22" s="1"/>
  <c r="A111" i="22" s="1"/>
  <c r="A112" i="22" s="1"/>
  <c r="A113" i="22" s="1"/>
  <c r="A114" i="22" s="1"/>
  <c r="A115" i="22" s="1"/>
  <c r="A116" i="22" s="1"/>
  <c r="A117" i="22" s="1"/>
  <c r="A118" i="22" s="1"/>
  <c r="A119" i="22" s="1"/>
  <c r="A120" i="22" s="1"/>
  <c r="A121" i="22" s="1"/>
  <c r="A122" i="22" s="1"/>
  <c r="A123" i="22" s="1"/>
  <c r="A124" i="22" s="1"/>
  <c r="A125" i="22" s="1"/>
  <c r="A126" i="22" s="1"/>
  <c r="A127" i="22" s="1"/>
  <c r="A128" i="22" s="1"/>
  <c r="A129" i="22" s="1"/>
  <c r="A130" i="22" s="1"/>
  <c r="A131" i="22" s="1"/>
  <c r="A132" i="22" s="1"/>
  <c r="A133" i="22" s="1"/>
  <c r="A134" i="22" s="1"/>
  <c r="A135" i="22" s="1"/>
  <c r="A2" i="22"/>
  <c r="G48" i="21"/>
  <c r="L48" i="21"/>
  <c r="D52" i="21" s="1"/>
  <c r="O48" i="21"/>
  <c r="E48" i="21"/>
  <c r="D48" i="21"/>
  <c r="F42" i="21"/>
  <c r="H42" i="21"/>
  <c r="I42" i="21"/>
  <c r="F16" i="21"/>
  <c r="N34" i="24" l="1"/>
  <c r="J48" i="21"/>
  <c r="H40" i="22"/>
  <c r="H44" i="23"/>
  <c r="N24" i="23"/>
  <c r="L48" i="23"/>
  <c r="D52" i="23" s="1"/>
  <c r="D54" i="23" s="1"/>
  <c r="K26" i="21"/>
  <c r="M26" i="21" s="1"/>
  <c r="N26" i="21" s="1"/>
  <c r="J48" i="24"/>
  <c r="N24" i="24"/>
  <c r="L48" i="24"/>
  <c r="D52" i="24" s="1"/>
  <c r="D54" i="24" s="1"/>
  <c r="N20" i="24"/>
  <c r="H44" i="24"/>
  <c r="H40" i="24"/>
  <c r="N26" i="24"/>
  <c r="N40" i="24"/>
  <c r="N30" i="24"/>
  <c r="N36" i="24"/>
  <c r="N16" i="24"/>
  <c r="H32" i="24"/>
  <c r="H46" i="24"/>
  <c r="H26" i="24"/>
  <c r="H18" i="24"/>
  <c r="N32" i="24"/>
  <c r="N46" i="24"/>
  <c r="N18" i="24"/>
  <c r="H42" i="24"/>
  <c r="H28" i="24"/>
  <c r="H36" i="24"/>
  <c r="I48" i="24"/>
  <c r="D65" i="24" s="1"/>
  <c r="N42" i="24"/>
  <c r="N28" i="24"/>
  <c r="H22" i="24"/>
  <c r="H16" i="24"/>
  <c r="N22" i="24"/>
  <c r="K14" i="24"/>
  <c r="H34" i="24"/>
  <c r="F48" i="24"/>
  <c r="H14" i="24"/>
  <c r="H38" i="24"/>
  <c r="H20" i="24"/>
  <c r="H30" i="24"/>
  <c r="H32" i="23"/>
  <c r="H26" i="23"/>
  <c r="N26" i="23"/>
  <c r="I18" i="23"/>
  <c r="H18" i="23"/>
  <c r="N18" i="23"/>
  <c r="N40" i="23"/>
  <c r="I20" i="23"/>
  <c r="H20" i="23"/>
  <c r="N20" i="23"/>
  <c r="N44" i="23"/>
  <c r="J48" i="23"/>
  <c r="N32" i="23"/>
  <c r="H46" i="23"/>
  <c r="N46" i="23"/>
  <c r="N28" i="23"/>
  <c r="I16" i="23"/>
  <c r="N22" i="23"/>
  <c r="H30" i="23"/>
  <c r="H36" i="23"/>
  <c r="H42" i="23"/>
  <c r="F48" i="23"/>
  <c r="H40" i="23"/>
  <c r="K34" i="23"/>
  <c r="M34" i="23" s="1"/>
  <c r="N34" i="23" s="1"/>
  <c r="I28" i="23"/>
  <c r="H28" i="23"/>
  <c r="H22" i="23"/>
  <c r="N42" i="23"/>
  <c r="N16" i="23"/>
  <c r="H14" i="23"/>
  <c r="H38" i="23"/>
  <c r="I14" i="23"/>
  <c r="H34" i="23"/>
  <c r="N32" i="22"/>
  <c r="N24" i="22"/>
  <c r="I26" i="22"/>
  <c r="H26" i="22"/>
  <c r="N26" i="22"/>
  <c r="L48" i="22"/>
  <c r="D54" i="22" s="1"/>
  <c r="H32" i="22"/>
  <c r="I32" i="22"/>
  <c r="N44" i="22"/>
  <c r="N46" i="22"/>
  <c r="N22" i="22"/>
  <c r="H18" i="22"/>
  <c r="N30" i="22"/>
  <c r="N40" i="22"/>
  <c r="N18" i="22"/>
  <c r="H38" i="22"/>
  <c r="N38" i="22"/>
  <c r="H46" i="22"/>
  <c r="F48" i="22"/>
  <c r="I14" i="22"/>
  <c r="H14" i="22"/>
  <c r="H28" i="22"/>
  <c r="H22" i="22"/>
  <c r="H16" i="22"/>
  <c r="N28" i="22"/>
  <c r="H36" i="22"/>
  <c r="H42" i="22"/>
  <c r="N16" i="22"/>
  <c r="N42" i="22"/>
  <c r="K14" i="22"/>
  <c r="H34" i="22"/>
  <c r="H44" i="22"/>
  <c r="H20" i="22"/>
  <c r="H30" i="22"/>
  <c r="I48" i="22" l="1"/>
  <c r="D65" i="22" s="1"/>
  <c r="H48" i="22"/>
  <c r="D64" i="22" s="1"/>
  <c r="K48" i="23"/>
  <c r="D63" i="23" s="1"/>
  <c r="K48" i="24"/>
  <c r="D63" i="24" s="1"/>
  <c r="M14" i="24"/>
  <c r="H48" i="24"/>
  <c r="D64" i="24" s="1"/>
  <c r="H48" i="23"/>
  <c r="D64" i="23" s="1"/>
  <c r="M48" i="23"/>
  <c r="D58" i="23" s="1"/>
  <c r="N14" i="23"/>
  <c r="N48" i="23" s="1"/>
  <c r="I48" i="23"/>
  <c r="D65" i="23" s="1"/>
  <c r="K48" i="22"/>
  <c r="D63" i="22" s="1"/>
  <c r="M14" i="22"/>
  <c r="N14" i="24" l="1"/>
  <c r="N48" i="24" s="1"/>
  <c r="M48" i="24"/>
  <c r="D58" i="24" s="1"/>
  <c r="M48" i="22"/>
  <c r="D58" i="22" s="1"/>
  <c r="N14" i="22"/>
  <c r="N48" i="22" s="1"/>
  <c r="D62" i="21" l="1"/>
  <c r="D56" i="21" s="1"/>
  <c r="D77" i="21"/>
  <c r="D53" i="21"/>
  <c r="F46" i="21"/>
  <c r="I46" i="21" s="1"/>
  <c r="F44" i="21"/>
  <c r="I44" i="21" s="1"/>
  <c r="F40" i="21"/>
  <c r="I40" i="21" s="1"/>
  <c r="F38" i="21"/>
  <c r="I38" i="21" s="1"/>
  <c r="F36" i="21"/>
  <c r="F34" i="21"/>
  <c r="I34" i="21" s="1"/>
  <c r="F32" i="21"/>
  <c r="I32" i="21" s="1"/>
  <c r="F30" i="21"/>
  <c r="I30" i="21" s="1"/>
  <c r="F28" i="21"/>
  <c r="H28" i="21" s="1"/>
  <c r="F26" i="21"/>
  <c r="I26" i="21" s="1"/>
  <c r="F24" i="21"/>
  <c r="F22" i="21"/>
  <c r="F20" i="21"/>
  <c r="I20" i="21" s="1"/>
  <c r="F18" i="21"/>
  <c r="H18" i="21" s="1"/>
  <c r="I16" i="21"/>
  <c r="F14" i="21"/>
  <c r="H14" i="21" s="1"/>
  <c r="A2" i="21"/>
  <c r="A3" i="21" s="1"/>
  <c r="A4" i="21" s="1"/>
  <c r="A5" i="21" s="1"/>
  <c r="A6" i="21" s="1"/>
  <c r="A7" i="21" s="1"/>
  <c r="A8" i="21" s="1"/>
  <c r="A9" i="21" s="1"/>
  <c r="A10" i="21" s="1"/>
  <c r="A11" i="21" s="1"/>
  <c r="A12" i="21" s="1"/>
  <c r="A13" i="21" s="1"/>
  <c r="A14" i="21" s="1"/>
  <c r="A15" i="21" s="1"/>
  <c r="A16" i="21" s="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H24" i="21" l="1"/>
  <c r="I24" i="21"/>
  <c r="K48" i="21"/>
  <c r="D63" i="21" s="1"/>
  <c r="I22" i="21"/>
  <c r="F48" i="21"/>
  <c r="H44" i="21"/>
  <c r="I28" i="21"/>
  <c r="I18" i="21"/>
  <c r="I14" i="21"/>
  <c r="H26" i="21"/>
  <c r="H40" i="21"/>
  <c r="D54" i="21"/>
  <c r="H34" i="21"/>
  <c r="H20" i="21"/>
  <c r="I36" i="21"/>
  <c r="H36" i="21"/>
  <c r="H16" i="21"/>
  <c r="H30" i="21"/>
  <c r="H46" i="21"/>
  <c r="H22" i="21"/>
  <c r="H32" i="21"/>
  <c r="H38" i="21"/>
  <c r="M48" i="21" l="1"/>
  <c r="D58" i="21" s="1"/>
  <c r="D59" i="21" s="1"/>
  <c r="D69" i="21" s="1"/>
  <c r="D71" i="21" s="1"/>
  <c r="H48" i="21"/>
  <c r="I48" i="21"/>
  <c r="D65" i="21" s="1"/>
  <c r="N48" i="21"/>
  <c r="E18" i="9"/>
  <c r="C18" i="9"/>
  <c r="E17" i="9"/>
  <c r="C17" i="9"/>
  <c r="E16" i="9"/>
  <c r="C16" i="9"/>
  <c r="E15" i="9"/>
  <c r="C15" i="9"/>
  <c r="E14" i="9"/>
  <c r="C14" i="9"/>
  <c r="E13" i="9"/>
  <c r="C13" i="9"/>
  <c r="E12" i="9"/>
  <c r="C12" i="9"/>
  <c r="D14" i="9" l="1"/>
  <c r="D64" i="21"/>
  <c r="D66" i="21" s="1"/>
  <c r="D72" i="21" s="1"/>
  <c r="D73" i="21" s="1"/>
  <c r="D75" i="21" s="1"/>
  <c r="D78" i="21" s="1"/>
  <c r="F32" i="9" s="1"/>
  <c r="F41" i="9" s="1"/>
  <c r="F50" i="9" s="1"/>
  <c r="A2" i="11" l="1"/>
  <c r="A3" i="11" s="1"/>
  <c r="A4" i="11" s="1"/>
  <c r="A5" i="11" s="1"/>
  <c r="A6" i="11" s="1"/>
  <c r="A7" i="11" s="1"/>
  <c r="A8" i="11" s="1"/>
  <c r="A9" i="11" s="1"/>
  <c r="A10" i="11" l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1" i="11" s="1"/>
  <c r="A62" i="11" s="1"/>
  <c r="D62" i="11"/>
  <c r="J62" i="11" l="1"/>
  <c r="G62" i="11"/>
  <c r="E62" i="11"/>
  <c r="H60" i="11"/>
  <c r="H59" i="11" l="1"/>
  <c r="F59" i="11"/>
  <c r="H47" i="11" l="1"/>
  <c r="H44" i="11"/>
  <c r="H53" i="11"/>
  <c r="H50" i="11"/>
  <c r="G85" i="9" l="1"/>
  <c r="H85" i="9" s="1"/>
  <c r="I85" i="9" s="1"/>
  <c r="G76" i="9"/>
  <c r="H76" i="9" s="1"/>
  <c r="I76" i="9" s="1"/>
  <c r="F58" i="11"/>
  <c r="F47" i="11"/>
  <c r="F44" i="11"/>
  <c r="F45" i="11"/>
  <c r="F54" i="11"/>
  <c r="F53" i="11"/>
  <c r="F52" i="11"/>
  <c r="F46" i="11"/>
  <c r="F57" i="11"/>
  <c r="F56" i="11"/>
  <c r="F55" i="11"/>
  <c r="F51" i="11"/>
  <c r="F49" i="11"/>
  <c r="F50" i="11"/>
  <c r="F48" i="11"/>
  <c r="D25" i="11"/>
  <c r="D12" i="11"/>
  <c r="D17" i="11"/>
  <c r="F62" i="11" l="1"/>
  <c r="H48" i="11"/>
  <c r="I48" i="11"/>
  <c r="I49" i="11"/>
  <c r="H49" i="11"/>
  <c r="H55" i="11"/>
  <c r="I55" i="11"/>
  <c r="I56" i="11"/>
  <c r="H56" i="11"/>
  <c r="I57" i="11"/>
  <c r="H57" i="11"/>
  <c r="I51" i="11"/>
  <c r="H51" i="11"/>
  <c r="I46" i="11"/>
  <c r="H46" i="11"/>
  <c r="G47" i="9"/>
  <c r="D13" i="11"/>
  <c r="D15" i="11"/>
  <c r="I62" i="11" l="1"/>
  <c r="H62" i="11"/>
  <c r="H47" i="9"/>
  <c r="G94" i="9"/>
  <c r="D18" i="11"/>
  <c r="D22" i="11" s="1"/>
  <c r="D31" i="11" s="1"/>
  <c r="D27" i="11" l="1"/>
  <c r="D28" i="11" s="1"/>
  <c r="D32" i="11" s="1"/>
  <c r="D33" i="11" s="1"/>
  <c r="I47" i="9"/>
  <c r="H94" i="9"/>
  <c r="I94" i="9" l="1"/>
  <c r="D18" i="9" l="1"/>
  <c r="D17" i="9"/>
  <c r="D16" i="9"/>
  <c r="D13" i="9"/>
  <c r="C20" i="9" l="1"/>
  <c r="E20" i="9"/>
  <c r="D15" i="9"/>
  <c r="D12" i="9"/>
  <c r="A2" i="9"/>
  <c r="A3" i="9" l="1"/>
  <c r="A4" i="9" s="1"/>
  <c r="A5" i="9" s="1"/>
  <c r="A6" i="9" s="1"/>
  <c r="A7" i="9" s="1"/>
  <c r="A8" i="9" s="1"/>
  <c r="A9" i="9" s="1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A24" i="9" s="1"/>
  <c r="A25" i="9" s="1"/>
  <c r="A26" i="9" s="1"/>
  <c r="A27" i="9" s="1"/>
  <c r="A28" i="9" s="1"/>
  <c r="D20" i="9"/>
  <c r="F14" i="9" l="1"/>
  <c r="F13" i="9"/>
  <c r="F16" i="9"/>
  <c r="F17" i="9"/>
  <c r="F18" i="9"/>
  <c r="F15" i="9"/>
  <c r="F12" i="9"/>
  <c r="F66" i="9" s="1"/>
  <c r="A29" i="9"/>
  <c r="A30" i="9" s="1"/>
  <c r="A31" i="9" s="1"/>
  <c r="A32" i="9" s="1"/>
  <c r="A33" i="9" s="1"/>
  <c r="A34" i="9" s="1"/>
  <c r="A35" i="9" s="1"/>
  <c r="A36" i="9" s="1"/>
  <c r="A37" i="9" s="1"/>
  <c r="A38" i="9" s="1"/>
  <c r="A39" i="9" s="1"/>
  <c r="A40" i="9" s="1"/>
  <c r="A41" i="9" s="1"/>
  <c r="A42" i="9" s="1"/>
  <c r="A43" i="9" s="1"/>
  <c r="A44" i="9" s="1"/>
  <c r="A45" i="9" s="1"/>
  <c r="A46" i="9" s="1"/>
  <c r="A47" i="9" s="1"/>
  <c r="A48" i="9" s="1"/>
  <c r="A49" i="9" s="1"/>
  <c r="A50" i="9" s="1"/>
  <c r="A51" i="9" s="1"/>
  <c r="A52" i="9" s="1"/>
  <c r="A53" i="9" s="1"/>
  <c r="A54" i="9" s="1"/>
  <c r="G38" i="9"/>
  <c r="A55" i="9" l="1"/>
  <c r="A56" i="9" s="1"/>
  <c r="A57" i="9" s="1"/>
  <c r="A58" i="9" s="1"/>
  <c r="A59" i="9" s="1"/>
  <c r="A60" i="9" s="1"/>
  <c r="A61" i="9" s="1"/>
  <c r="A62" i="9" s="1"/>
  <c r="A63" i="9" s="1"/>
  <c r="A64" i="9" s="1"/>
  <c r="A65" i="9" s="1"/>
  <c r="A66" i="9" s="1"/>
  <c r="A67" i="9" s="1"/>
  <c r="A68" i="9" s="1"/>
  <c r="A69" i="9" s="1"/>
  <c r="A70" i="9" s="1"/>
  <c r="A71" i="9" s="1"/>
  <c r="A72" i="9" s="1"/>
  <c r="A73" i="9" s="1"/>
  <c r="A74" i="9" s="1"/>
  <c r="A75" i="9" s="1"/>
  <c r="A76" i="9" s="1"/>
  <c r="A77" i="9" s="1"/>
  <c r="A78" i="9" s="1"/>
  <c r="A79" i="9" s="1"/>
  <c r="A80" i="9" s="1"/>
  <c r="A81" i="9" s="1"/>
  <c r="A82" i="9" s="1"/>
  <c r="A83" i="9" s="1"/>
  <c r="A84" i="9" s="1"/>
  <c r="A85" i="9" s="1"/>
  <c r="A86" i="9" s="1"/>
  <c r="A87" i="9" s="1"/>
  <c r="A88" i="9" s="1"/>
  <c r="A89" i="9" s="1"/>
  <c r="A90" i="9" s="1"/>
  <c r="A91" i="9" s="1"/>
  <c r="A92" i="9" s="1"/>
  <c r="A93" i="9" s="1"/>
  <c r="A94" i="9" s="1"/>
  <c r="A95" i="9" s="1"/>
  <c r="A96" i="9" s="1"/>
  <c r="A97" i="9" s="1"/>
  <c r="A98" i="9" s="1"/>
  <c r="A99" i="9" s="1"/>
  <c r="A100" i="9" s="1"/>
  <c r="A101" i="9" s="1"/>
  <c r="A102" i="9" s="1"/>
  <c r="A103" i="9" s="1"/>
  <c r="A104" i="9" s="1"/>
  <c r="H66" i="9"/>
  <c r="G66" i="9"/>
  <c r="I66" i="9"/>
  <c r="F20" i="9"/>
  <c r="H38" i="9"/>
  <c r="I38" i="9" l="1"/>
  <c r="F60" i="9" l="1"/>
  <c r="F70" i="9" l="1"/>
  <c r="F64" i="9"/>
  <c r="F36" i="9"/>
  <c r="F45" i="9" s="1"/>
  <c r="F54" i="9" s="1"/>
  <c r="D62" i="24"/>
  <c r="D66" i="24" s="1"/>
  <c r="D72" i="24" s="1"/>
  <c r="F74" i="9" l="1"/>
  <c r="F83" i="9" s="1"/>
  <c r="F92" i="9" s="1"/>
  <c r="F101" i="9" s="1"/>
  <c r="F79" i="9"/>
  <c r="F88" i="9" s="1"/>
  <c r="F97" i="9" s="1"/>
  <c r="D56" i="24"/>
  <c r="D59" i="24" s="1"/>
  <c r="D69" i="24" s="1"/>
  <c r="D71" i="24" s="1"/>
  <c r="D73" i="24" s="1"/>
  <c r="D75" i="24" s="1"/>
  <c r="D78" i="24" s="1"/>
  <c r="G32" i="9" s="1"/>
  <c r="G41" i="9" l="1"/>
  <c r="G50" i="9" s="1"/>
  <c r="G60" i="9"/>
  <c r="G36" i="9"/>
  <c r="G45" i="9" s="1"/>
  <c r="G54" i="9" s="1"/>
  <c r="G70" i="9" l="1"/>
  <c r="G79" i="9" s="1"/>
  <c r="G88" i="9" s="1"/>
  <c r="G97" i="9" s="1"/>
  <c r="G64" i="9"/>
  <c r="G74" i="9" s="1"/>
  <c r="G83" i="9" s="1"/>
  <c r="G92" i="9" s="1"/>
  <c r="G101" i="9" s="1"/>
  <c r="D62" i="23"/>
  <c r="D66" i="23" s="1"/>
  <c r="D72" i="23" s="1"/>
  <c r="D56" i="23"/>
  <c r="D59" i="23" s="1"/>
  <c r="D69" i="23" s="1"/>
  <c r="D71" i="23" s="1"/>
  <c r="D73" i="23" s="1"/>
  <c r="D75" i="23" s="1"/>
  <c r="D78" i="23" s="1"/>
  <c r="H32" i="9" s="1"/>
  <c r="H41" i="9" l="1"/>
  <c r="H50" i="9" s="1"/>
  <c r="H60" i="9"/>
  <c r="H36" i="9"/>
  <c r="H45" i="9" s="1"/>
  <c r="H54" i="9" s="1"/>
  <c r="H70" i="9" l="1"/>
  <c r="H79" i="9" s="1"/>
  <c r="H88" i="9" s="1"/>
  <c r="H97" i="9" s="1"/>
  <c r="H64" i="9"/>
  <c r="H74" i="9" s="1"/>
  <c r="H83" i="9" s="1"/>
  <c r="H92" i="9" s="1"/>
  <c r="H101" i="9" s="1"/>
  <c r="D56" i="22"/>
  <c r="D59" i="22" s="1"/>
  <c r="D69" i="22" s="1"/>
  <c r="D71" i="22" s="1"/>
  <c r="D73" i="22" s="1"/>
  <c r="D75" i="22" s="1"/>
  <c r="D78" i="22" s="1"/>
  <c r="I32" i="9" s="1"/>
  <c r="D62" i="22"/>
  <c r="D66" i="22"/>
  <c r="D72" i="22"/>
  <c r="I36" i="9" l="1"/>
  <c r="I45" i="9" s="1"/>
  <c r="I54" i="9" s="1"/>
  <c r="I41" i="9"/>
  <c r="I50" i="9" s="1"/>
  <c r="I60" i="9"/>
  <c r="I70" i="9" l="1"/>
  <c r="I79" i="9" s="1"/>
  <c r="I88" i="9" s="1"/>
  <c r="I97" i="9" s="1"/>
  <c r="I64" i="9"/>
  <c r="I74" i="9" s="1"/>
  <c r="I83" i="9" s="1"/>
  <c r="I92" i="9" s="1"/>
  <c r="I101" i="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Everly</author>
  </authors>
  <commentList>
    <comment ref="C12" authorId="0" shapeId="0" xr:uid="{80D3A0CB-1250-4D0B-A772-DCFECA24426F}">
      <text>
        <r>
          <rPr>
            <b/>
            <sz val="9"/>
            <color indexed="81"/>
            <rFont val="Tahoma"/>
            <charset val="1"/>
          </rPr>
          <t>Christian Everly:</t>
        </r>
        <r>
          <rPr>
            <sz val="9"/>
            <color indexed="81"/>
            <rFont val="Tahoma"/>
            <charset val="1"/>
          </rPr>
          <t xml:space="preserve">
must subtract salt river generator credit, panel prooduction credit, and direct load credit from billing reports.</t>
        </r>
      </text>
    </comment>
    <comment ref="E12" authorId="0" shapeId="0" xr:uid="{76D5B306-E000-4A58-958D-9F752675F78C}">
      <text>
        <r>
          <rPr>
            <b/>
            <sz val="9"/>
            <color indexed="81"/>
            <rFont val="Tahoma"/>
            <charset val="1"/>
          </rPr>
          <t>Christian Everly:</t>
        </r>
        <r>
          <rPr>
            <sz val="9"/>
            <color indexed="81"/>
            <rFont val="Tahoma"/>
            <charset val="1"/>
          </rPr>
          <t xml:space="preserve">
must subtract salt river surcharge generator credit</t>
        </r>
      </text>
    </comment>
    <comment ref="C15" authorId="0" shapeId="0" xr:uid="{FD0C2C75-1893-4564-A1A2-C6D42177C67C}">
      <text>
        <r>
          <rPr>
            <b/>
            <sz val="9"/>
            <color indexed="81"/>
            <rFont val="Tahoma"/>
            <charset val="1"/>
          </rPr>
          <t>Christian Everly:</t>
        </r>
        <r>
          <rPr>
            <sz val="9"/>
            <color indexed="81"/>
            <rFont val="Tahoma"/>
            <charset val="1"/>
          </rPr>
          <t xml:space="preserve">
must subtract Nucor revenue</t>
        </r>
      </text>
    </comment>
    <comment ref="E15" authorId="0" shapeId="0" xr:uid="{A455A9C4-6FE2-4565-B12E-06CF599F8E62}">
      <text>
        <r>
          <rPr>
            <b/>
            <sz val="9"/>
            <color indexed="81"/>
            <rFont val="Tahoma"/>
            <charset val="1"/>
          </rPr>
          <t>Christian Everly:</t>
        </r>
        <r>
          <rPr>
            <sz val="9"/>
            <color indexed="81"/>
            <rFont val="Tahoma"/>
            <charset val="1"/>
          </rPr>
          <t xml:space="preserve">
must subtract Nucor surcharge revenue</t>
        </r>
      </text>
    </comment>
    <comment ref="B18" authorId="0" shapeId="0" xr:uid="{CA394A44-1F28-4C6D-9D79-E99698897699}">
      <text>
        <r>
          <rPr>
            <b/>
            <sz val="9"/>
            <color indexed="81"/>
            <rFont val="Tahoma"/>
            <charset val="1"/>
          </rPr>
          <t>Christian Everly:</t>
        </r>
        <r>
          <rPr>
            <sz val="9"/>
            <color indexed="81"/>
            <rFont val="Tahoma"/>
            <charset val="1"/>
          </rPr>
          <t xml:space="preserve">
Rate H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Christian Everly</author>
  </authors>
  <commentList>
    <comment ref="C22" authorId="0" shapeId="0" xr:uid="{3555F3F6-B1CD-45E1-BF62-96DCBB7571CB}">
      <text>
        <r>
          <rPr>
            <b/>
            <sz val="9"/>
            <color indexed="81"/>
            <rFont val="Tahoma"/>
            <charset val="1"/>
          </rPr>
          <t>Christian Everly:</t>
        </r>
        <r>
          <rPr>
            <sz val="9"/>
            <color indexed="81"/>
            <rFont val="Tahoma"/>
            <charset val="1"/>
          </rPr>
          <t xml:space="preserve">
energized date of May 2025</t>
        </r>
      </text>
    </comment>
  </commentList>
</comments>
</file>

<file path=xl/sharedStrings.xml><?xml version="1.0" encoding="utf-8"?>
<sst xmlns="http://schemas.openxmlformats.org/spreadsheetml/2006/main" count="499" uniqueCount="201">
  <si>
    <t>Page 1 of 6</t>
  </si>
  <si>
    <t>East Kentucky Power Cooperative, Inc.</t>
  </si>
  <si>
    <t>Estimated Increase in Revenues and Estimated Bill Impact on Residential Customers</t>
  </si>
  <si>
    <t>Revenue Information as of December 31, 2024 Billings</t>
  </si>
  <si>
    <t>Rate</t>
  </si>
  <si>
    <t>Total</t>
  </si>
  <si>
    <t>Base Rate &amp;</t>
  </si>
  <si>
    <t>Environmental</t>
  </si>
  <si>
    <t>Allocation</t>
  </si>
  <si>
    <t>Schedule</t>
  </si>
  <si>
    <t>Revenues</t>
  </si>
  <si>
    <t>FAC Revenues</t>
  </si>
  <si>
    <t>Surcharge</t>
  </si>
  <si>
    <t>Percentage</t>
  </si>
  <si>
    <t>Rate E</t>
  </si>
  <si>
    <t>Rate B</t>
  </si>
  <si>
    <t>Rate C</t>
  </si>
  <si>
    <t>Rate G</t>
  </si>
  <si>
    <t>Int. Paper Steam</t>
  </si>
  <si>
    <t>Nucor Gallatin</t>
  </si>
  <si>
    <t>Tenn Gas Pipeline</t>
  </si>
  <si>
    <t>Totals</t>
  </si>
  <si>
    <t>Note:  Allocation Percentage is calculated off of Base Rate and FAC Revenues.</t>
  </si>
  <si>
    <t>Estimated Rate Impacts</t>
  </si>
  <si>
    <t>Percentage Increase</t>
  </si>
  <si>
    <t>Calendar Year Ending</t>
  </si>
  <si>
    <t>Estimated Annual Revenue Requirement applicable to Member Systems -</t>
  </si>
  <si>
    <t xml:space="preserve">    Total Estimated Annual Revenue Requirement applicable to</t>
  </si>
  <si>
    <t xml:space="preserve">      Member Systems</t>
  </si>
  <si>
    <t>Percentage Increase at Wholesale -</t>
  </si>
  <si>
    <t xml:space="preserve">    Projects not Requiring a CPCN; Net of BESF</t>
  </si>
  <si>
    <t xml:space="preserve">    Total Percentage Increase at Wholesale</t>
  </si>
  <si>
    <t>Historic relationship between Retail and Wholesale Surcharge Factors</t>
  </si>
  <si>
    <t>Percentage Increase at Retail -</t>
  </si>
  <si>
    <t xml:space="preserve">    Total Percentage Increase at Retail</t>
  </si>
  <si>
    <t xml:space="preserve">Impact on Average Residential Bill at Retail  </t>
  </si>
  <si>
    <t>Estimated Annual Revenue Requirement applicable to</t>
  </si>
  <si>
    <t xml:space="preserve">  Member Systems -</t>
  </si>
  <si>
    <t xml:space="preserve">    Total Estimated Annual Revenue Requirement</t>
  </si>
  <si>
    <t xml:space="preserve">      applicable to Member Systems</t>
  </si>
  <si>
    <t>Allocation Percentage - Rate E</t>
  </si>
  <si>
    <t>Allocated Estimated Annual Revenue Requirement</t>
  </si>
  <si>
    <t xml:space="preserve">  applicable to Member Systems - Rate E -</t>
  </si>
  <si>
    <t xml:space="preserve">    Total Allocated Estimated Annual Revenue Requirement</t>
  </si>
  <si>
    <t xml:space="preserve">      applicable to Member Systems - Rate E</t>
  </si>
  <si>
    <t>Wholesale Rate E Revenue Requirement per kWh -</t>
  </si>
  <si>
    <t xml:space="preserve">    Total Wholesale Rate E Revenue Requirement per kWh</t>
  </si>
  <si>
    <t>Average Residential Bill in kWh</t>
  </si>
  <si>
    <t>Impact on Average Residential Bill at Wholesale -</t>
  </si>
  <si>
    <t xml:space="preserve">    Total Impact on Average Residential Bill at Wholesale</t>
  </si>
  <si>
    <t>Historic relationship between Retail and Wholesale</t>
  </si>
  <si>
    <t>Impact on Average Residential Bill at Retail -</t>
  </si>
  <si>
    <t xml:space="preserve">    Total Impact on Average Residential Bill at Retail</t>
  </si>
  <si>
    <t xml:space="preserve">Note: </t>
  </si>
  <si>
    <t xml:space="preserve">  This calculation reflects EKPC's best estimate of the impact on residential bills and is not based on an analysis of residential billing information.</t>
  </si>
  <si>
    <t>Page 2 of 6</t>
  </si>
  <si>
    <t>Proposed Projects Not Requiring a CPCN:</t>
  </si>
  <si>
    <t>Plant, Depreciation, Property Insurance, and Property Taxes:</t>
  </si>
  <si>
    <t>Balances as of December 31, 2025</t>
  </si>
  <si>
    <t>2025 Amounts</t>
  </si>
  <si>
    <t>Balances as of December 31, 2026</t>
  </si>
  <si>
    <t>Compliance Plan</t>
  </si>
  <si>
    <t>Eligible Gross</t>
  </si>
  <si>
    <t>Eligible Accum.</t>
  </si>
  <si>
    <t>Eligible Net</t>
  </si>
  <si>
    <t>Property</t>
  </si>
  <si>
    <t>Depreciation Expense</t>
  </si>
  <si>
    <t>Project Reference</t>
  </si>
  <si>
    <t>Description</t>
  </si>
  <si>
    <t>Plant in Service</t>
  </si>
  <si>
    <t>Depreciation</t>
  </si>
  <si>
    <t>CWIP</t>
  </si>
  <si>
    <t>Taxes</t>
  </si>
  <si>
    <t>Insurance</t>
  </si>
  <si>
    <t>Monthly</t>
  </si>
  <si>
    <t>Annual</t>
  </si>
  <si>
    <t>Amend 38</t>
  </si>
  <si>
    <t>Spurlock Landfill Haul Road Paving Phase 2</t>
  </si>
  <si>
    <t>Spurlock South Side Cap</t>
  </si>
  <si>
    <t>JK Smith Final Cap</t>
  </si>
  <si>
    <t>Cooper U2 Air Heater Basket/Seal Replacement</t>
  </si>
  <si>
    <t>Cooper Unit 2 Replace Middle Layer SCR Catalyst</t>
  </si>
  <si>
    <t>Cooper SCR - Top Catalyst Layer Replacement 2024/25</t>
  </si>
  <si>
    <t>Spurlock WWT - Ash Reliability Improvements</t>
  </si>
  <si>
    <t>Spurlock Landfill Westside pump station</t>
  </si>
  <si>
    <t>Spurlock Unit 3 &amp; 4 Cooling Tower Concentrated Acid Tank - Add second tank</t>
  </si>
  <si>
    <t>Spurlock Vac Truck Air Compressor</t>
  </si>
  <si>
    <t>Cooper Landfill Leachate System 480 Volt Electric</t>
  </si>
  <si>
    <t>Spurlock WWT Distilate System Upgrades</t>
  </si>
  <si>
    <t>Spurlock Water Mass Balance Pond- Install Heat Trace on Supply/Return Lines to Pond</t>
  </si>
  <si>
    <t>Spurlock Landfill A, B, C Runon and Runoff Upgrade</t>
  </si>
  <si>
    <t>Spurlock CCR ELG Operations Control Facility (Environmental Plant Operational Facility)</t>
  </si>
  <si>
    <t>Spurlock Unit 3 and Unit 4 - Dust Suppression for BC3, BC4, PC3 and PC4 Conveyors</t>
  </si>
  <si>
    <t>Spurlock Station Ash Cooling Actuators</t>
  </si>
  <si>
    <t>Total Proposed Projects Not Requiring a CPCN</t>
  </si>
  <si>
    <t>Annual O&amp;M Expenses for Proposed Projects:</t>
  </si>
  <si>
    <t>Eligible Gross Plant in Service</t>
  </si>
  <si>
    <t xml:space="preserve">  Subtotal</t>
  </si>
  <si>
    <t>Additions -</t>
  </si>
  <si>
    <t xml:space="preserve">  Cash Working Capital Allowance</t>
  </si>
  <si>
    <t>1/8 of O&amp;M Expenses</t>
  </si>
  <si>
    <t>Deductions -</t>
  </si>
  <si>
    <t xml:space="preserve">  Eligible Accumulated Depreciation </t>
  </si>
  <si>
    <t>Environmental Compliance Rate Base</t>
  </si>
  <si>
    <t>Annual O&amp;M Expenses</t>
  </si>
  <si>
    <t>Annual Depreciation and Amortization Expense</t>
  </si>
  <si>
    <t>Annual Property Taxes</t>
  </si>
  <si>
    <t>Annual Property Insurance Expense</t>
  </si>
  <si>
    <t>Total Pollution Control Operating Expenses</t>
  </si>
  <si>
    <t>Authorized Rate of Return  (Proposed)</t>
  </si>
  <si>
    <t>Total Annual O&amp;M Expenses</t>
  </si>
  <si>
    <t>Return on Rate Base</t>
  </si>
  <si>
    <t>Operating Expenses</t>
  </si>
  <si>
    <t xml:space="preserve">  Total Revenue Requirement</t>
  </si>
  <si>
    <t xml:space="preserve">Property Tax Rates:  </t>
  </si>
  <si>
    <t>Manufacturing Machinery</t>
  </si>
  <si>
    <t>Revenue Requirment applicable to Member Systems</t>
  </si>
  <si>
    <t>Real Estate - Mason Co.</t>
  </si>
  <si>
    <t>Less:  BESF Revenue Requirement for Items Already Recovered</t>
  </si>
  <si>
    <t>Real Estate - Clark Co.</t>
  </si>
  <si>
    <t xml:space="preserve">  through Base Rates</t>
  </si>
  <si>
    <t>Real Estate - Pulaski Co.</t>
  </si>
  <si>
    <t>Net Revenue Requirement applicable to Member Systems</t>
  </si>
  <si>
    <t xml:space="preserve">Property Insurance Rate:  </t>
  </si>
  <si>
    <t>2026 Amounts</t>
  </si>
  <si>
    <t>Balances as of December 31, 2027</t>
  </si>
  <si>
    <t>2027 Amounts</t>
  </si>
  <si>
    <t>Balances as of December 31, 2028</t>
  </si>
  <si>
    <t>2028 Amounts</t>
  </si>
  <si>
    <t>Balances as of December 31, 2029</t>
  </si>
  <si>
    <t>Page 6 of 6</t>
  </si>
  <si>
    <t>BESF Revenue Requirement Calculations for Proposed Projects Already Recovered in Base Rates</t>
  </si>
  <si>
    <t>Determination of Rate Base as of December 31, 2019:</t>
  </si>
  <si>
    <t>Gross Plant in Service</t>
  </si>
  <si>
    <t xml:space="preserve">  Cash Working Capital Allowance - 1/8th of O&amp;M Expenses</t>
  </si>
  <si>
    <t xml:space="preserve">  Accumulated Depreciation </t>
  </si>
  <si>
    <t>Total Rate Base</t>
  </si>
  <si>
    <t>Rate of Return on Rate Base - Authorized Case No. 2019-00380</t>
  </si>
  <si>
    <t>Determination of Operating Expenses as of December 31, 2019:</t>
  </si>
  <si>
    <t>Annual Depreciation Expense</t>
  </si>
  <si>
    <t xml:space="preserve">  Reflects new depreciation study approved in last base rate case.</t>
  </si>
  <si>
    <t>Annual O&amp;M Expense</t>
  </si>
  <si>
    <t xml:space="preserve">  No O&amp;M expenses could be identified for these projects in the financial information.</t>
  </si>
  <si>
    <t>Annual Property Taxes &amp; Insurance</t>
  </si>
  <si>
    <t>Total Operating Expenses</t>
  </si>
  <si>
    <t>BESF Revenue Requirement as of December 31, 2019:</t>
  </si>
  <si>
    <t>Total Revenue Requirement</t>
  </si>
  <si>
    <t>Member System Allocation Percentage at December 2019</t>
  </si>
  <si>
    <t>BESF Revenue Requirement for Items Already Recovered</t>
  </si>
  <si>
    <t>Detailed Financial Information - Balances as of December 31, 2019</t>
  </si>
  <si>
    <t>Expense</t>
  </si>
  <si>
    <t>Amend 1</t>
  </si>
  <si>
    <t>Spurlock 3 Baghouse (Liner)</t>
  </si>
  <si>
    <t>Amend 3</t>
  </si>
  <si>
    <t>Spurlock 1 Sonic Horns</t>
  </si>
  <si>
    <t>Amend 4</t>
  </si>
  <si>
    <t>Spurlock 2 Sonic Horns</t>
  </si>
  <si>
    <t>Amend 9</t>
  </si>
  <si>
    <t>Spurlock 4 Baghouse (Liner)</t>
  </si>
  <si>
    <t>Amend 11</t>
  </si>
  <si>
    <t>Cooper Inlet Hopper Discharge Modification</t>
  </si>
  <si>
    <t>Amend 15</t>
  </si>
  <si>
    <t>Smith CCR Groundwater Wells</t>
  </si>
  <si>
    <t>Cooper Treatment Plant pH Adjustment</t>
  </si>
  <si>
    <t>Spurlock CCR Groundwater Wells</t>
  </si>
  <si>
    <t>Spurlock Ash Haul Bridge Joint Plate</t>
  </si>
  <si>
    <t>Spurlock Backup Limestone Conveyor</t>
  </si>
  <si>
    <t>Spurlock Fly Ash Silo Exhausters</t>
  </si>
  <si>
    <t>Spurlock 1&amp;2 Fly Ash Silo Dust Suppression</t>
  </si>
  <si>
    <t>Spurlock 4 Fly Ash Silo Dust Suppression</t>
  </si>
  <si>
    <t>Spurlock 2 Air Heater Deposition Meas.</t>
  </si>
  <si>
    <t>Spurlock Landfill - Haul Road Paving</t>
  </si>
  <si>
    <t>Spurlock Landfill, Area D, Ponds &amp; Stream</t>
  </si>
  <si>
    <t>Spurlock Landfill, Area D, Phase 1</t>
  </si>
  <si>
    <t>Legacy CCR Monitoring</t>
  </si>
  <si>
    <t>CCR Ground Water Monitoring</t>
  </si>
  <si>
    <t>Attachment JRW-3</t>
  </si>
  <si>
    <t>Calculated Annual Amount included in Detailed Revenue Requirement Calculations for Years Ending 2025 through 2028</t>
  </si>
  <si>
    <t xml:space="preserve">This represents the BESF for items included in Base Rates.  2019 is the test year Base Rates are currently calculated from. </t>
  </si>
  <si>
    <t>Detailed Revenue Requirement Calculations for the Expense Month Ending December 2025</t>
  </si>
  <si>
    <t>Detailed Revenue Requirement Calculations for the Expense Month Ending December 2026</t>
  </si>
  <si>
    <t>Detailed Revenue Requirement Calculations for the Expense Month Ending December 2027</t>
  </si>
  <si>
    <t>Detailed Revenue Requirement Calculations for the Expense Month Ending December 2028</t>
  </si>
  <si>
    <t>Determination of Environmental Compliance Rate Base as of December 31, 2025:</t>
  </si>
  <si>
    <t>Determination of Pollution Control Operating Expenses, 12 months ending December 31, 2025:</t>
  </si>
  <si>
    <t>Revenue Requirement for 12 Months ending December 31, 2025:</t>
  </si>
  <si>
    <t>Determination of Environmental Compliance Rate Base as of December 31, 2026:</t>
  </si>
  <si>
    <t>Determination of Pollution Control Operating Expenses, 12 months ending December 31, 2026:</t>
  </si>
  <si>
    <t>Revenue Requirement for 12 Months ending December 31, 2026:</t>
  </si>
  <si>
    <t>Determination of Environmental Compliance Rate Base as of December 31, 2027:</t>
  </si>
  <si>
    <t>Determination of Pollution Control Operating Expenses, 12 months ending December 31, 2027:</t>
  </si>
  <si>
    <t>Revenue Requirement for 12 Months ending December 31, 2027:</t>
  </si>
  <si>
    <t>Determination of Environmental Compliance Rate Base as of December 31, 2028:</t>
  </si>
  <si>
    <t>Determination of Pollution Control Operating Expenses, 12 months ending December 31, 2028:</t>
  </si>
  <si>
    <t>Revenue Requirement for 12 Months ending December 31, 2028:</t>
  </si>
  <si>
    <t>Member System Allocation Ratio (December 31, 2024)</t>
  </si>
  <si>
    <t>Page 3 of 6</t>
  </si>
  <si>
    <t>Page 4 of 6</t>
  </si>
  <si>
    <t>Page 5 of 6</t>
  </si>
  <si>
    <t xml:space="preserve">  Total Revenues as of December 31, 2024</t>
  </si>
  <si>
    <t xml:space="preserve">2024 Billed kWh Sales - Rate 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</si>
</sst>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&quot;$&quot;#,##0.0000_);[Red]\(&quot;$&quot;#,##0.0000\)"/>
    <numFmt numFmtId="165" formatCode="&quot;$&quot;#,##0.000000_);[Red]\(&quot;$&quot;#,##0.000000\)"/>
    <numFmt numFmtId="166" formatCode="&quot;$&quot;#,##0.00000_);[Red]\(&quot;$&quot;#,##0.00000\)"/>
    <numFmt numFmtId="167" formatCode="0.000%"/>
    <numFmt numFmtId="168" formatCode="&quot;$&quot;#,##0.000_);[Red]\(&quot;$&quot;#,##0.000\)"/>
  </numFmts>
  <fonts count="9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u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48">
    <xf numFmtId="0" fontId="0" fillId="0" borderId="0" xfId="0"/>
    <xf numFmtId="38" fontId="0" fillId="0" borderId="0" xfId="0" applyNumberFormat="1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6" fontId="0" fillId="0" borderId="0" xfId="0" applyNumberFormat="1"/>
    <xf numFmtId="0" fontId="0" fillId="0" borderId="0" xfId="0" applyAlignment="1">
      <alignment horizontal="right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6" fontId="0" fillId="0" borderId="11" xfId="0" applyNumberFormat="1" applyBorder="1"/>
    <xf numFmtId="6" fontId="0" fillId="0" borderId="12" xfId="0" applyNumberFormat="1" applyBorder="1"/>
    <xf numFmtId="0" fontId="3" fillId="0" borderId="0" xfId="0" applyFont="1" applyAlignment="1">
      <alignment horizontal="left"/>
    </xf>
    <xf numFmtId="6" fontId="0" fillId="0" borderId="13" xfId="0" applyNumberFormat="1" applyBorder="1"/>
    <xf numFmtId="167" fontId="0" fillId="0" borderId="11" xfId="0" applyNumberFormat="1" applyBorder="1"/>
    <xf numFmtId="10" fontId="0" fillId="0" borderId="11" xfId="0" applyNumberFormat="1" applyBorder="1"/>
    <xf numFmtId="167" fontId="0" fillId="0" borderId="0" xfId="0" applyNumberFormat="1"/>
    <xf numFmtId="0" fontId="4" fillId="0" borderId="0" xfId="0" applyFont="1"/>
    <xf numFmtId="10" fontId="0" fillId="0" borderId="0" xfId="0" applyNumberFormat="1"/>
    <xf numFmtId="168" fontId="0" fillId="0" borderId="0" xfId="0" applyNumberFormat="1"/>
    <xf numFmtId="8" fontId="0" fillId="0" borderId="0" xfId="0" applyNumberFormat="1"/>
    <xf numFmtId="0" fontId="5" fillId="0" borderId="0" xfId="0" applyFont="1"/>
    <xf numFmtId="6" fontId="3" fillId="0" borderId="0" xfId="0" applyNumberFormat="1" applyFont="1"/>
    <xf numFmtId="0" fontId="0" fillId="2" borderId="0" xfId="0" applyFill="1"/>
    <xf numFmtId="0" fontId="6" fillId="0" borderId="0" xfId="0" applyFont="1"/>
    <xf numFmtId="0" fontId="6" fillId="0" borderId="0" xfId="0" applyFont="1" applyAlignment="1">
      <alignment horizontal="center"/>
    </xf>
    <xf numFmtId="166" fontId="0" fillId="0" borderId="11" xfId="0" applyNumberFormat="1" applyBorder="1"/>
    <xf numFmtId="168" fontId="0" fillId="0" borderId="11" xfId="0" applyNumberFormat="1" applyBorder="1"/>
    <xf numFmtId="8" fontId="0" fillId="0" borderId="11" xfId="0" applyNumberFormat="1" applyBorder="1"/>
    <xf numFmtId="0" fontId="2" fillId="0" borderId="0" xfId="0" applyFont="1" applyAlignment="1">
      <alignment horizontal="right"/>
    </xf>
    <xf numFmtId="0" fontId="0" fillId="0" borderId="6" xfId="0" quotePrefix="1" applyBorder="1" applyAlignment="1">
      <alignment horizontal="center"/>
    </xf>
    <xf numFmtId="43" fontId="0" fillId="0" borderId="0" xfId="0" applyNumberFormat="1"/>
    <xf numFmtId="10" fontId="0" fillId="0" borderId="12" xfId="0" applyNumberFormat="1" applyBorder="1"/>
    <xf numFmtId="6" fontId="0" fillId="0" borderId="14" xfId="0" applyNumberFormat="1" applyBorder="1"/>
    <xf numFmtId="0" fontId="6" fillId="0" borderId="0" xfId="1" applyFont="1"/>
    <xf numFmtId="0" fontId="0" fillId="0" borderId="0" xfId="1" applyFont="1"/>
    <xf numFmtId="10" fontId="0" fillId="0" borderId="0" xfId="3" applyNumberFormat="1" applyFo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4">
    <cellStyle name="Normal" xfId="0" builtinId="0"/>
    <cellStyle name="Normal 2" xfId="1" xr:uid="{D4782F49-5F3B-4863-91AA-7092F6B4E019}"/>
    <cellStyle name="Percent" xfId="3" builtinId="5"/>
    <cellStyle name="Percent 2" xfId="2" xr:uid="{9EB07C95-87C2-42B0-BD41-4EEF75DB2C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4"/>
  <sheetViews>
    <sheetView tabSelected="1" zoomScale="80" zoomScaleNormal="80" workbookViewId="0">
      <selection activeCell="G66" sqref="G66"/>
    </sheetView>
  </sheetViews>
  <sheetFormatPr defaultColWidth="15.625" defaultRowHeight="14.25" x14ac:dyDescent="0.2"/>
  <cols>
    <col min="1" max="1" width="4.625" customWidth="1"/>
    <col min="2" max="2" width="17.625" customWidth="1"/>
    <col min="10" max="10" width="27.75" customWidth="1"/>
    <col min="16" max="16" width="17.5" bestFit="1" customWidth="1"/>
  </cols>
  <sheetData>
    <row r="1" spans="1:9" ht="15" x14ac:dyDescent="0.25">
      <c r="A1" s="1">
        <v>1</v>
      </c>
      <c r="I1" s="34" t="s">
        <v>176</v>
      </c>
    </row>
    <row r="2" spans="1:9" ht="15" x14ac:dyDescent="0.25">
      <c r="A2" s="1">
        <f>A1+1</f>
        <v>2</v>
      </c>
      <c r="I2" s="34" t="s">
        <v>0</v>
      </c>
    </row>
    <row r="3" spans="1:9" ht="15" x14ac:dyDescent="0.25">
      <c r="A3" s="1">
        <f t="shared" ref="A3:A32" si="0">A2+1</f>
        <v>3</v>
      </c>
      <c r="C3" s="45" t="s">
        <v>1</v>
      </c>
      <c r="D3" s="45"/>
      <c r="E3" s="45"/>
      <c r="F3" s="45"/>
      <c r="G3" s="45"/>
      <c r="H3" s="45"/>
      <c r="I3" s="34"/>
    </row>
    <row r="4" spans="1:9" ht="15" x14ac:dyDescent="0.25">
      <c r="A4" s="1">
        <f t="shared" si="0"/>
        <v>4</v>
      </c>
      <c r="C4" s="45" t="s">
        <v>2</v>
      </c>
      <c r="D4" s="45"/>
      <c r="E4" s="45"/>
      <c r="F4" s="45"/>
      <c r="G4" s="45"/>
      <c r="H4" s="45"/>
      <c r="I4" s="34"/>
    </row>
    <row r="5" spans="1:9" ht="15" x14ac:dyDescent="0.25">
      <c r="A5" s="1">
        <f t="shared" si="0"/>
        <v>5</v>
      </c>
      <c r="I5" s="34"/>
    </row>
    <row r="6" spans="1:9" x14ac:dyDescent="0.2">
      <c r="A6" s="1">
        <f t="shared" si="0"/>
        <v>6</v>
      </c>
    </row>
    <row r="7" spans="1:9" ht="15" x14ac:dyDescent="0.25">
      <c r="A7" s="1">
        <f t="shared" si="0"/>
        <v>7</v>
      </c>
      <c r="B7" s="2" t="s">
        <v>3</v>
      </c>
    </row>
    <row r="8" spans="1:9" x14ac:dyDescent="0.2">
      <c r="A8" s="1">
        <f t="shared" si="0"/>
        <v>8</v>
      </c>
    </row>
    <row r="9" spans="1:9" x14ac:dyDescent="0.2">
      <c r="A9" s="1">
        <f t="shared" si="0"/>
        <v>9</v>
      </c>
      <c r="B9" s="3" t="s">
        <v>4</v>
      </c>
      <c r="C9" s="3" t="s">
        <v>5</v>
      </c>
      <c r="D9" s="3" t="s">
        <v>6</v>
      </c>
      <c r="E9" s="3" t="s">
        <v>7</v>
      </c>
      <c r="F9" s="3" t="s">
        <v>8</v>
      </c>
    </row>
    <row r="10" spans="1:9" ht="15" thickBot="1" x14ac:dyDescent="0.25">
      <c r="A10" s="1">
        <f t="shared" si="0"/>
        <v>10</v>
      </c>
      <c r="B10" s="5" t="s">
        <v>9</v>
      </c>
      <c r="C10" s="5" t="s">
        <v>10</v>
      </c>
      <c r="D10" s="5" t="s">
        <v>11</v>
      </c>
      <c r="E10" s="5" t="s">
        <v>12</v>
      </c>
      <c r="F10" s="5" t="s">
        <v>13</v>
      </c>
    </row>
    <row r="11" spans="1:9" x14ac:dyDescent="0.2">
      <c r="A11" s="1">
        <f t="shared" si="0"/>
        <v>11</v>
      </c>
    </row>
    <row r="12" spans="1:9" x14ac:dyDescent="0.2">
      <c r="A12" s="1">
        <f t="shared" si="0"/>
        <v>12</v>
      </c>
      <c r="B12" t="s">
        <v>14</v>
      </c>
      <c r="C12" s="10">
        <f>840379668-471326-562935-37523</f>
        <v>839307884</v>
      </c>
      <c r="D12" s="10">
        <f>C12-E12</f>
        <v>712735955</v>
      </c>
      <c r="E12" s="10">
        <f>126641412-69483</f>
        <v>126571929</v>
      </c>
      <c r="F12" s="23">
        <f>ROUND(D12/D$20,5)</f>
        <v>0.75983999999999996</v>
      </c>
    </row>
    <row r="13" spans="1:9" x14ac:dyDescent="0.2">
      <c r="A13" s="1">
        <f t="shared" si="0"/>
        <v>13</v>
      </c>
      <c r="B13" t="s">
        <v>15</v>
      </c>
      <c r="C13" s="10">
        <f>74549104</f>
        <v>74549104</v>
      </c>
      <c r="D13" s="10">
        <f>C13-E13</f>
        <v>63402153</v>
      </c>
      <c r="E13" s="10">
        <f>11146951</f>
        <v>11146951</v>
      </c>
      <c r="F13" s="23">
        <f t="shared" ref="F13:F18" si="1">ROUND(D13/D$20,5)</f>
        <v>6.7589999999999997E-2</v>
      </c>
    </row>
    <row r="14" spans="1:9" x14ac:dyDescent="0.2">
      <c r="A14" s="1">
        <f t="shared" si="0"/>
        <v>14</v>
      </c>
      <c r="B14" t="s">
        <v>16</v>
      </c>
      <c r="C14" s="10">
        <f>29181562</f>
        <v>29181562</v>
      </c>
      <c r="D14" s="10">
        <f>C14-E14</f>
        <v>24887558</v>
      </c>
      <c r="E14" s="10">
        <f>4294004</f>
        <v>4294004</v>
      </c>
      <c r="F14" s="23">
        <f>ROUND(D14/D$20,5)</f>
        <v>2.6530000000000001E-2</v>
      </c>
    </row>
    <row r="15" spans="1:9" x14ac:dyDescent="0.2">
      <c r="A15" s="1">
        <f t="shared" si="0"/>
        <v>15</v>
      </c>
      <c r="B15" t="s">
        <v>17</v>
      </c>
      <c r="C15" s="10">
        <f>135200112-87641996</f>
        <v>47558116</v>
      </c>
      <c r="D15" s="10">
        <f t="shared" ref="D15:D18" si="2">C15-E15</f>
        <v>40519894</v>
      </c>
      <c r="E15" s="10">
        <f>19759330-12721108</f>
        <v>7038222</v>
      </c>
      <c r="F15" s="23">
        <f>ROUND(D15/D$20,5)</f>
        <v>4.3200000000000002E-2</v>
      </c>
    </row>
    <row r="16" spans="1:9" x14ac:dyDescent="0.2">
      <c r="A16" s="1">
        <f t="shared" si="0"/>
        <v>16</v>
      </c>
      <c r="B16" t="s">
        <v>18</v>
      </c>
      <c r="C16" s="10">
        <f>13160505</f>
        <v>13160505</v>
      </c>
      <c r="D16" s="10">
        <f t="shared" si="2"/>
        <v>11195052</v>
      </c>
      <c r="E16" s="10">
        <f>1965453</f>
        <v>1965453</v>
      </c>
      <c r="F16" s="23">
        <f>ROUND(D16/D$20,5)</f>
        <v>1.193E-2</v>
      </c>
    </row>
    <row r="17" spans="1:9" x14ac:dyDescent="0.2">
      <c r="A17" s="1">
        <f t="shared" si="0"/>
        <v>17</v>
      </c>
      <c r="B17" t="s">
        <v>19</v>
      </c>
      <c r="C17" s="10">
        <f>87641996</f>
        <v>87641996</v>
      </c>
      <c r="D17" s="10">
        <f t="shared" si="2"/>
        <v>74920888</v>
      </c>
      <c r="E17" s="10">
        <f>12721108</f>
        <v>12721108</v>
      </c>
      <c r="F17" s="23">
        <f>ROUND(D17/D$20,5)</f>
        <v>7.9869999999999997E-2</v>
      </c>
    </row>
    <row r="18" spans="1:9" x14ac:dyDescent="0.2">
      <c r="A18" s="1">
        <f t="shared" si="0"/>
        <v>18</v>
      </c>
      <c r="B18" t="s">
        <v>20</v>
      </c>
      <c r="C18" s="15">
        <f>11474250</f>
        <v>11474250</v>
      </c>
      <c r="D18" s="15">
        <f t="shared" si="2"/>
        <v>10342277</v>
      </c>
      <c r="E18" s="15">
        <f>1131973</f>
        <v>1131973</v>
      </c>
      <c r="F18" s="20">
        <f t="shared" si="1"/>
        <v>1.103E-2</v>
      </c>
    </row>
    <row r="19" spans="1:9" x14ac:dyDescent="0.2">
      <c r="A19" s="1">
        <f t="shared" si="0"/>
        <v>19</v>
      </c>
      <c r="C19" s="10"/>
      <c r="D19" s="10"/>
      <c r="E19" s="10"/>
      <c r="F19" s="23"/>
    </row>
    <row r="20" spans="1:9" ht="15" thickBot="1" x14ac:dyDescent="0.25">
      <c r="A20" s="1">
        <f t="shared" si="0"/>
        <v>20</v>
      </c>
      <c r="B20" t="s">
        <v>21</v>
      </c>
      <c r="C20" s="16">
        <f>SUM(C12:C18)</f>
        <v>1102873417</v>
      </c>
      <c r="D20" s="16">
        <f t="shared" ref="D20:E20" si="3">SUM(D12:D18)</f>
        <v>938003777</v>
      </c>
      <c r="E20" s="16">
        <f t="shared" si="3"/>
        <v>164869640</v>
      </c>
      <c r="F20" s="37">
        <f>SUM(F12:F18)</f>
        <v>0.99999000000000005</v>
      </c>
    </row>
    <row r="21" spans="1:9" ht="15" thickTop="1" x14ac:dyDescent="0.2">
      <c r="A21" s="1">
        <f t="shared" si="0"/>
        <v>21</v>
      </c>
    </row>
    <row r="22" spans="1:9" x14ac:dyDescent="0.2">
      <c r="A22" s="1">
        <f t="shared" si="0"/>
        <v>22</v>
      </c>
      <c r="B22" t="s">
        <v>22</v>
      </c>
    </row>
    <row r="23" spans="1:9" x14ac:dyDescent="0.2">
      <c r="A23" s="1">
        <f t="shared" si="0"/>
        <v>23</v>
      </c>
    </row>
    <row r="24" spans="1:9" x14ac:dyDescent="0.2">
      <c r="A24" s="1">
        <f t="shared" si="0"/>
        <v>24</v>
      </c>
    </row>
    <row r="25" spans="1:9" x14ac:dyDescent="0.2">
      <c r="A25" s="1">
        <f t="shared" si="0"/>
        <v>25</v>
      </c>
    </row>
    <row r="26" spans="1:9" ht="15" x14ac:dyDescent="0.25">
      <c r="A26" s="1">
        <f t="shared" si="0"/>
        <v>26</v>
      </c>
      <c r="B26" s="22"/>
    </row>
    <row r="27" spans="1:9" ht="15" x14ac:dyDescent="0.25">
      <c r="A27" s="1">
        <f t="shared" si="0"/>
        <v>27</v>
      </c>
      <c r="B27" s="2" t="s">
        <v>23</v>
      </c>
      <c r="E27" s="3"/>
    </row>
    <row r="28" spans="1:9" x14ac:dyDescent="0.2">
      <c r="A28" s="1">
        <f t="shared" si="0"/>
        <v>28</v>
      </c>
    </row>
    <row r="29" spans="1:9" x14ac:dyDescent="0.2">
      <c r="A29" s="1">
        <f t="shared" si="0"/>
        <v>29</v>
      </c>
      <c r="B29" s="26" t="s">
        <v>24</v>
      </c>
      <c r="F29" s="42" t="s">
        <v>25</v>
      </c>
      <c r="G29" s="43"/>
      <c r="H29" s="43"/>
      <c r="I29" s="44"/>
    </row>
    <row r="30" spans="1:9" ht="15" thickBot="1" x14ac:dyDescent="0.25">
      <c r="A30" s="1">
        <f t="shared" si="0"/>
        <v>30</v>
      </c>
      <c r="F30" s="35">
        <v>2025</v>
      </c>
      <c r="G30" s="35">
        <v>2026</v>
      </c>
      <c r="H30" s="35">
        <v>2027</v>
      </c>
      <c r="I30" s="35">
        <v>2028</v>
      </c>
    </row>
    <row r="31" spans="1:9" x14ac:dyDescent="0.2">
      <c r="A31" s="1">
        <f t="shared" si="0"/>
        <v>31</v>
      </c>
    </row>
    <row r="32" spans="1:9" x14ac:dyDescent="0.2">
      <c r="A32" s="1">
        <f t="shared" si="0"/>
        <v>32</v>
      </c>
      <c r="B32" t="s">
        <v>26</v>
      </c>
      <c r="E32" s="10"/>
      <c r="F32" s="10">
        <f>'Proposed - YE 2025'!D78</f>
        <v>2378641</v>
      </c>
      <c r="G32" s="10">
        <f>'Proposed - YE 2026'!D78</f>
        <v>2511415</v>
      </c>
      <c r="H32" s="10">
        <f>'Proposed - YE 2027'!D78</f>
        <v>2075922</v>
      </c>
      <c r="I32" s="10">
        <f>'Proposed - YE 2028'!D78</f>
        <v>2073585</v>
      </c>
    </row>
    <row r="33" spans="1:9" x14ac:dyDescent="0.2">
      <c r="A33" s="1">
        <f t="shared" ref="A33:A35" si="4">A32+1</f>
        <v>33</v>
      </c>
      <c r="E33" s="10"/>
      <c r="F33" s="10"/>
      <c r="G33" s="10"/>
      <c r="H33" s="10"/>
      <c r="I33" s="10"/>
    </row>
    <row r="34" spans="1:9" x14ac:dyDescent="0.2">
      <c r="A34" s="1">
        <f t="shared" si="4"/>
        <v>34</v>
      </c>
      <c r="B34" t="s">
        <v>27</v>
      </c>
      <c r="E34" s="10"/>
      <c r="F34" s="15"/>
      <c r="G34" s="15"/>
      <c r="H34" s="15"/>
      <c r="I34" s="15"/>
    </row>
    <row r="35" spans="1:9" x14ac:dyDescent="0.2">
      <c r="A35" s="1">
        <f t="shared" si="4"/>
        <v>35</v>
      </c>
      <c r="B35" t="s">
        <v>28</v>
      </c>
    </row>
    <row r="36" spans="1:9" x14ac:dyDescent="0.2">
      <c r="A36" s="1">
        <f t="shared" ref="A36:A101" si="5">A35+1</f>
        <v>36</v>
      </c>
      <c r="E36" s="10"/>
      <c r="F36" s="10">
        <f>SUM(F32:F34)</f>
        <v>2378641</v>
      </c>
      <c r="G36" s="10">
        <f>SUM(G32:G34)</f>
        <v>2511415</v>
      </c>
      <c r="H36" s="10">
        <f>SUM(H32:H34)</f>
        <v>2075922</v>
      </c>
      <c r="I36" s="10">
        <f>SUM(I32:I34)</f>
        <v>2073585</v>
      </c>
    </row>
    <row r="37" spans="1:9" x14ac:dyDescent="0.2">
      <c r="A37" s="1">
        <f t="shared" si="5"/>
        <v>37</v>
      </c>
    </row>
    <row r="38" spans="1:9" x14ac:dyDescent="0.2">
      <c r="A38" s="1">
        <f t="shared" si="5"/>
        <v>38</v>
      </c>
      <c r="B38" t="s">
        <v>199</v>
      </c>
      <c r="E38" s="10"/>
      <c r="F38" s="10">
        <f>C20</f>
        <v>1102873417</v>
      </c>
      <c r="G38" s="10">
        <f t="shared" ref="G38:I38" si="6">F38</f>
        <v>1102873417</v>
      </c>
      <c r="H38" s="10">
        <f t="shared" si="6"/>
        <v>1102873417</v>
      </c>
      <c r="I38" s="10">
        <f t="shared" si="6"/>
        <v>1102873417</v>
      </c>
    </row>
    <row r="39" spans="1:9" x14ac:dyDescent="0.2">
      <c r="A39" s="1">
        <f t="shared" si="5"/>
        <v>39</v>
      </c>
    </row>
    <row r="40" spans="1:9" x14ac:dyDescent="0.2">
      <c r="A40" s="1">
        <f t="shared" si="5"/>
        <v>40</v>
      </c>
      <c r="B40" t="s">
        <v>29</v>
      </c>
      <c r="E40" s="23"/>
    </row>
    <row r="41" spans="1:9" x14ac:dyDescent="0.2">
      <c r="A41" s="1">
        <f t="shared" si="5"/>
        <v>41</v>
      </c>
      <c r="B41" t="s">
        <v>30</v>
      </c>
      <c r="E41" s="23"/>
      <c r="F41" s="23">
        <f>ROUND(F32/F$38,4)</f>
        <v>2.2000000000000001E-3</v>
      </c>
      <c r="G41" s="23">
        <f t="shared" ref="G41:I41" si="7">ROUND(G32/G$38,4)</f>
        <v>2.3E-3</v>
      </c>
      <c r="H41" s="23">
        <f t="shared" si="7"/>
        <v>1.9E-3</v>
      </c>
      <c r="I41" s="23">
        <f t="shared" si="7"/>
        <v>1.9E-3</v>
      </c>
    </row>
    <row r="42" spans="1:9" x14ac:dyDescent="0.2">
      <c r="A42" s="1">
        <f t="shared" si="5"/>
        <v>42</v>
      </c>
      <c r="E42" s="23"/>
      <c r="F42" s="23"/>
      <c r="G42" s="23"/>
      <c r="H42" s="23"/>
      <c r="I42" s="23"/>
    </row>
    <row r="43" spans="1:9" x14ac:dyDescent="0.2">
      <c r="A43" s="1">
        <f t="shared" si="5"/>
        <v>43</v>
      </c>
      <c r="E43" s="23"/>
      <c r="F43" s="20"/>
      <c r="G43" s="20"/>
      <c r="H43" s="20"/>
      <c r="I43" s="20"/>
    </row>
    <row r="44" spans="1:9" x14ac:dyDescent="0.2">
      <c r="A44" s="1">
        <f t="shared" si="5"/>
        <v>44</v>
      </c>
      <c r="E44" s="23"/>
      <c r="F44" s="23"/>
      <c r="G44" s="23"/>
      <c r="H44" s="23"/>
      <c r="I44" s="23"/>
    </row>
    <row r="45" spans="1:9" x14ac:dyDescent="0.2">
      <c r="A45" s="1">
        <f t="shared" si="5"/>
        <v>45</v>
      </c>
      <c r="B45" t="s">
        <v>31</v>
      </c>
      <c r="E45" s="23"/>
      <c r="F45" s="23">
        <f>ROUND(F36/F$38,4)</f>
        <v>2.2000000000000001E-3</v>
      </c>
      <c r="G45" s="23">
        <f>ROUND(G36/G$38,4)</f>
        <v>2.3E-3</v>
      </c>
      <c r="H45" s="23">
        <f>ROUND(H36/H$38,4)</f>
        <v>1.9E-3</v>
      </c>
      <c r="I45" s="23">
        <f>ROUND(I36/I$38,4)</f>
        <v>1.9E-3</v>
      </c>
    </row>
    <row r="46" spans="1:9" x14ac:dyDescent="0.2">
      <c r="A46" s="1">
        <f t="shared" si="5"/>
        <v>46</v>
      </c>
    </row>
    <row r="47" spans="1:9" x14ac:dyDescent="0.2">
      <c r="A47" s="1">
        <f>A46+1</f>
        <v>47</v>
      </c>
      <c r="B47" t="s">
        <v>32</v>
      </c>
      <c r="E47" s="23"/>
      <c r="F47" s="23">
        <v>0.72</v>
      </c>
      <c r="G47" s="23">
        <f t="shared" ref="G47:I47" si="8">F47</f>
        <v>0.72</v>
      </c>
      <c r="H47" s="23">
        <f t="shared" si="8"/>
        <v>0.72</v>
      </c>
      <c r="I47" s="23">
        <f t="shared" si="8"/>
        <v>0.72</v>
      </c>
    </row>
    <row r="48" spans="1:9" x14ac:dyDescent="0.2">
      <c r="A48" s="1">
        <f t="shared" si="5"/>
        <v>48</v>
      </c>
    </row>
    <row r="49" spans="1:16" x14ac:dyDescent="0.2">
      <c r="A49" s="1">
        <f t="shared" si="5"/>
        <v>49</v>
      </c>
      <c r="B49" t="s">
        <v>33</v>
      </c>
    </row>
    <row r="50" spans="1:16" x14ac:dyDescent="0.2">
      <c r="A50" s="1">
        <f t="shared" si="5"/>
        <v>50</v>
      </c>
      <c r="B50" t="s">
        <v>30</v>
      </c>
      <c r="E50" s="23"/>
      <c r="F50" s="23">
        <f>ROUND(F41*F$47,4)</f>
        <v>1.6000000000000001E-3</v>
      </c>
      <c r="G50" s="23">
        <f t="shared" ref="G50:I50" si="9">ROUND(G41*G$47,4)</f>
        <v>1.6999999999999999E-3</v>
      </c>
      <c r="H50" s="23">
        <f t="shared" si="9"/>
        <v>1.4E-3</v>
      </c>
      <c r="I50" s="23">
        <f t="shared" si="9"/>
        <v>1.4E-3</v>
      </c>
    </row>
    <row r="51" spans="1:16" x14ac:dyDescent="0.2">
      <c r="A51" s="1">
        <f t="shared" si="5"/>
        <v>51</v>
      </c>
      <c r="E51" s="23"/>
      <c r="F51" s="23"/>
      <c r="G51" s="23"/>
      <c r="H51" s="23"/>
      <c r="I51" s="23"/>
    </row>
    <row r="52" spans="1:16" x14ac:dyDescent="0.2">
      <c r="A52" s="1">
        <f t="shared" si="5"/>
        <v>52</v>
      </c>
      <c r="E52" s="23"/>
      <c r="F52" s="20"/>
      <c r="G52" s="20"/>
      <c r="H52" s="20"/>
      <c r="I52" s="20"/>
    </row>
    <row r="53" spans="1:16" x14ac:dyDescent="0.2">
      <c r="A53" s="1">
        <f t="shared" si="5"/>
        <v>53</v>
      </c>
      <c r="E53" s="23"/>
      <c r="F53" s="23"/>
      <c r="G53" s="23"/>
      <c r="H53" s="23"/>
      <c r="I53" s="23"/>
    </row>
    <row r="54" spans="1:16" x14ac:dyDescent="0.2">
      <c r="A54" s="1">
        <f t="shared" si="5"/>
        <v>54</v>
      </c>
      <c r="B54" t="s">
        <v>34</v>
      </c>
      <c r="E54" s="23"/>
      <c r="F54" s="23">
        <f>ROUND(F45*F$47,4)</f>
        <v>1.6000000000000001E-3</v>
      </c>
      <c r="G54" s="23">
        <f>ROUND(G45*G$47,4)</f>
        <v>1.6999999999999999E-3</v>
      </c>
      <c r="H54" s="23">
        <f>ROUND(H45*H$47,4)</f>
        <v>1.4E-3</v>
      </c>
      <c r="I54" s="23">
        <f>ROUND(I45*I$47,4)</f>
        <v>1.4E-3</v>
      </c>
    </row>
    <row r="55" spans="1:16" x14ac:dyDescent="0.2">
      <c r="A55" s="1">
        <f t="shared" si="5"/>
        <v>55</v>
      </c>
      <c r="E55" s="23"/>
      <c r="F55" s="23"/>
      <c r="G55" s="23"/>
      <c r="H55" s="23"/>
      <c r="I55" s="23"/>
    </row>
    <row r="56" spans="1:16" x14ac:dyDescent="0.2">
      <c r="A56" s="1">
        <f t="shared" si="5"/>
        <v>56</v>
      </c>
      <c r="B56" s="26" t="s">
        <v>35</v>
      </c>
      <c r="E56" s="23"/>
      <c r="F56" s="23"/>
      <c r="G56" s="23"/>
      <c r="H56" s="23"/>
      <c r="I56" s="23"/>
    </row>
    <row r="57" spans="1:16" x14ac:dyDescent="0.2">
      <c r="A57" s="1">
        <f t="shared" si="5"/>
        <v>57</v>
      </c>
    </row>
    <row r="58" spans="1:16" x14ac:dyDescent="0.2">
      <c r="A58" s="1">
        <f t="shared" si="5"/>
        <v>58</v>
      </c>
      <c r="B58" t="s">
        <v>36</v>
      </c>
    </row>
    <row r="59" spans="1:16" x14ac:dyDescent="0.2">
      <c r="A59" s="1">
        <f t="shared" si="5"/>
        <v>59</v>
      </c>
      <c r="B59" t="s">
        <v>37</v>
      </c>
    </row>
    <row r="60" spans="1:16" x14ac:dyDescent="0.2">
      <c r="A60" s="1">
        <f t="shared" si="5"/>
        <v>60</v>
      </c>
      <c r="B60" t="s">
        <v>30</v>
      </c>
      <c r="E60" s="10"/>
      <c r="F60" s="10">
        <f t="shared" ref="F60:I60" si="10">F32</f>
        <v>2378641</v>
      </c>
      <c r="G60" s="10">
        <f t="shared" si="10"/>
        <v>2511415</v>
      </c>
      <c r="H60" s="10">
        <f t="shared" si="10"/>
        <v>2075922</v>
      </c>
      <c r="I60" s="10">
        <f t="shared" si="10"/>
        <v>2073585</v>
      </c>
      <c r="K60" s="41"/>
      <c r="P60" s="10"/>
    </row>
    <row r="61" spans="1:16" x14ac:dyDescent="0.2">
      <c r="A61" s="1">
        <f t="shared" si="5"/>
        <v>61</v>
      </c>
      <c r="E61" s="10"/>
      <c r="F61" s="10"/>
      <c r="G61" s="10"/>
      <c r="H61" s="10"/>
      <c r="I61" s="10"/>
    </row>
    <row r="62" spans="1:16" x14ac:dyDescent="0.2">
      <c r="A62" s="1">
        <f t="shared" si="5"/>
        <v>62</v>
      </c>
      <c r="E62" s="10"/>
      <c r="F62" s="15"/>
      <c r="G62" s="15"/>
      <c r="H62" s="15"/>
      <c r="I62" s="15"/>
    </row>
    <row r="63" spans="1:16" x14ac:dyDescent="0.2">
      <c r="A63" s="1">
        <f t="shared" si="5"/>
        <v>63</v>
      </c>
      <c r="B63" t="s">
        <v>38</v>
      </c>
    </row>
    <row r="64" spans="1:16" x14ac:dyDescent="0.2">
      <c r="A64" s="1">
        <f t="shared" si="5"/>
        <v>64</v>
      </c>
      <c r="B64" t="s">
        <v>39</v>
      </c>
      <c r="E64" s="10"/>
      <c r="F64" s="10">
        <f t="shared" ref="F64:I64" si="11">SUM(F60:F62)</f>
        <v>2378641</v>
      </c>
      <c r="G64" s="10">
        <f t="shared" si="11"/>
        <v>2511415</v>
      </c>
      <c r="H64" s="10">
        <f t="shared" si="11"/>
        <v>2075922</v>
      </c>
      <c r="I64" s="10">
        <f t="shared" si="11"/>
        <v>2073585</v>
      </c>
      <c r="P64" s="10"/>
    </row>
    <row r="65" spans="1:16" x14ac:dyDescent="0.2">
      <c r="A65" s="1">
        <f t="shared" si="5"/>
        <v>65</v>
      </c>
    </row>
    <row r="66" spans="1:16" x14ac:dyDescent="0.2">
      <c r="A66" s="1">
        <f t="shared" si="5"/>
        <v>66</v>
      </c>
      <c r="B66" t="s">
        <v>40</v>
      </c>
      <c r="E66" s="21"/>
      <c r="F66" s="21">
        <f>$F$12</f>
        <v>0.75983999999999996</v>
      </c>
      <c r="G66" s="21">
        <f>$F$12</f>
        <v>0.75983999999999996</v>
      </c>
      <c r="H66" s="21">
        <f>$F$12</f>
        <v>0.75983999999999996</v>
      </c>
      <c r="I66" s="21">
        <f>$F$12</f>
        <v>0.75983999999999996</v>
      </c>
    </row>
    <row r="67" spans="1:16" x14ac:dyDescent="0.2">
      <c r="A67" s="1">
        <f t="shared" si="5"/>
        <v>67</v>
      </c>
    </row>
    <row r="68" spans="1:16" x14ac:dyDescent="0.2">
      <c r="A68" s="1">
        <f t="shared" si="5"/>
        <v>68</v>
      </c>
      <c r="B68" t="s">
        <v>41</v>
      </c>
    </row>
    <row r="69" spans="1:16" x14ac:dyDescent="0.2">
      <c r="A69" s="1">
        <f t="shared" si="5"/>
        <v>69</v>
      </c>
      <c r="B69" t="s">
        <v>42</v>
      </c>
    </row>
    <row r="70" spans="1:16" x14ac:dyDescent="0.2">
      <c r="A70" s="1">
        <f t="shared" si="5"/>
        <v>70</v>
      </c>
      <c r="B70" t="s">
        <v>30</v>
      </c>
      <c r="E70" s="10"/>
      <c r="F70" s="10">
        <f>ROUND(F60*F$66,0)</f>
        <v>1807387</v>
      </c>
      <c r="G70" s="10">
        <f t="shared" ref="G70:I70" si="12">ROUND(G60*G$66,0)</f>
        <v>1908274</v>
      </c>
      <c r="H70" s="10">
        <f t="shared" si="12"/>
        <v>1577369</v>
      </c>
      <c r="I70" s="10">
        <f t="shared" si="12"/>
        <v>1575593</v>
      </c>
    </row>
    <row r="71" spans="1:16" x14ac:dyDescent="0.2">
      <c r="A71" s="1">
        <f t="shared" si="5"/>
        <v>71</v>
      </c>
      <c r="E71" s="10"/>
      <c r="F71" s="10"/>
      <c r="G71" s="10"/>
      <c r="H71" s="10"/>
      <c r="I71" s="10"/>
    </row>
    <row r="72" spans="1:16" x14ac:dyDescent="0.2">
      <c r="A72" s="1">
        <f t="shared" si="5"/>
        <v>72</v>
      </c>
      <c r="E72" s="10"/>
      <c r="F72" s="15"/>
      <c r="G72" s="15"/>
      <c r="H72" s="15"/>
      <c r="I72" s="15"/>
      <c r="P72" s="10"/>
    </row>
    <row r="73" spans="1:16" x14ac:dyDescent="0.2">
      <c r="A73" s="1">
        <f t="shared" si="5"/>
        <v>73</v>
      </c>
      <c r="B73" t="s">
        <v>43</v>
      </c>
      <c r="E73" s="10"/>
      <c r="F73" s="10"/>
      <c r="G73" s="10"/>
      <c r="H73" s="10"/>
      <c r="I73" s="10"/>
    </row>
    <row r="74" spans="1:16" x14ac:dyDescent="0.2">
      <c r="A74" s="1">
        <f t="shared" si="5"/>
        <v>74</v>
      </c>
      <c r="B74" t="s">
        <v>44</v>
      </c>
      <c r="E74" s="10"/>
      <c r="F74" s="10">
        <f>ROUND(F64*F$66,0)</f>
        <v>1807387</v>
      </c>
      <c r="G74" s="10">
        <f>ROUND(G64*G$66,0)</f>
        <v>1908274</v>
      </c>
      <c r="H74" s="10">
        <f>ROUND(H64*H$66,0)</f>
        <v>1577369</v>
      </c>
      <c r="I74" s="10">
        <f>ROUND(I64*I$66,0)</f>
        <v>1575593</v>
      </c>
    </row>
    <row r="75" spans="1:16" x14ac:dyDescent="0.2">
      <c r="A75" s="1">
        <f t="shared" si="5"/>
        <v>75</v>
      </c>
    </row>
    <row r="76" spans="1:16" x14ac:dyDescent="0.2">
      <c r="A76" s="1">
        <f t="shared" si="5"/>
        <v>76</v>
      </c>
      <c r="B76" t="s">
        <v>200</v>
      </c>
      <c r="E76" s="1"/>
      <c r="F76" s="1">
        <v>10095267378</v>
      </c>
      <c r="G76" s="1">
        <f t="shared" ref="G76:I76" si="13">F76</f>
        <v>10095267378</v>
      </c>
      <c r="H76" s="1">
        <f t="shared" si="13"/>
        <v>10095267378</v>
      </c>
      <c r="I76" s="1">
        <f t="shared" si="13"/>
        <v>10095267378</v>
      </c>
    </row>
    <row r="77" spans="1:16" x14ac:dyDescent="0.2">
      <c r="A77" s="1">
        <f t="shared" si="5"/>
        <v>77</v>
      </c>
      <c r="P77" s="10"/>
    </row>
    <row r="78" spans="1:16" x14ac:dyDescent="0.2">
      <c r="A78" s="1">
        <f t="shared" si="5"/>
        <v>78</v>
      </c>
      <c r="B78" t="s">
        <v>45</v>
      </c>
    </row>
    <row r="79" spans="1:16" x14ac:dyDescent="0.2">
      <c r="A79" s="1">
        <f t="shared" si="5"/>
        <v>79</v>
      </c>
      <c r="B79" t="s">
        <v>30</v>
      </c>
      <c r="E79" s="14"/>
      <c r="F79" s="14">
        <f>ROUND(F70/F$76,5)</f>
        <v>1.8000000000000001E-4</v>
      </c>
      <c r="G79" s="14">
        <f t="shared" ref="G79:I79" si="14">ROUND(G70/G$76,5)</f>
        <v>1.9000000000000001E-4</v>
      </c>
      <c r="H79" s="14">
        <f t="shared" si="14"/>
        <v>1.6000000000000001E-4</v>
      </c>
      <c r="I79" s="14">
        <f t="shared" si="14"/>
        <v>1.6000000000000001E-4</v>
      </c>
    </row>
    <row r="80" spans="1:16" x14ac:dyDescent="0.2">
      <c r="A80" s="1">
        <f t="shared" si="5"/>
        <v>80</v>
      </c>
      <c r="E80" s="14"/>
      <c r="F80" s="14"/>
      <c r="G80" s="14"/>
      <c r="H80" s="14"/>
      <c r="I80" s="14"/>
    </row>
    <row r="81" spans="1:16" x14ac:dyDescent="0.2">
      <c r="A81" s="1">
        <f t="shared" si="5"/>
        <v>81</v>
      </c>
      <c r="E81" s="14"/>
      <c r="F81" s="31"/>
      <c r="G81" s="31"/>
      <c r="H81" s="31"/>
      <c r="I81" s="31"/>
    </row>
    <row r="82" spans="1:16" x14ac:dyDescent="0.2">
      <c r="A82" s="1">
        <f t="shared" si="5"/>
        <v>82</v>
      </c>
      <c r="E82" s="14"/>
      <c r="F82" s="14"/>
      <c r="G82" s="14"/>
      <c r="H82" s="14"/>
      <c r="I82" s="14"/>
    </row>
    <row r="83" spans="1:16" x14ac:dyDescent="0.2">
      <c r="A83" s="1">
        <f t="shared" si="5"/>
        <v>83</v>
      </c>
      <c r="B83" t="s">
        <v>46</v>
      </c>
      <c r="E83" s="14"/>
      <c r="F83" s="14">
        <f>ROUND(F74/F$76,5)</f>
        <v>1.8000000000000001E-4</v>
      </c>
      <c r="G83" s="14">
        <f>ROUND(G74/G$76,5)</f>
        <v>1.9000000000000001E-4</v>
      </c>
      <c r="H83" s="14">
        <f>ROUND(H74/H$76,5)</f>
        <v>1.6000000000000001E-4</v>
      </c>
      <c r="I83" s="14">
        <f>ROUND(I74/I$76,5)</f>
        <v>1.6000000000000001E-4</v>
      </c>
    </row>
    <row r="84" spans="1:16" x14ac:dyDescent="0.2">
      <c r="A84" s="1">
        <f t="shared" si="5"/>
        <v>84</v>
      </c>
    </row>
    <row r="85" spans="1:16" x14ac:dyDescent="0.2">
      <c r="A85" s="1">
        <f t="shared" si="5"/>
        <v>85</v>
      </c>
      <c r="B85" t="s">
        <v>47</v>
      </c>
      <c r="E85" s="1"/>
      <c r="F85" s="1">
        <v>1125</v>
      </c>
      <c r="G85" s="1">
        <f t="shared" ref="G85:I85" si="15">F85</f>
        <v>1125</v>
      </c>
      <c r="H85" s="1">
        <f t="shared" si="15"/>
        <v>1125</v>
      </c>
      <c r="I85" s="1">
        <f t="shared" si="15"/>
        <v>1125</v>
      </c>
      <c r="P85" s="10"/>
    </row>
    <row r="86" spans="1:16" x14ac:dyDescent="0.2">
      <c r="A86" s="1">
        <f t="shared" si="5"/>
        <v>86</v>
      </c>
    </row>
    <row r="87" spans="1:16" x14ac:dyDescent="0.2">
      <c r="A87" s="1">
        <f t="shared" si="5"/>
        <v>87</v>
      </c>
      <c r="B87" t="s">
        <v>48</v>
      </c>
    </row>
    <row r="88" spans="1:16" x14ac:dyDescent="0.2">
      <c r="A88" s="1">
        <f t="shared" si="5"/>
        <v>88</v>
      </c>
      <c r="B88" t="s">
        <v>30</v>
      </c>
      <c r="E88" s="24"/>
      <c r="F88" s="24">
        <f t="shared" ref="F88:I88" si="16">ROUND(F79*F$85,3)</f>
        <v>0.20300000000000001</v>
      </c>
      <c r="G88" s="24">
        <f t="shared" si="16"/>
        <v>0.214</v>
      </c>
      <c r="H88" s="24">
        <f t="shared" si="16"/>
        <v>0.18</v>
      </c>
      <c r="I88" s="24">
        <f t="shared" si="16"/>
        <v>0.18</v>
      </c>
    </row>
    <row r="89" spans="1:16" x14ac:dyDescent="0.2">
      <c r="A89" s="1">
        <f t="shared" si="5"/>
        <v>89</v>
      </c>
      <c r="E89" s="24"/>
      <c r="F89" s="24"/>
      <c r="G89" s="24"/>
      <c r="H89" s="24"/>
      <c r="I89" s="24"/>
    </row>
    <row r="90" spans="1:16" x14ac:dyDescent="0.2">
      <c r="A90" s="1">
        <f t="shared" si="5"/>
        <v>90</v>
      </c>
      <c r="E90" s="24"/>
      <c r="F90" s="32"/>
      <c r="G90" s="32"/>
      <c r="H90" s="32"/>
      <c r="I90" s="32"/>
      <c r="P90" s="10"/>
    </row>
    <row r="91" spans="1:16" x14ac:dyDescent="0.2">
      <c r="A91" s="1">
        <f t="shared" si="5"/>
        <v>91</v>
      </c>
      <c r="E91" s="24"/>
      <c r="F91" s="24"/>
      <c r="G91" s="24"/>
      <c r="H91" s="24"/>
      <c r="I91" s="24"/>
    </row>
    <row r="92" spans="1:16" x14ac:dyDescent="0.2">
      <c r="A92" s="1">
        <f t="shared" si="5"/>
        <v>92</v>
      </c>
      <c r="B92" t="s">
        <v>49</v>
      </c>
      <c r="E92" s="24"/>
      <c r="F92" s="24">
        <f>ROUND(F83*F$85,3)</f>
        <v>0.20300000000000001</v>
      </c>
      <c r="G92" s="24">
        <f>ROUND(G83*G$85,3)</f>
        <v>0.214</v>
      </c>
      <c r="H92" s="24">
        <f>ROUND(H83*H$85,3)</f>
        <v>0.18</v>
      </c>
      <c r="I92" s="24">
        <f>ROUND(I83*I$85,3)</f>
        <v>0.18</v>
      </c>
    </row>
    <row r="93" spans="1:16" x14ac:dyDescent="0.2">
      <c r="A93" s="1">
        <f t="shared" si="5"/>
        <v>93</v>
      </c>
    </row>
    <row r="94" spans="1:16" x14ac:dyDescent="0.2">
      <c r="A94" s="1">
        <f t="shared" si="5"/>
        <v>94</v>
      </c>
      <c r="B94" t="s">
        <v>50</v>
      </c>
      <c r="E94" s="23"/>
      <c r="F94" s="23">
        <f>F47</f>
        <v>0.72</v>
      </c>
      <c r="G94" s="23">
        <f>G47</f>
        <v>0.72</v>
      </c>
      <c r="H94" s="23">
        <f>H47</f>
        <v>0.72</v>
      </c>
      <c r="I94" s="23">
        <f>I47</f>
        <v>0.72</v>
      </c>
    </row>
    <row r="95" spans="1:16" x14ac:dyDescent="0.2">
      <c r="A95" s="1">
        <f t="shared" si="5"/>
        <v>95</v>
      </c>
    </row>
    <row r="96" spans="1:16" x14ac:dyDescent="0.2">
      <c r="A96" s="1">
        <f t="shared" si="5"/>
        <v>96</v>
      </c>
      <c r="B96" t="s">
        <v>51</v>
      </c>
    </row>
    <row r="97" spans="1:11" x14ac:dyDescent="0.2">
      <c r="A97" s="1">
        <f t="shared" si="5"/>
        <v>97</v>
      </c>
      <c r="B97" t="s">
        <v>30</v>
      </c>
      <c r="E97" s="25"/>
      <c r="F97" s="25">
        <f t="shared" ref="F97:I97" si="17">ROUND(F88*F$94,2)</f>
        <v>0.15</v>
      </c>
      <c r="G97" s="25">
        <f t="shared" si="17"/>
        <v>0.15</v>
      </c>
      <c r="H97" s="25">
        <f t="shared" si="17"/>
        <v>0.13</v>
      </c>
      <c r="I97" s="25">
        <f t="shared" si="17"/>
        <v>0.13</v>
      </c>
    </row>
    <row r="98" spans="1:11" x14ac:dyDescent="0.2">
      <c r="A98" s="1">
        <f t="shared" si="5"/>
        <v>98</v>
      </c>
      <c r="E98" s="25"/>
      <c r="F98" s="25"/>
      <c r="G98" s="25"/>
      <c r="H98" s="25"/>
      <c r="I98" s="25"/>
    </row>
    <row r="99" spans="1:11" x14ac:dyDescent="0.2">
      <c r="A99" s="1">
        <f t="shared" si="5"/>
        <v>99</v>
      </c>
      <c r="E99" s="25"/>
      <c r="F99" s="33"/>
      <c r="G99" s="33"/>
      <c r="H99" s="33"/>
      <c r="I99" s="33"/>
    </row>
    <row r="100" spans="1:11" x14ac:dyDescent="0.2">
      <c r="A100" s="1">
        <f t="shared" si="5"/>
        <v>100</v>
      </c>
      <c r="E100" s="25"/>
      <c r="F100" s="25"/>
      <c r="G100" s="25"/>
      <c r="H100" s="25"/>
      <c r="I100" s="25"/>
    </row>
    <row r="101" spans="1:11" x14ac:dyDescent="0.2">
      <c r="A101" s="1">
        <f t="shared" si="5"/>
        <v>101</v>
      </c>
      <c r="B101" t="s">
        <v>52</v>
      </c>
      <c r="E101" s="25"/>
      <c r="F101" s="25">
        <f>ROUND(F92*F$94,2)</f>
        <v>0.15</v>
      </c>
      <c r="G101" s="25">
        <f>ROUND(G92*G$94,2)</f>
        <v>0.15</v>
      </c>
      <c r="H101" s="25">
        <f>ROUND(H92*H$94,2)</f>
        <v>0.13</v>
      </c>
      <c r="I101" s="25">
        <f>ROUND(I92*I$94,2)</f>
        <v>0.13</v>
      </c>
      <c r="K101" s="36"/>
    </row>
    <row r="102" spans="1:11" x14ac:dyDescent="0.2">
      <c r="A102" s="1">
        <f t="shared" ref="A102:A104" si="18">A101+1</f>
        <v>102</v>
      </c>
    </row>
    <row r="103" spans="1:11" x14ac:dyDescent="0.2">
      <c r="A103" s="1">
        <f t="shared" si="18"/>
        <v>103</v>
      </c>
      <c r="B103" s="26" t="s">
        <v>53</v>
      </c>
    </row>
    <row r="104" spans="1:11" x14ac:dyDescent="0.2">
      <c r="A104" s="1">
        <f t="shared" si="18"/>
        <v>104</v>
      </c>
      <c r="B104" t="s">
        <v>54</v>
      </c>
    </row>
  </sheetData>
  <mergeCells count="3">
    <mergeCell ref="F29:I29"/>
    <mergeCell ref="C3:H3"/>
    <mergeCell ref="C4:H4"/>
  </mergeCells>
  <pageMargins left="0.7" right="0.7" top="0.75" bottom="0.75" header="0.3" footer="0.3"/>
  <pageSetup orientation="portrait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919FB-EE8A-449F-9D95-5F3CCAF66B75}">
  <dimension ref="A1:O135"/>
  <sheetViews>
    <sheetView zoomScale="80" zoomScaleNormal="80" workbookViewId="0">
      <selection activeCell="M56" sqref="M56"/>
    </sheetView>
  </sheetViews>
  <sheetFormatPr defaultColWidth="15.625" defaultRowHeight="14.25" x14ac:dyDescent="0.2"/>
  <cols>
    <col min="1" max="1" width="4.625" customWidth="1"/>
    <col min="3" max="3" width="76.375" bestFit="1" customWidth="1"/>
  </cols>
  <sheetData>
    <row r="1" spans="1:15" ht="15" x14ac:dyDescent="0.25">
      <c r="A1" s="1">
        <v>1</v>
      </c>
      <c r="O1" s="34" t="s">
        <v>176</v>
      </c>
    </row>
    <row r="2" spans="1:15" ht="15" x14ac:dyDescent="0.25">
      <c r="A2" s="1">
        <f>A1+1</f>
        <v>2</v>
      </c>
      <c r="O2" s="34" t="s">
        <v>55</v>
      </c>
    </row>
    <row r="3" spans="1:15" ht="15" x14ac:dyDescent="0.25">
      <c r="A3" s="1">
        <f t="shared" ref="A3:A66" si="0">A2+1</f>
        <v>3</v>
      </c>
      <c r="C3" s="45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15" x14ac:dyDescent="0.25">
      <c r="A4" s="1">
        <f t="shared" si="0"/>
        <v>4</v>
      </c>
      <c r="C4" s="45" t="s">
        <v>179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x14ac:dyDescent="0.2">
      <c r="A5" s="1">
        <f t="shared" si="0"/>
        <v>5</v>
      </c>
    </row>
    <row r="6" spans="1:15" x14ac:dyDescent="0.2">
      <c r="A6" s="1">
        <f t="shared" si="0"/>
        <v>6</v>
      </c>
    </row>
    <row r="7" spans="1:15" x14ac:dyDescent="0.2">
      <c r="A7" s="1">
        <f t="shared" si="0"/>
        <v>7</v>
      </c>
      <c r="B7" s="26" t="s">
        <v>56</v>
      </c>
    </row>
    <row r="8" spans="1:15" x14ac:dyDescent="0.2">
      <c r="A8" s="1">
        <f t="shared" si="0"/>
        <v>8</v>
      </c>
      <c r="I8" s="14"/>
    </row>
    <row r="9" spans="1:15" x14ac:dyDescent="0.2">
      <c r="A9" s="1">
        <f t="shared" si="0"/>
        <v>9</v>
      </c>
      <c r="B9" s="4" t="s">
        <v>57</v>
      </c>
    </row>
    <row r="10" spans="1:15" x14ac:dyDescent="0.2">
      <c r="A10" s="1">
        <f t="shared" si="0"/>
        <v>10</v>
      </c>
      <c r="D10" s="42" t="s">
        <v>58</v>
      </c>
      <c r="E10" s="43"/>
      <c r="F10" s="43"/>
      <c r="G10" s="44"/>
      <c r="H10" s="42" t="s">
        <v>59</v>
      </c>
      <c r="I10" s="43"/>
      <c r="J10" s="43"/>
      <c r="K10" s="44"/>
      <c r="L10" s="42" t="s">
        <v>60</v>
      </c>
      <c r="M10" s="43"/>
      <c r="N10" s="43"/>
      <c r="O10" s="44"/>
    </row>
    <row r="11" spans="1:15" x14ac:dyDescent="0.2">
      <c r="A11" s="1">
        <f t="shared" si="0"/>
        <v>11</v>
      </c>
      <c r="B11" s="3" t="s">
        <v>61</v>
      </c>
      <c r="C11" s="3"/>
      <c r="D11" s="3" t="s">
        <v>62</v>
      </c>
      <c r="E11" s="3" t="s">
        <v>63</v>
      </c>
      <c r="F11" s="3" t="s">
        <v>64</v>
      </c>
      <c r="G11" s="3"/>
      <c r="H11" s="6" t="s">
        <v>65</v>
      </c>
      <c r="I11" s="3" t="s">
        <v>65</v>
      </c>
      <c r="J11" s="46" t="s">
        <v>66</v>
      </c>
      <c r="K11" s="47"/>
      <c r="L11" s="3" t="s">
        <v>62</v>
      </c>
      <c r="M11" s="3" t="s">
        <v>63</v>
      </c>
      <c r="N11" s="3" t="s">
        <v>64</v>
      </c>
      <c r="O11" s="3"/>
    </row>
    <row r="12" spans="1:15" ht="15" thickBot="1" x14ac:dyDescent="0.25">
      <c r="A12" s="1">
        <f t="shared" si="0"/>
        <v>12</v>
      </c>
      <c r="B12" s="5" t="s">
        <v>67</v>
      </c>
      <c r="C12" s="5" t="s">
        <v>68</v>
      </c>
      <c r="D12" s="5" t="s">
        <v>69</v>
      </c>
      <c r="E12" s="5" t="s">
        <v>70</v>
      </c>
      <c r="F12" s="5" t="s">
        <v>69</v>
      </c>
      <c r="G12" s="5" t="s">
        <v>71</v>
      </c>
      <c r="H12" s="7" t="s">
        <v>72</v>
      </c>
      <c r="I12" s="5" t="s">
        <v>73</v>
      </c>
      <c r="J12" s="9" t="s">
        <v>74</v>
      </c>
      <c r="K12" s="8" t="s">
        <v>75</v>
      </c>
      <c r="L12" s="5" t="s">
        <v>69</v>
      </c>
      <c r="M12" s="5" t="s">
        <v>70</v>
      </c>
      <c r="N12" s="5" t="s">
        <v>69</v>
      </c>
      <c r="O12" s="5" t="s">
        <v>71</v>
      </c>
    </row>
    <row r="13" spans="1:15" x14ac:dyDescent="0.2">
      <c r="A13" s="1">
        <f t="shared" si="0"/>
        <v>13</v>
      </c>
    </row>
    <row r="14" spans="1:15" x14ac:dyDescent="0.2">
      <c r="A14" s="1">
        <f t="shared" si="0"/>
        <v>14</v>
      </c>
      <c r="B14" s="3" t="s">
        <v>76</v>
      </c>
      <c r="C14" s="40" t="s">
        <v>77</v>
      </c>
      <c r="D14" s="10">
        <v>3395065.88</v>
      </c>
      <c r="E14" s="10">
        <v>19291.12</v>
      </c>
      <c r="F14" s="10">
        <f>D14-E14</f>
        <v>3375774.76</v>
      </c>
      <c r="G14" s="10">
        <v>60320.43</v>
      </c>
      <c r="H14" s="10">
        <f>ROUND(F14*$J$59,0)</f>
        <v>5064</v>
      </c>
      <c r="I14" s="10">
        <f>ROUND(F14*$J$63,0)</f>
        <v>5739</v>
      </c>
      <c r="J14" s="10">
        <f>115746.7/12</f>
        <v>9645.5583333333325</v>
      </c>
      <c r="K14" s="10">
        <f>ROUND(J14*12,0)</f>
        <v>115747</v>
      </c>
      <c r="L14" s="10">
        <v>3395065.88</v>
      </c>
      <c r="M14" s="10">
        <f>E14+K14</f>
        <v>135038.12</v>
      </c>
      <c r="N14" s="10">
        <f>L14-M14</f>
        <v>3260027.76</v>
      </c>
      <c r="O14" s="10">
        <v>0</v>
      </c>
    </row>
    <row r="15" spans="1:15" x14ac:dyDescent="0.2">
      <c r="A15" s="1">
        <f t="shared" si="0"/>
        <v>15</v>
      </c>
      <c r="J15" s="10"/>
      <c r="K15" s="10"/>
    </row>
    <row r="16" spans="1:15" x14ac:dyDescent="0.2">
      <c r="A16" s="1">
        <f t="shared" si="0"/>
        <v>16</v>
      </c>
      <c r="B16" s="3">
        <v>42</v>
      </c>
      <c r="C16" t="s">
        <v>78</v>
      </c>
      <c r="D16" s="10">
        <v>0</v>
      </c>
      <c r="E16" s="10">
        <v>0</v>
      </c>
      <c r="F16" s="10">
        <f>D16-E16</f>
        <v>0</v>
      </c>
      <c r="G16" s="10">
        <v>0</v>
      </c>
      <c r="H16" s="10">
        <f>ROUND(F16*$J$59,0)</f>
        <v>0</v>
      </c>
      <c r="I16" s="10">
        <f>ROUND(F16*$J$63,0)</f>
        <v>0</v>
      </c>
      <c r="J16" s="10">
        <f t="shared" ref="J16:J18" si="1">E16/12</f>
        <v>0</v>
      </c>
      <c r="K16" s="10">
        <f t="shared" ref="K16:K46" si="2">ROUND(J16*12,0)</f>
        <v>0</v>
      </c>
      <c r="L16" s="10">
        <v>0</v>
      </c>
      <c r="M16" s="10">
        <f>E16+K16</f>
        <v>0</v>
      </c>
      <c r="N16" s="10">
        <f>L16-M16</f>
        <v>0</v>
      </c>
      <c r="O16" s="10">
        <v>0</v>
      </c>
    </row>
    <row r="17" spans="1:15" x14ac:dyDescent="0.2">
      <c r="A17" s="1">
        <f t="shared" si="0"/>
        <v>17</v>
      </c>
      <c r="J17" s="10"/>
      <c r="K17" s="10"/>
    </row>
    <row r="18" spans="1:15" x14ac:dyDescent="0.2">
      <c r="A18" s="1">
        <f t="shared" si="0"/>
        <v>18</v>
      </c>
      <c r="B18" s="3">
        <v>43</v>
      </c>
      <c r="C18" t="s">
        <v>79</v>
      </c>
      <c r="D18" s="10">
        <v>0</v>
      </c>
      <c r="E18" s="10">
        <v>0</v>
      </c>
      <c r="F18" s="10">
        <f>D18-E18</f>
        <v>0</v>
      </c>
      <c r="G18" s="10">
        <v>0</v>
      </c>
      <c r="H18" s="10">
        <f>ROUND(F18*$J$59,0)</f>
        <v>0</v>
      </c>
      <c r="I18" s="10">
        <f>ROUND(F18*$J$63,0)</f>
        <v>0</v>
      </c>
      <c r="J18" s="10">
        <f t="shared" si="1"/>
        <v>0</v>
      </c>
      <c r="K18" s="10">
        <f t="shared" si="2"/>
        <v>0</v>
      </c>
      <c r="L18" s="10">
        <v>0</v>
      </c>
      <c r="M18" s="10">
        <f>E18+K18</f>
        <v>0</v>
      </c>
      <c r="N18" s="10">
        <f>L18-M18</f>
        <v>0</v>
      </c>
      <c r="O18" s="10">
        <v>0</v>
      </c>
    </row>
    <row r="19" spans="1:15" x14ac:dyDescent="0.2">
      <c r="A19" s="1">
        <f t="shared" si="0"/>
        <v>19</v>
      </c>
      <c r="J19" s="10"/>
      <c r="K19" s="10"/>
    </row>
    <row r="20" spans="1:15" x14ac:dyDescent="0.2">
      <c r="A20" s="1">
        <f t="shared" si="0"/>
        <v>20</v>
      </c>
      <c r="B20" s="3">
        <v>44</v>
      </c>
      <c r="C20" s="40" t="s">
        <v>80</v>
      </c>
      <c r="D20" s="10">
        <v>2164598.61</v>
      </c>
      <c r="E20" s="10">
        <v>122432.39</v>
      </c>
      <c r="F20" s="10">
        <f>D20-E20</f>
        <v>2042166.22</v>
      </c>
      <c r="G20" s="10">
        <v>506270.82</v>
      </c>
      <c r="H20" s="10">
        <f>ROUND(F20*$J$59,0)</f>
        <v>3063</v>
      </c>
      <c r="I20" s="10">
        <f>ROUND(F20*$J$63,0)</f>
        <v>3472</v>
      </c>
      <c r="J20" s="10">
        <f>506270.82/12</f>
        <v>42189.235000000001</v>
      </c>
      <c r="K20" s="10">
        <f t="shared" si="2"/>
        <v>506271</v>
      </c>
      <c r="L20" s="10">
        <v>2164598.61</v>
      </c>
      <c r="M20" s="10">
        <f>E20+K20</f>
        <v>628703.39</v>
      </c>
      <c r="N20" s="10">
        <f>L20-M20</f>
        <v>1535895.2199999997</v>
      </c>
      <c r="O20" s="10">
        <v>0</v>
      </c>
    </row>
    <row r="21" spans="1:15" x14ac:dyDescent="0.2">
      <c r="A21" s="1">
        <f t="shared" si="0"/>
        <v>21</v>
      </c>
      <c r="J21" s="10"/>
      <c r="K21" s="10"/>
    </row>
    <row r="22" spans="1:15" x14ac:dyDescent="0.2">
      <c r="A22" s="1">
        <f t="shared" si="0"/>
        <v>22</v>
      </c>
      <c r="B22" s="3">
        <v>45</v>
      </c>
      <c r="C22" s="40" t="s">
        <v>81</v>
      </c>
      <c r="D22" s="10">
        <v>0</v>
      </c>
      <c r="E22" s="10">
        <v>0</v>
      </c>
      <c r="F22" s="10">
        <f>D22-E22</f>
        <v>0</v>
      </c>
      <c r="G22" s="10">
        <v>450.44</v>
      </c>
      <c r="H22" s="10">
        <f>ROUND(F22*$J$62,0)</f>
        <v>0</v>
      </c>
      <c r="I22" s="10">
        <f>ROUND(F22*$J$63,0)</f>
        <v>0</v>
      </c>
      <c r="J22" s="10">
        <f>122656/12</f>
        <v>10221.333333333334</v>
      </c>
      <c r="K22" s="10">
        <f t="shared" si="2"/>
        <v>122656</v>
      </c>
      <c r="L22" s="10">
        <v>0</v>
      </c>
      <c r="M22" s="10">
        <f>E22+K22</f>
        <v>122656</v>
      </c>
      <c r="N22" s="10">
        <f>L22-M22</f>
        <v>-122656</v>
      </c>
      <c r="O22" s="10">
        <v>0</v>
      </c>
    </row>
    <row r="23" spans="1:15" x14ac:dyDescent="0.2">
      <c r="A23" s="1">
        <f t="shared" si="0"/>
        <v>23</v>
      </c>
      <c r="I23" s="10"/>
      <c r="J23" s="10"/>
      <c r="K23" s="10"/>
    </row>
    <row r="24" spans="1:15" x14ac:dyDescent="0.2">
      <c r="A24" s="1">
        <f t="shared" si="0"/>
        <v>24</v>
      </c>
      <c r="B24" s="3">
        <v>46</v>
      </c>
      <c r="C24" s="40" t="s">
        <v>82</v>
      </c>
      <c r="D24" s="10">
        <v>1261580.1599999999</v>
      </c>
      <c r="E24" s="10">
        <v>34563.839999999997</v>
      </c>
      <c r="F24" s="10">
        <f>D24-E24</f>
        <v>1227016.3199999998</v>
      </c>
      <c r="G24" s="10">
        <v>689572.93</v>
      </c>
      <c r="H24" s="10">
        <f>ROUND(F24*$J$60,0)</f>
        <v>13767</v>
      </c>
      <c r="I24" s="10">
        <f>ROUND(F24*$J$63,0)</f>
        <v>2086</v>
      </c>
      <c r="J24" s="10">
        <f>51845.76/12</f>
        <v>4320.4800000000005</v>
      </c>
      <c r="K24" s="10">
        <f t="shared" si="2"/>
        <v>51846</v>
      </c>
      <c r="L24" s="10">
        <v>1261580.1599999999</v>
      </c>
      <c r="M24" s="10">
        <f>E24+K24</f>
        <v>86409.84</v>
      </c>
      <c r="N24" s="10">
        <f>L24-M24</f>
        <v>1175170.3199999998</v>
      </c>
      <c r="O24" s="10">
        <v>0</v>
      </c>
    </row>
    <row r="25" spans="1:15" x14ac:dyDescent="0.2">
      <c r="A25" s="1">
        <f t="shared" si="0"/>
        <v>25</v>
      </c>
      <c r="J25" s="10"/>
      <c r="K25" s="10"/>
    </row>
    <row r="26" spans="1:15" x14ac:dyDescent="0.2">
      <c r="A26" s="1">
        <f t="shared" si="0"/>
        <v>26</v>
      </c>
      <c r="B26" s="3">
        <v>47</v>
      </c>
      <c r="C26" s="40" t="s">
        <v>83</v>
      </c>
      <c r="D26" s="10">
        <v>1221795.04</v>
      </c>
      <c r="E26" s="10">
        <v>43024.959999999999</v>
      </c>
      <c r="F26" s="10">
        <f>D26-E26</f>
        <v>1178770.08</v>
      </c>
      <c r="G26" s="10">
        <v>734558.54</v>
      </c>
      <c r="H26" s="10">
        <f>ROUND(F26*$J$61,0)</f>
        <v>10176</v>
      </c>
      <c r="I26" s="10">
        <f>ROUND(F26*$J$63,0)</f>
        <v>2004</v>
      </c>
      <c r="J26" s="10">
        <f>39715.35/12</f>
        <v>3309.6124999999997</v>
      </c>
      <c r="K26" s="10">
        <f t="shared" si="2"/>
        <v>39715</v>
      </c>
      <c r="L26" s="10">
        <v>1221795.04</v>
      </c>
      <c r="M26" s="10">
        <f>E26+K26</f>
        <v>82739.959999999992</v>
      </c>
      <c r="N26" s="10">
        <f>L26-M26</f>
        <v>1139055.08</v>
      </c>
      <c r="O26" s="10">
        <v>0</v>
      </c>
    </row>
    <row r="27" spans="1:15" x14ac:dyDescent="0.2">
      <c r="A27" s="1">
        <f t="shared" si="0"/>
        <v>27</v>
      </c>
      <c r="J27" s="10"/>
      <c r="K27" s="10"/>
    </row>
    <row r="28" spans="1:15" x14ac:dyDescent="0.2">
      <c r="A28" s="1">
        <f t="shared" si="0"/>
        <v>28</v>
      </c>
      <c r="B28" s="3">
        <v>48</v>
      </c>
      <c r="C28" s="40" t="s">
        <v>84</v>
      </c>
      <c r="D28" s="10">
        <v>807711.75</v>
      </c>
      <c r="E28" s="10">
        <v>2288.25</v>
      </c>
      <c r="F28" s="10">
        <f>D28-E28</f>
        <v>805423.5</v>
      </c>
      <c r="G28" s="10">
        <v>206.08</v>
      </c>
      <c r="H28" s="10">
        <f>ROUND(F28*$J$59,0)</f>
        <v>1208</v>
      </c>
      <c r="I28" s="10">
        <f>ROUND(F28*$J$63,0)</f>
        <v>1369</v>
      </c>
      <c r="J28" s="10">
        <f>27459/12</f>
        <v>2288.25</v>
      </c>
      <c r="K28" s="10">
        <f t="shared" si="2"/>
        <v>27459</v>
      </c>
      <c r="L28" s="10">
        <v>807711.75</v>
      </c>
      <c r="M28" s="10">
        <f>E28+K28</f>
        <v>29747.25</v>
      </c>
      <c r="N28" s="10">
        <f>L28-M28</f>
        <v>777964.5</v>
      </c>
      <c r="O28" s="10">
        <v>0</v>
      </c>
    </row>
    <row r="29" spans="1:15" x14ac:dyDescent="0.2">
      <c r="A29" s="1">
        <f t="shared" si="0"/>
        <v>29</v>
      </c>
      <c r="J29" s="10"/>
      <c r="K29" s="10"/>
    </row>
    <row r="30" spans="1:15" x14ac:dyDescent="0.2">
      <c r="A30" s="1">
        <f t="shared" si="0"/>
        <v>30</v>
      </c>
      <c r="B30" s="3">
        <v>49</v>
      </c>
      <c r="C30" s="40" t="s">
        <v>85</v>
      </c>
      <c r="D30" s="10">
        <v>1025649.78</v>
      </c>
      <c r="E30" s="10">
        <v>43793.71</v>
      </c>
      <c r="F30" s="10">
        <f>D30-E30</f>
        <v>981856.07000000007</v>
      </c>
      <c r="G30" s="10">
        <v>805544.83</v>
      </c>
      <c r="H30" s="10">
        <f>ROUND(F30*$J$62,0)</f>
        <v>6902</v>
      </c>
      <c r="I30" s="10">
        <f>ROUND(F30*$J$63,0)</f>
        <v>1669</v>
      </c>
      <c r="J30" s="10">
        <f>37537.47/12</f>
        <v>3128.1224999999999</v>
      </c>
      <c r="K30" s="10">
        <f t="shared" si="2"/>
        <v>37537</v>
      </c>
      <c r="L30" s="10">
        <v>1025649.78</v>
      </c>
      <c r="M30" s="10">
        <f>E30+K30</f>
        <v>81330.709999999992</v>
      </c>
      <c r="N30" s="10">
        <f>L30-M30</f>
        <v>944319.07000000007</v>
      </c>
      <c r="O30" s="10">
        <v>0</v>
      </c>
    </row>
    <row r="31" spans="1:15" x14ac:dyDescent="0.2">
      <c r="A31" s="1">
        <f t="shared" si="0"/>
        <v>31</v>
      </c>
      <c r="J31" s="10"/>
      <c r="K31" s="10"/>
    </row>
    <row r="32" spans="1:15" x14ac:dyDescent="0.2">
      <c r="A32" s="1">
        <f t="shared" si="0"/>
        <v>32</v>
      </c>
      <c r="B32" s="3">
        <v>50</v>
      </c>
      <c r="C32" s="40" t="s">
        <v>86</v>
      </c>
      <c r="D32" s="10">
        <v>1093041.3899999999</v>
      </c>
      <c r="E32" s="10">
        <v>35434.129999999997</v>
      </c>
      <c r="F32" s="10">
        <f>D32-E32</f>
        <v>1057607.26</v>
      </c>
      <c r="G32" s="10">
        <v>1044194.17</v>
      </c>
      <c r="H32" s="10">
        <f>ROUND(F32*$J$59,0)</f>
        <v>1586</v>
      </c>
      <c r="I32" s="10">
        <f>ROUND(F32*$J$63,0)</f>
        <v>1798</v>
      </c>
      <c r="J32" s="10">
        <f>35434.13/12</f>
        <v>2952.8441666666663</v>
      </c>
      <c r="K32" s="10">
        <f t="shared" si="2"/>
        <v>35434</v>
      </c>
      <c r="L32" s="10">
        <v>1093041.3899999999</v>
      </c>
      <c r="M32" s="10">
        <f>E32+K32</f>
        <v>70868.13</v>
      </c>
      <c r="N32" s="10">
        <f>L32-M32</f>
        <v>1022173.2599999999</v>
      </c>
      <c r="O32" s="10">
        <v>0</v>
      </c>
    </row>
    <row r="33" spans="1:15" x14ac:dyDescent="0.2">
      <c r="A33" s="1">
        <f t="shared" si="0"/>
        <v>33</v>
      </c>
      <c r="B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2">
      <c r="A34" s="1">
        <f t="shared" si="0"/>
        <v>34</v>
      </c>
      <c r="B34" s="3">
        <v>51</v>
      </c>
      <c r="C34" s="40" t="s">
        <v>87</v>
      </c>
      <c r="D34" s="10">
        <v>622313.36</v>
      </c>
      <c r="E34" s="10">
        <v>71561.64</v>
      </c>
      <c r="F34" s="10">
        <f>D34-E34</f>
        <v>550751.72</v>
      </c>
      <c r="G34" s="10">
        <v>464550.76</v>
      </c>
      <c r="H34" s="10">
        <f>ROUND(F34*$J$59,0)</f>
        <v>826</v>
      </c>
      <c r="I34" s="10">
        <f>ROUND(F34*$J$63,0)</f>
        <v>936</v>
      </c>
      <c r="J34" s="10">
        <f>66056.9/12</f>
        <v>5504.7416666666659</v>
      </c>
      <c r="K34" s="10">
        <f t="shared" si="2"/>
        <v>66057</v>
      </c>
      <c r="L34" s="10">
        <v>622313.36</v>
      </c>
      <c r="M34" s="10">
        <f>E34+K34</f>
        <v>137618.64000000001</v>
      </c>
      <c r="N34" s="10">
        <f>L34-M34</f>
        <v>484694.72</v>
      </c>
      <c r="O34" s="10">
        <v>0</v>
      </c>
    </row>
    <row r="35" spans="1:15" x14ac:dyDescent="0.2">
      <c r="A35" s="1">
        <f t="shared" si="0"/>
        <v>35</v>
      </c>
      <c r="B35" s="3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">
      <c r="A36" s="1">
        <f t="shared" si="0"/>
        <v>36</v>
      </c>
      <c r="B36" s="3">
        <v>52</v>
      </c>
      <c r="C36" s="40" t="s">
        <v>88</v>
      </c>
      <c r="D36" s="10">
        <v>572480.24</v>
      </c>
      <c r="E36" s="10">
        <v>38360.82</v>
      </c>
      <c r="F36" s="10">
        <f>D36-E36</f>
        <v>534119.42000000004</v>
      </c>
      <c r="G36" s="10">
        <v>0</v>
      </c>
      <c r="H36" s="10">
        <f>ROUND(F36*$J$59,0)</f>
        <v>801</v>
      </c>
      <c r="I36" s="10">
        <f>ROUND(F36*$J$63,0)</f>
        <v>908</v>
      </c>
      <c r="J36" s="10">
        <f>19180.41/12</f>
        <v>1598.3675000000001</v>
      </c>
      <c r="K36" s="10">
        <f t="shared" si="2"/>
        <v>19180</v>
      </c>
      <c r="L36" s="10">
        <v>572480.24</v>
      </c>
      <c r="M36" s="10">
        <f>E36+K36</f>
        <v>57540.82</v>
      </c>
      <c r="N36" s="10">
        <f>L36-M36</f>
        <v>514939.42</v>
      </c>
      <c r="O36" s="10">
        <v>0</v>
      </c>
    </row>
    <row r="37" spans="1:15" x14ac:dyDescent="0.2">
      <c r="A37" s="1">
        <f t="shared" si="0"/>
        <v>37</v>
      </c>
      <c r="B37" s="3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1">
        <f t="shared" si="0"/>
        <v>38</v>
      </c>
      <c r="B38" s="3">
        <v>53</v>
      </c>
      <c r="C38" s="40" t="s">
        <v>89</v>
      </c>
      <c r="D38" s="10">
        <v>325765.33</v>
      </c>
      <c r="E38" s="10">
        <v>14234.67</v>
      </c>
      <c r="F38" s="10">
        <f>D38-E38</f>
        <v>311530.66000000003</v>
      </c>
      <c r="G38" s="10">
        <v>238571.74</v>
      </c>
      <c r="H38" s="10">
        <f>ROUND(F38*$J$59,0)</f>
        <v>467</v>
      </c>
      <c r="I38" s="10">
        <f>ROUND(F38*$J$63,0)</f>
        <v>530</v>
      </c>
      <c r="J38" s="10">
        <f>10676/12</f>
        <v>889.66666666666663</v>
      </c>
      <c r="K38" s="10">
        <f t="shared" si="2"/>
        <v>10676</v>
      </c>
      <c r="L38" s="10">
        <v>325765.33</v>
      </c>
      <c r="M38" s="10">
        <f>E38+K38</f>
        <v>24910.67</v>
      </c>
      <c r="N38" s="10">
        <f>L38-M38</f>
        <v>300854.66000000003</v>
      </c>
      <c r="O38" s="10">
        <v>0</v>
      </c>
    </row>
    <row r="39" spans="1:15" x14ac:dyDescent="0.2">
      <c r="A39" s="1">
        <f t="shared" si="0"/>
        <v>39</v>
      </c>
      <c r="B39" s="3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">
      <c r="A40" s="1">
        <f t="shared" si="0"/>
        <v>40</v>
      </c>
      <c r="B40" s="3">
        <v>54</v>
      </c>
      <c r="C40" s="40" t="s">
        <v>90</v>
      </c>
      <c r="D40" s="10">
        <v>262709.5</v>
      </c>
      <c r="E40" s="10">
        <v>47290.5</v>
      </c>
      <c r="F40" s="10">
        <f>D40-E40</f>
        <v>215419</v>
      </c>
      <c r="G40" s="10">
        <v>0</v>
      </c>
      <c r="H40" s="10">
        <f>ROUND(F40*$J$59,0)</f>
        <v>323</v>
      </c>
      <c r="I40" s="10">
        <f>ROUND(F40*$J$63,0)</f>
        <v>366</v>
      </c>
      <c r="J40" s="10">
        <f>10509/12</f>
        <v>875.75</v>
      </c>
      <c r="K40" s="10">
        <f t="shared" si="2"/>
        <v>10509</v>
      </c>
      <c r="L40" s="10">
        <v>262709.5</v>
      </c>
      <c r="M40" s="10">
        <f>E40+K40</f>
        <v>57799.5</v>
      </c>
      <c r="N40" s="10">
        <f>L40-M40</f>
        <v>204910</v>
      </c>
      <c r="O40" s="10">
        <v>0</v>
      </c>
    </row>
    <row r="41" spans="1:15" x14ac:dyDescent="0.2">
      <c r="A41" s="1">
        <f t="shared" si="0"/>
        <v>41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">
      <c r="A42" s="1">
        <f t="shared" si="0"/>
        <v>42</v>
      </c>
      <c r="B42" s="3">
        <v>55</v>
      </c>
      <c r="C42" t="s">
        <v>91</v>
      </c>
      <c r="D42" s="10">
        <v>296860</v>
      </c>
      <c r="E42" s="10">
        <v>3140</v>
      </c>
      <c r="F42" s="10">
        <f>D42-E42</f>
        <v>293720</v>
      </c>
      <c r="G42" s="10">
        <v>66600.44</v>
      </c>
      <c r="H42" s="10">
        <f>ROUND(F42*$J$59,0)</f>
        <v>441</v>
      </c>
      <c r="I42" s="10">
        <f>ROUND(F42*$J$63,0)</f>
        <v>499</v>
      </c>
      <c r="J42" s="10">
        <f>9420/12</f>
        <v>785</v>
      </c>
      <c r="K42" s="10">
        <f t="shared" si="2"/>
        <v>9420</v>
      </c>
      <c r="L42" s="10">
        <v>296860</v>
      </c>
      <c r="M42" s="10">
        <f t="shared" ref="M42" si="3">E42+K42</f>
        <v>12560</v>
      </c>
      <c r="N42" s="10">
        <f>L42-M42</f>
        <v>284300</v>
      </c>
      <c r="O42" s="10">
        <v>0</v>
      </c>
    </row>
    <row r="43" spans="1:15" x14ac:dyDescent="0.2">
      <c r="A43" s="1">
        <f t="shared" si="0"/>
        <v>43</v>
      </c>
      <c r="B43" s="3"/>
      <c r="J43" s="10"/>
      <c r="K43" s="10"/>
    </row>
    <row r="44" spans="1:15" x14ac:dyDescent="0.2">
      <c r="A44" s="1">
        <f t="shared" si="0"/>
        <v>44</v>
      </c>
      <c r="B44" s="3">
        <v>56</v>
      </c>
      <c r="C44" s="40" t="s">
        <v>92</v>
      </c>
      <c r="D44" s="10">
        <v>395533.11</v>
      </c>
      <c r="E44" s="10">
        <v>16888.669999999998</v>
      </c>
      <c r="F44" s="10">
        <f>D44-E44</f>
        <v>378644.44</v>
      </c>
      <c r="G44" s="10">
        <v>229611.21</v>
      </c>
      <c r="H44" s="10">
        <f>ROUND(F44*$J$59,0)</f>
        <v>568</v>
      </c>
      <c r="I44" s="10">
        <f>ROUND(F44*$J$63,0)</f>
        <v>644</v>
      </c>
      <c r="J44" s="10">
        <f>14476/12</f>
        <v>1206.3333333333333</v>
      </c>
      <c r="K44" s="10">
        <f t="shared" si="2"/>
        <v>14476</v>
      </c>
      <c r="L44" s="10">
        <v>395533.11</v>
      </c>
      <c r="M44" s="10">
        <f>E44+K44</f>
        <v>31364.67</v>
      </c>
      <c r="N44" s="10">
        <f>L44-M44</f>
        <v>364168.44</v>
      </c>
      <c r="O44" s="10">
        <v>0</v>
      </c>
    </row>
    <row r="45" spans="1:15" x14ac:dyDescent="0.2">
      <c r="A45" s="1">
        <f t="shared" si="0"/>
        <v>45</v>
      </c>
      <c r="B45" s="3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A46" s="1">
        <f t="shared" si="0"/>
        <v>46</v>
      </c>
      <c r="B46" s="3">
        <v>57</v>
      </c>
      <c r="C46" s="40" t="s">
        <v>93</v>
      </c>
      <c r="D46" s="10">
        <v>29734.68</v>
      </c>
      <c r="E46" s="10">
        <v>2081.3000000000002</v>
      </c>
      <c r="F46" s="10">
        <f>D46-E46</f>
        <v>27653.38</v>
      </c>
      <c r="G46" s="10">
        <v>0</v>
      </c>
      <c r="H46" s="10">
        <f>ROUND(F46*$J$59,0)</f>
        <v>41</v>
      </c>
      <c r="I46" s="10">
        <f>ROUND(F46*$J$63,0)</f>
        <v>47</v>
      </c>
      <c r="J46" s="10">
        <f>999.02/12</f>
        <v>83.251666666666665</v>
      </c>
      <c r="K46" s="10">
        <f t="shared" si="2"/>
        <v>999</v>
      </c>
      <c r="L46" s="10">
        <v>29734.68</v>
      </c>
      <c r="M46" s="10">
        <f>E46+K46</f>
        <v>3080.3</v>
      </c>
      <c r="N46" s="10">
        <f>L46-M46</f>
        <v>26654.38</v>
      </c>
      <c r="O46" s="10">
        <v>0</v>
      </c>
    </row>
    <row r="47" spans="1:15" x14ac:dyDescent="0.2">
      <c r="A47" s="1">
        <f t="shared" si="0"/>
        <v>47</v>
      </c>
    </row>
    <row r="48" spans="1:15" x14ac:dyDescent="0.2">
      <c r="A48" s="1">
        <f t="shared" si="0"/>
        <v>48</v>
      </c>
      <c r="C48" t="s">
        <v>94</v>
      </c>
      <c r="D48" s="38">
        <f>SUM(D14:D46)</f>
        <v>13474838.83</v>
      </c>
      <c r="E48" s="38">
        <f>SUM(E14:E46)</f>
        <v>494386</v>
      </c>
      <c r="F48" s="38">
        <f>SUM(F14:F46)</f>
        <v>12980452.83</v>
      </c>
      <c r="G48" s="38">
        <f t="shared" ref="G48:O48" si="4">SUM(G14:G46)</f>
        <v>4840452.3900000006</v>
      </c>
      <c r="H48" s="38">
        <f t="shared" si="4"/>
        <v>45233</v>
      </c>
      <c r="I48" s="38">
        <f t="shared" si="4"/>
        <v>22067</v>
      </c>
      <c r="J48" s="38">
        <f t="shared" si="4"/>
        <v>88998.546666666662</v>
      </c>
      <c r="K48" s="38">
        <f t="shared" si="4"/>
        <v>1067982</v>
      </c>
      <c r="L48" s="38">
        <f t="shared" si="4"/>
        <v>13474838.83</v>
      </c>
      <c r="M48" s="38">
        <f t="shared" si="4"/>
        <v>1562368</v>
      </c>
      <c r="N48" s="38">
        <f t="shared" si="4"/>
        <v>11912470.83</v>
      </c>
      <c r="O48" s="38">
        <f t="shared" si="4"/>
        <v>0</v>
      </c>
    </row>
    <row r="49" spans="1:15" x14ac:dyDescent="0.2">
      <c r="A49" s="1">
        <f t="shared" si="0"/>
        <v>49</v>
      </c>
    </row>
    <row r="50" spans="1:15" x14ac:dyDescent="0.2">
      <c r="A50" s="1">
        <f t="shared" si="0"/>
        <v>50</v>
      </c>
    </row>
    <row r="51" spans="1:15" x14ac:dyDescent="0.2">
      <c r="A51" s="1">
        <f t="shared" si="0"/>
        <v>51</v>
      </c>
      <c r="B51" s="17" t="s">
        <v>183</v>
      </c>
      <c r="D51" s="10"/>
      <c r="E51" s="10"/>
      <c r="F51" s="10"/>
      <c r="G51" s="10"/>
      <c r="H51" s="27" t="s">
        <v>95</v>
      </c>
      <c r="I51" s="10"/>
      <c r="J51" s="10"/>
      <c r="K51" s="10"/>
      <c r="L51" s="10"/>
      <c r="M51" s="10"/>
    </row>
    <row r="52" spans="1:15" x14ac:dyDescent="0.2">
      <c r="A52" s="1">
        <f t="shared" si="0"/>
        <v>52</v>
      </c>
      <c r="B52" s="3"/>
      <c r="C52" t="s">
        <v>96</v>
      </c>
      <c r="D52" s="10">
        <f>L48</f>
        <v>13474838.83</v>
      </c>
      <c r="E52" s="10"/>
      <c r="F52" s="10"/>
      <c r="G52" s="10"/>
      <c r="H52" s="3">
        <v>58</v>
      </c>
      <c r="I52" t="s">
        <v>174</v>
      </c>
      <c r="J52" s="10"/>
      <c r="K52" s="10"/>
      <c r="L52" s="10"/>
      <c r="M52" s="10">
        <v>1338947</v>
      </c>
    </row>
    <row r="53" spans="1:15" x14ac:dyDescent="0.2">
      <c r="A53" s="1">
        <f t="shared" si="0"/>
        <v>53</v>
      </c>
      <c r="B53" s="3"/>
      <c r="C53" t="s">
        <v>71</v>
      </c>
      <c r="D53" s="15">
        <f>O48</f>
        <v>0</v>
      </c>
      <c r="E53" s="10"/>
      <c r="F53" s="10"/>
      <c r="G53" s="10"/>
      <c r="H53" s="3">
        <v>59</v>
      </c>
      <c r="I53" t="s">
        <v>175</v>
      </c>
      <c r="J53" s="10"/>
      <c r="K53" s="10"/>
      <c r="L53" s="10"/>
      <c r="M53" s="15">
        <v>403348</v>
      </c>
    </row>
    <row r="54" spans="1:15" x14ac:dyDescent="0.2">
      <c r="A54" s="1">
        <f t="shared" si="0"/>
        <v>54</v>
      </c>
      <c r="B54" s="3"/>
      <c r="C54" t="s">
        <v>97</v>
      </c>
      <c r="D54" s="10">
        <f>D52+D53</f>
        <v>13474838.83</v>
      </c>
      <c r="E54" s="10"/>
      <c r="F54" s="10"/>
      <c r="G54" s="10"/>
      <c r="H54" s="3"/>
    </row>
    <row r="55" spans="1:15" ht="15" thickBot="1" x14ac:dyDescent="0.25">
      <c r="A55" s="1">
        <f t="shared" si="0"/>
        <v>55</v>
      </c>
      <c r="B55" s="3"/>
      <c r="C55" t="s">
        <v>98</v>
      </c>
      <c r="D55" s="10"/>
      <c r="E55" s="10"/>
      <c r="F55" s="10"/>
      <c r="G55" s="10"/>
      <c r="H55" s="10" t="s">
        <v>110</v>
      </c>
      <c r="I55" s="10"/>
      <c r="J55" s="10"/>
      <c r="K55" s="10"/>
      <c r="L55" s="10"/>
      <c r="M55" s="16">
        <f>SUM(M52:M53)</f>
        <v>1742295</v>
      </c>
    </row>
    <row r="56" spans="1:15" ht="15" thickTop="1" x14ac:dyDescent="0.2">
      <c r="A56" s="1">
        <f t="shared" si="0"/>
        <v>56</v>
      </c>
      <c r="C56" t="s">
        <v>99</v>
      </c>
      <c r="D56" s="10">
        <f>ROUND(D62*0.125,0)</f>
        <v>217787</v>
      </c>
      <c r="E56" s="10" t="s">
        <v>100</v>
      </c>
      <c r="F56" s="10"/>
      <c r="G56" s="10"/>
    </row>
    <row r="57" spans="1:15" x14ac:dyDescent="0.2">
      <c r="A57" s="1">
        <f t="shared" si="0"/>
        <v>57</v>
      </c>
      <c r="C57" t="s">
        <v>101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">
      <c r="A58" s="1">
        <f t="shared" si="0"/>
        <v>58</v>
      </c>
      <c r="C58" t="s">
        <v>102</v>
      </c>
      <c r="D58" s="15">
        <f>M48</f>
        <v>1562368</v>
      </c>
      <c r="E58" s="10"/>
      <c r="F58" s="10"/>
      <c r="G58" s="10"/>
    </row>
    <row r="59" spans="1:15" ht="15" thickBot="1" x14ac:dyDescent="0.25">
      <c r="A59" s="1">
        <f t="shared" si="0"/>
        <v>59</v>
      </c>
      <c r="C59" t="s">
        <v>103</v>
      </c>
      <c r="D59" s="18">
        <f>D54+D56-D58</f>
        <v>12130257.83</v>
      </c>
      <c r="E59" s="10"/>
      <c r="F59" s="10"/>
      <c r="G59" s="10"/>
      <c r="I59" s="11" t="s">
        <v>114</v>
      </c>
      <c r="J59" s="12">
        <v>1.5E-3</v>
      </c>
      <c r="K59" t="s">
        <v>115</v>
      </c>
      <c r="N59" s="10"/>
      <c r="O59" s="10"/>
    </row>
    <row r="60" spans="1:15" ht="15" thickTop="1" x14ac:dyDescent="0.2">
      <c r="A60" s="1">
        <f t="shared" si="0"/>
        <v>60</v>
      </c>
      <c r="D60" s="10"/>
      <c r="E60" s="10"/>
      <c r="F60" s="10"/>
      <c r="G60" s="10"/>
      <c r="J60" s="12">
        <v>1.1220000000000001E-2</v>
      </c>
      <c r="K60" t="s">
        <v>117</v>
      </c>
    </row>
    <row r="61" spans="1:15" x14ac:dyDescent="0.2">
      <c r="A61" s="1">
        <f t="shared" si="0"/>
        <v>61</v>
      </c>
      <c r="B61" s="4" t="s">
        <v>184</v>
      </c>
      <c r="D61" s="10"/>
      <c r="E61" s="10"/>
      <c r="F61" s="10"/>
      <c r="G61" s="10"/>
      <c r="J61" s="13">
        <v>8.633E-3</v>
      </c>
      <c r="K61" t="s">
        <v>119</v>
      </c>
      <c r="N61" s="10"/>
      <c r="O61" s="10"/>
    </row>
    <row r="62" spans="1:15" x14ac:dyDescent="0.2">
      <c r="A62" s="1">
        <f t="shared" si="0"/>
        <v>62</v>
      </c>
      <c r="C62" t="s">
        <v>104</v>
      </c>
      <c r="D62" s="10">
        <f>M55</f>
        <v>1742295</v>
      </c>
      <c r="E62" s="10"/>
      <c r="F62" s="10"/>
      <c r="G62" s="10"/>
      <c r="J62" s="14">
        <v>7.0299999999999998E-3</v>
      </c>
      <c r="K62" t="s">
        <v>121</v>
      </c>
    </row>
    <row r="63" spans="1:15" x14ac:dyDescent="0.2">
      <c r="A63" s="1">
        <f t="shared" si="0"/>
        <v>63</v>
      </c>
      <c r="C63" t="s">
        <v>105</v>
      </c>
      <c r="D63" s="10">
        <f>K48</f>
        <v>1067982</v>
      </c>
      <c r="E63" s="10"/>
      <c r="F63" s="10"/>
      <c r="G63" s="10"/>
      <c r="I63" s="11" t="s">
        <v>123</v>
      </c>
      <c r="J63" s="12">
        <v>1.6999999999999999E-3</v>
      </c>
      <c r="N63" s="10"/>
      <c r="O63" s="10"/>
    </row>
    <row r="64" spans="1:15" x14ac:dyDescent="0.2">
      <c r="A64" s="1">
        <f t="shared" si="0"/>
        <v>64</v>
      </c>
      <c r="C64" t="s">
        <v>106</v>
      </c>
      <c r="D64" s="10">
        <f>H48</f>
        <v>45233</v>
      </c>
      <c r="E64" s="10"/>
      <c r="F64" s="10"/>
      <c r="G64" s="10"/>
      <c r="N64" s="10"/>
      <c r="O64" s="10"/>
    </row>
    <row r="65" spans="1:15" x14ac:dyDescent="0.2">
      <c r="A65" s="1">
        <f t="shared" si="0"/>
        <v>65</v>
      </c>
      <c r="C65" t="s">
        <v>107</v>
      </c>
      <c r="D65" s="15">
        <f>I48</f>
        <v>22067</v>
      </c>
      <c r="E65" s="10"/>
      <c r="F65" s="10"/>
      <c r="G65" s="10"/>
      <c r="H65" s="3"/>
      <c r="J65" s="10"/>
      <c r="K65" s="10"/>
      <c r="L65" s="10"/>
      <c r="M65" s="10"/>
      <c r="N65" s="10"/>
      <c r="O65" s="10"/>
    </row>
    <row r="66" spans="1:15" ht="15" thickBot="1" x14ac:dyDescent="0.25">
      <c r="A66" s="1">
        <f t="shared" si="0"/>
        <v>66</v>
      </c>
      <c r="C66" t="s">
        <v>108</v>
      </c>
      <c r="D66" s="18">
        <f>SUM(D62:D65)</f>
        <v>2877577</v>
      </c>
      <c r="E66" s="10"/>
      <c r="F66" s="10"/>
      <c r="G66" s="10"/>
      <c r="H66" s="3"/>
      <c r="J66" s="10"/>
      <c r="K66" s="10"/>
      <c r="L66" s="10"/>
      <c r="M66" s="10"/>
      <c r="N66" s="10"/>
      <c r="O66" s="10"/>
    </row>
    <row r="67" spans="1:15" ht="15" thickTop="1" x14ac:dyDescent="0.2">
      <c r="A67" s="1">
        <f t="shared" ref="A67:A130" si="5">A66+1</f>
        <v>67</v>
      </c>
      <c r="D67" s="10"/>
      <c r="E67" s="10"/>
      <c r="F67" s="10"/>
      <c r="G67" s="10"/>
      <c r="H67" s="3"/>
      <c r="J67" s="10"/>
      <c r="K67" s="10"/>
      <c r="L67" s="10"/>
      <c r="M67" s="10"/>
      <c r="N67" s="10"/>
      <c r="O67" s="10"/>
    </row>
    <row r="68" spans="1:15" x14ac:dyDescent="0.2">
      <c r="A68" s="1">
        <f t="shared" si="5"/>
        <v>68</v>
      </c>
      <c r="B68" s="4" t="s">
        <v>185</v>
      </c>
      <c r="D68" s="10"/>
      <c r="E68" s="10"/>
      <c r="F68" s="10"/>
      <c r="G68" s="10"/>
      <c r="N68" s="10"/>
      <c r="O68" s="10"/>
    </row>
    <row r="69" spans="1:15" x14ac:dyDescent="0.2">
      <c r="A69" s="1">
        <f t="shared" si="5"/>
        <v>69</v>
      </c>
      <c r="C69" t="s">
        <v>103</v>
      </c>
      <c r="D69" s="10">
        <f>D59</f>
        <v>12130257.83</v>
      </c>
      <c r="F69" s="10"/>
      <c r="G69" s="10"/>
      <c r="N69" s="10"/>
      <c r="O69" s="10"/>
    </row>
    <row r="70" spans="1:15" x14ac:dyDescent="0.2">
      <c r="A70" s="1">
        <f t="shared" si="5"/>
        <v>70</v>
      </c>
      <c r="C70" t="s">
        <v>109</v>
      </c>
      <c r="D70" s="19">
        <v>6.4860000000000001E-2</v>
      </c>
      <c r="F70" s="10"/>
      <c r="G70" s="10"/>
      <c r="N70" s="10"/>
      <c r="O70" s="10"/>
    </row>
    <row r="71" spans="1:15" x14ac:dyDescent="0.2">
      <c r="A71" s="1">
        <f t="shared" si="5"/>
        <v>71</v>
      </c>
      <c r="C71" t="s">
        <v>111</v>
      </c>
      <c r="D71" s="10">
        <f>ROUND(D69*D70,0)</f>
        <v>786769</v>
      </c>
      <c r="F71" s="10"/>
      <c r="G71" s="10"/>
      <c r="N71" s="10"/>
      <c r="O71" s="10"/>
    </row>
    <row r="72" spans="1:15" x14ac:dyDescent="0.2">
      <c r="A72" s="1">
        <f t="shared" si="5"/>
        <v>72</v>
      </c>
      <c r="C72" t="s">
        <v>112</v>
      </c>
      <c r="D72" s="15">
        <f>D66</f>
        <v>2877577</v>
      </c>
      <c r="E72" s="10"/>
      <c r="G72" s="10"/>
      <c r="N72" s="10"/>
      <c r="O72" s="10"/>
    </row>
    <row r="73" spans="1:15" x14ac:dyDescent="0.2">
      <c r="A73" s="1">
        <f t="shared" si="5"/>
        <v>73</v>
      </c>
      <c r="C73" t="s">
        <v>113</v>
      </c>
      <c r="D73" s="10">
        <f>D71+D72</f>
        <v>3664346</v>
      </c>
      <c r="E73" s="10"/>
      <c r="G73" s="10"/>
      <c r="N73" s="10"/>
      <c r="O73" s="10"/>
    </row>
    <row r="74" spans="1:15" x14ac:dyDescent="0.2">
      <c r="A74" s="1">
        <f t="shared" si="5"/>
        <v>74</v>
      </c>
      <c r="C74" t="s">
        <v>195</v>
      </c>
      <c r="D74" s="20">
        <v>0.99009999999999998</v>
      </c>
      <c r="E74" s="10"/>
      <c r="G74" s="10"/>
      <c r="N74" s="10"/>
      <c r="O74" s="10"/>
    </row>
    <row r="75" spans="1:15" x14ac:dyDescent="0.2">
      <c r="A75" s="1">
        <f t="shared" si="5"/>
        <v>75</v>
      </c>
      <c r="C75" t="s">
        <v>116</v>
      </c>
      <c r="D75" s="10">
        <f>ROUND(D73*D74,0)</f>
        <v>3628069</v>
      </c>
      <c r="E75" s="10"/>
      <c r="G75" s="10"/>
      <c r="N75" s="10"/>
      <c r="O75" s="10"/>
    </row>
    <row r="76" spans="1:15" x14ac:dyDescent="0.2">
      <c r="A76" s="1">
        <f t="shared" si="5"/>
        <v>76</v>
      </c>
      <c r="B76" s="3"/>
      <c r="C76" t="s">
        <v>118</v>
      </c>
      <c r="D76" s="10"/>
      <c r="E76" s="10"/>
      <c r="F76" s="10"/>
      <c r="G76" s="10"/>
      <c r="N76" s="10"/>
      <c r="O76" s="10"/>
    </row>
    <row r="77" spans="1:15" x14ac:dyDescent="0.2">
      <c r="A77" s="1">
        <f t="shared" si="5"/>
        <v>77</v>
      </c>
      <c r="B77" s="3"/>
      <c r="C77" t="s">
        <v>120</v>
      </c>
      <c r="D77" s="15">
        <f>BESF!D36</f>
        <v>1249428</v>
      </c>
      <c r="E77" s="10"/>
      <c r="F77" s="10"/>
      <c r="G77" s="10"/>
      <c r="N77" s="10"/>
      <c r="O77" s="10"/>
    </row>
    <row r="78" spans="1:15" ht="15" thickBot="1" x14ac:dyDescent="0.25">
      <c r="A78" s="1">
        <f t="shared" si="5"/>
        <v>78</v>
      </c>
      <c r="B78" s="3"/>
      <c r="C78" s="28" t="s">
        <v>122</v>
      </c>
      <c r="D78" s="18">
        <f>D75-D77</f>
        <v>2378641</v>
      </c>
      <c r="E78" s="10"/>
      <c r="F78" s="10"/>
      <c r="G78" s="10"/>
      <c r="N78" s="10"/>
      <c r="O78" s="10"/>
    </row>
    <row r="79" spans="1:15" ht="15" thickTop="1" x14ac:dyDescent="0.2">
      <c r="A79" s="1">
        <f t="shared" si="5"/>
        <v>79</v>
      </c>
      <c r="N79" s="10"/>
      <c r="O79" s="10"/>
    </row>
    <row r="80" spans="1:15" x14ac:dyDescent="0.2">
      <c r="A80" s="1">
        <f t="shared" si="5"/>
        <v>80</v>
      </c>
      <c r="N80" s="10"/>
      <c r="O80" s="10"/>
    </row>
    <row r="81" spans="1:15" x14ac:dyDescent="0.2">
      <c r="A81" s="1">
        <f t="shared" si="5"/>
        <v>81</v>
      </c>
      <c r="N81" s="10"/>
      <c r="O81" s="10"/>
    </row>
    <row r="82" spans="1:15" x14ac:dyDescent="0.2">
      <c r="A82" s="1">
        <f t="shared" si="5"/>
        <v>82</v>
      </c>
      <c r="N82" s="10"/>
      <c r="O82" s="10"/>
    </row>
    <row r="83" spans="1:15" x14ac:dyDescent="0.2">
      <c r="A83" s="1">
        <f t="shared" si="5"/>
        <v>83</v>
      </c>
      <c r="N83" s="10"/>
      <c r="O83" s="10"/>
    </row>
    <row r="84" spans="1:15" x14ac:dyDescent="0.2">
      <c r="A84" s="1">
        <f t="shared" si="5"/>
        <v>84</v>
      </c>
      <c r="N84" s="10"/>
      <c r="O84" s="10"/>
    </row>
    <row r="85" spans="1:15" x14ac:dyDescent="0.2">
      <c r="A85" s="1">
        <f t="shared" si="5"/>
        <v>85</v>
      </c>
      <c r="N85" s="10"/>
      <c r="O85" s="10"/>
    </row>
    <row r="86" spans="1:15" x14ac:dyDescent="0.2">
      <c r="A86" s="1">
        <f t="shared" si="5"/>
        <v>86</v>
      </c>
      <c r="N86" s="10"/>
      <c r="O86" s="10"/>
    </row>
    <row r="87" spans="1:15" x14ac:dyDescent="0.2">
      <c r="A87" s="1">
        <f t="shared" si="5"/>
        <v>87</v>
      </c>
      <c r="N87" s="10"/>
      <c r="O87" s="10"/>
    </row>
    <row r="88" spans="1:15" x14ac:dyDescent="0.2">
      <c r="A88" s="1">
        <f t="shared" si="5"/>
        <v>88</v>
      </c>
      <c r="N88" s="10"/>
      <c r="O88" s="10"/>
    </row>
    <row r="89" spans="1:15" x14ac:dyDescent="0.2">
      <c r="A89" s="1">
        <f t="shared" si="5"/>
        <v>89</v>
      </c>
      <c r="N89" s="10"/>
      <c r="O89" s="10"/>
    </row>
    <row r="90" spans="1:15" x14ac:dyDescent="0.2">
      <c r="A90" s="1">
        <f t="shared" si="5"/>
        <v>90</v>
      </c>
      <c r="N90" s="10"/>
      <c r="O90" s="10"/>
    </row>
    <row r="91" spans="1:15" x14ac:dyDescent="0.2">
      <c r="A91" s="1">
        <f t="shared" si="5"/>
        <v>91</v>
      </c>
      <c r="N91" s="10"/>
      <c r="O91" s="10"/>
    </row>
    <row r="92" spans="1:15" x14ac:dyDescent="0.2">
      <c r="A92" s="1">
        <f t="shared" si="5"/>
        <v>92</v>
      </c>
      <c r="N92" s="10"/>
      <c r="O92" s="10"/>
    </row>
    <row r="93" spans="1:15" x14ac:dyDescent="0.2">
      <c r="A93" s="1">
        <f t="shared" si="5"/>
        <v>93</v>
      </c>
    </row>
    <row r="94" spans="1:15" x14ac:dyDescent="0.2">
      <c r="A94" s="1">
        <f t="shared" si="5"/>
        <v>94</v>
      </c>
    </row>
    <row r="95" spans="1:15" x14ac:dyDescent="0.2">
      <c r="A95" s="1">
        <f t="shared" si="5"/>
        <v>95</v>
      </c>
    </row>
    <row r="96" spans="1:15" x14ac:dyDescent="0.2">
      <c r="A96" s="1">
        <f t="shared" si="5"/>
        <v>96</v>
      </c>
    </row>
    <row r="97" spans="1:1" x14ac:dyDescent="0.2">
      <c r="A97" s="1">
        <f t="shared" si="5"/>
        <v>97</v>
      </c>
    </row>
    <row r="98" spans="1:1" x14ac:dyDescent="0.2">
      <c r="A98" s="1">
        <f t="shared" si="5"/>
        <v>98</v>
      </c>
    </row>
    <row r="99" spans="1:1" x14ac:dyDescent="0.2">
      <c r="A99" s="1">
        <f t="shared" si="5"/>
        <v>99</v>
      </c>
    </row>
    <row r="100" spans="1:1" x14ac:dyDescent="0.2">
      <c r="A100" s="1">
        <f t="shared" si="5"/>
        <v>100</v>
      </c>
    </row>
    <row r="101" spans="1:1" x14ac:dyDescent="0.2">
      <c r="A101" s="1">
        <f t="shared" si="5"/>
        <v>101</v>
      </c>
    </row>
    <row r="102" spans="1:1" x14ac:dyDescent="0.2">
      <c r="A102" s="1">
        <f t="shared" si="5"/>
        <v>102</v>
      </c>
    </row>
    <row r="103" spans="1:1" x14ac:dyDescent="0.2">
      <c r="A103" s="1">
        <f t="shared" si="5"/>
        <v>103</v>
      </c>
    </row>
    <row r="104" spans="1:1" x14ac:dyDescent="0.2">
      <c r="A104" s="1">
        <f t="shared" si="5"/>
        <v>104</v>
      </c>
    </row>
    <row r="105" spans="1:1" x14ac:dyDescent="0.2">
      <c r="A105" s="1">
        <f t="shared" si="5"/>
        <v>105</v>
      </c>
    </row>
    <row r="106" spans="1:1" x14ac:dyDescent="0.2">
      <c r="A106" s="1">
        <f t="shared" si="5"/>
        <v>106</v>
      </c>
    </row>
    <row r="107" spans="1:1" x14ac:dyDescent="0.2">
      <c r="A107" s="1">
        <f t="shared" si="5"/>
        <v>107</v>
      </c>
    </row>
    <row r="108" spans="1:1" x14ac:dyDescent="0.2">
      <c r="A108" s="1">
        <f t="shared" si="5"/>
        <v>108</v>
      </c>
    </row>
    <row r="109" spans="1:1" x14ac:dyDescent="0.2">
      <c r="A109" s="1">
        <f t="shared" si="5"/>
        <v>109</v>
      </c>
    </row>
    <row r="110" spans="1:1" x14ac:dyDescent="0.2">
      <c r="A110" s="1">
        <f t="shared" si="5"/>
        <v>110</v>
      </c>
    </row>
    <row r="111" spans="1:1" x14ac:dyDescent="0.2">
      <c r="A111" s="1">
        <f t="shared" si="5"/>
        <v>111</v>
      </c>
    </row>
    <row r="112" spans="1:1" x14ac:dyDescent="0.2">
      <c r="A112" s="1">
        <f t="shared" si="5"/>
        <v>112</v>
      </c>
    </row>
    <row r="113" spans="1:1" x14ac:dyDescent="0.2">
      <c r="A113" s="1">
        <f t="shared" si="5"/>
        <v>113</v>
      </c>
    </row>
    <row r="114" spans="1:1" x14ac:dyDescent="0.2">
      <c r="A114" s="1">
        <f t="shared" si="5"/>
        <v>114</v>
      </c>
    </row>
    <row r="115" spans="1:1" x14ac:dyDescent="0.2">
      <c r="A115" s="1">
        <f t="shared" si="5"/>
        <v>115</v>
      </c>
    </row>
    <row r="116" spans="1:1" x14ac:dyDescent="0.2">
      <c r="A116" s="1">
        <f t="shared" si="5"/>
        <v>116</v>
      </c>
    </row>
    <row r="117" spans="1:1" x14ac:dyDescent="0.2">
      <c r="A117" s="1">
        <f t="shared" si="5"/>
        <v>117</v>
      </c>
    </row>
    <row r="118" spans="1:1" x14ac:dyDescent="0.2">
      <c r="A118" s="1">
        <f t="shared" si="5"/>
        <v>118</v>
      </c>
    </row>
    <row r="119" spans="1:1" x14ac:dyDescent="0.2">
      <c r="A119" s="1">
        <f t="shared" si="5"/>
        <v>119</v>
      </c>
    </row>
    <row r="120" spans="1:1" x14ac:dyDescent="0.2">
      <c r="A120" s="1">
        <f t="shared" si="5"/>
        <v>120</v>
      </c>
    </row>
    <row r="121" spans="1:1" x14ac:dyDescent="0.2">
      <c r="A121" s="1">
        <f t="shared" si="5"/>
        <v>121</v>
      </c>
    </row>
    <row r="122" spans="1:1" x14ac:dyDescent="0.2">
      <c r="A122" s="1">
        <f t="shared" si="5"/>
        <v>122</v>
      </c>
    </row>
    <row r="123" spans="1:1" x14ac:dyDescent="0.2">
      <c r="A123" s="1">
        <f t="shared" si="5"/>
        <v>123</v>
      </c>
    </row>
    <row r="124" spans="1:1" x14ac:dyDescent="0.2">
      <c r="A124" s="1">
        <f t="shared" si="5"/>
        <v>124</v>
      </c>
    </row>
    <row r="125" spans="1:1" x14ac:dyDescent="0.2">
      <c r="A125" s="1">
        <f t="shared" si="5"/>
        <v>125</v>
      </c>
    </row>
    <row r="126" spans="1:1" x14ac:dyDescent="0.2">
      <c r="A126" s="1">
        <f t="shared" si="5"/>
        <v>126</v>
      </c>
    </row>
    <row r="127" spans="1:1" x14ac:dyDescent="0.2">
      <c r="A127" s="1">
        <f t="shared" si="5"/>
        <v>127</v>
      </c>
    </row>
    <row r="128" spans="1:1" x14ac:dyDescent="0.2">
      <c r="A128" s="1">
        <f t="shared" si="5"/>
        <v>128</v>
      </c>
    </row>
    <row r="129" spans="1:4" x14ac:dyDescent="0.2">
      <c r="A129" s="1">
        <f t="shared" si="5"/>
        <v>129</v>
      </c>
    </row>
    <row r="130" spans="1:4" x14ac:dyDescent="0.2">
      <c r="A130" s="1">
        <f t="shared" si="5"/>
        <v>130</v>
      </c>
    </row>
    <row r="131" spans="1:4" x14ac:dyDescent="0.2">
      <c r="A131" s="1">
        <f t="shared" ref="A131:A135" si="6">A130+1</f>
        <v>131</v>
      </c>
    </row>
    <row r="132" spans="1:4" x14ac:dyDescent="0.2">
      <c r="A132" s="1">
        <f t="shared" si="6"/>
        <v>132</v>
      </c>
    </row>
    <row r="133" spans="1:4" x14ac:dyDescent="0.2">
      <c r="A133" s="1">
        <f t="shared" si="6"/>
        <v>133</v>
      </c>
    </row>
    <row r="134" spans="1:4" x14ac:dyDescent="0.2">
      <c r="A134" s="1">
        <f t="shared" si="6"/>
        <v>134</v>
      </c>
    </row>
    <row r="135" spans="1:4" x14ac:dyDescent="0.2">
      <c r="A135" s="1">
        <f t="shared" si="6"/>
        <v>135</v>
      </c>
      <c r="D135" s="10"/>
    </row>
  </sheetData>
  <mergeCells count="6">
    <mergeCell ref="J11:K11"/>
    <mergeCell ref="C3:N3"/>
    <mergeCell ref="C4:N4"/>
    <mergeCell ref="D10:G10"/>
    <mergeCell ref="H10:K10"/>
    <mergeCell ref="L10:O10"/>
  </mergeCells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B3AFD-DB37-4658-901F-5932CD340D72}">
  <dimension ref="A1:O135"/>
  <sheetViews>
    <sheetView zoomScale="80" zoomScaleNormal="80" workbookViewId="0">
      <selection activeCell="M56" sqref="M56"/>
    </sheetView>
  </sheetViews>
  <sheetFormatPr defaultColWidth="15.625" defaultRowHeight="14.25" x14ac:dyDescent="0.2"/>
  <cols>
    <col min="1" max="1" width="4.625" customWidth="1"/>
    <col min="3" max="3" width="76.375" bestFit="1" customWidth="1"/>
  </cols>
  <sheetData>
    <row r="1" spans="1:15" ht="15" x14ac:dyDescent="0.25">
      <c r="A1" s="1">
        <v>1</v>
      </c>
      <c r="O1" s="34" t="s">
        <v>176</v>
      </c>
    </row>
    <row r="2" spans="1:15" ht="15" x14ac:dyDescent="0.25">
      <c r="A2" s="1">
        <f>A1+1</f>
        <v>2</v>
      </c>
      <c r="O2" s="34" t="s">
        <v>196</v>
      </c>
    </row>
    <row r="3" spans="1:15" ht="15" x14ac:dyDescent="0.25">
      <c r="A3" s="1">
        <f t="shared" ref="A3:A66" si="0">A2+1</f>
        <v>3</v>
      </c>
      <c r="C3" s="45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15" x14ac:dyDescent="0.25">
      <c r="A4" s="1">
        <f t="shared" si="0"/>
        <v>4</v>
      </c>
      <c r="C4" s="45" t="s">
        <v>180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x14ac:dyDescent="0.2">
      <c r="A5" s="1">
        <f t="shared" si="0"/>
        <v>5</v>
      </c>
    </row>
    <row r="6" spans="1:15" x14ac:dyDescent="0.2">
      <c r="A6" s="1">
        <f t="shared" si="0"/>
        <v>6</v>
      </c>
    </row>
    <row r="7" spans="1:15" x14ac:dyDescent="0.2">
      <c r="A7" s="1">
        <f t="shared" si="0"/>
        <v>7</v>
      </c>
      <c r="B7" s="26" t="s">
        <v>56</v>
      </c>
    </row>
    <row r="8" spans="1:15" x14ac:dyDescent="0.2">
      <c r="A8" s="1">
        <f t="shared" si="0"/>
        <v>8</v>
      </c>
      <c r="I8" s="14"/>
    </row>
    <row r="9" spans="1:15" x14ac:dyDescent="0.2">
      <c r="A9" s="1">
        <f t="shared" si="0"/>
        <v>9</v>
      </c>
      <c r="B9" s="4" t="s">
        <v>57</v>
      </c>
    </row>
    <row r="10" spans="1:15" x14ac:dyDescent="0.2">
      <c r="A10" s="1">
        <f t="shared" si="0"/>
        <v>10</v>
      </c>
      <c r="D10" s="42" t="s">
        <v>60</v>
      </c>
      <c r="E10" s="43"/>
      <c r="F10" s="43"/>
      <c r="G10" s="44"/>
      <c r="H10" s="42" t="s">
        <v>124</v>
      </c>
      <c r="I10" s="43"/>
      <c r="J10" s="43"/>
      <c r="K10" s="44"/>
      <c r="L10" s="42" t="s">
        <v>125</v>
      </c>
      <c r="M10" s="43"/>
      <c r="N10" s="43"/>
      <c r="O10" s="44"/>
    </row>
    <row r="11" spans="1:15" x14ac:dyDescent="0.2">
      <c r="A11" s="1">
        <f t="shared" si="0"/>
        <v>11</v>
      </c>
      <c r="B11" s="3" t="s">
        <v>61</v>
      </c>
      <c r="C11" s="3"/>
      <c r="D11" s="3" t="s">
        <v>62</v>
      </c>
      <c r="E11" s="3" t="s">
        <v>63</v>
      </c>
      <c r="F11" s="3" t="s">
        <v>64</v>
      </c>
      <c r="G11" s="3"/>
      <c r="H11" s="6" t="s">
        <v>65</v>
      </c>
      <c r="I11" s="3" t="s">
        <v>65</v>
      </c>
      <c r="J11" s="46" t="s">
        <v>66</v>
      </c>
      <c r="K11" s="47"/>
      <c r="L11" s="3" t="s">
        <v>62</v>
      </c>
      <c r="M11" s="3" t="s">
        <v>63</v>
      </c>
      <c r="N11" s="3" t="s">
        <v>64</v>
      </c>
      <c r="O11" s="3"/>
    </row>
    <row r="12" spans="1:15" ht="15" thickBot="1" x14ac:dyDescent="0.25">
      <c r="A12" s="1">
        <f t="shared" si="0"/>
        <v>12</v>
      </c>
      <c r="B12" s="5" t="s">
        <v>67</v>
      </c>
      <c r="C12" s="5" t="s">
        <v>68</v>
      </c>
      <c r="D12" s="5" t="s">
        <v>69</v>
      </c>
      <c r="E12" s="5" t="s">
        <v>70</v>
      </c>
      <c r="F12" s="5" t="s">
        <v>69</v>
      </c>
      <c r="G12" s="5" t="s">
        <v>71</v>
      </c>
      <c r="H12" s="7" t="s">
        <v>72</v>
      </c>
      <c r="I12" s="5" t="s">
        <v>73</v>
      </c>
      <c r="J12" s="9" t="s">
        <v>74</v>
      </c>
      <c r="K12" s="8" t="s">
        <v>75</v>
      </c>
      <c r="L12" s="5" t="s">
        <v>69</v>
      </c>
      <c r="M12" s="5" t="s">
        <v>70</v>
      </c>
      <c r="N12" s="5" t="s">
        <v>69</v>
      </c>
      <c r="O12" s="5" t="s">
        <v>71</v>
      </c>
    </row>
    <row r="13" spans="1:15" x14ac:dyDescent="0.2">
      <c r="A13" s="1">
        <f t="shared" si="0"/>
        <v>13</v>
      </c>
    </row>
    <row r="14" spans="1:15" x14ac:dyDescent="0.2">
      <c r="A14" s="1">
        <f t="shared" si="0"/>
        <v>14</v>
      </c>
      <c r="B14" s="3" t="s">
        <v>76</v>
      </c>
      <c r="C14" s="40" t="s">
        <v>77</v>
      </c>
      <c r="D14" s="10">
        <v>3279319.18</v>
      </c>
      <c r="E14" s="10">
        <v>135037.82</v>
      </c>
      <c r="F14" s="10">
        <f>D14-E14</f>
        <v>3144281.3600000003</v>
      </c>
      <c r="G14" s="10">
        <v>0</v>
      </c>
      <c r="H14" s="10">
        <f>ROUND(F14*$J$59,0)</f>
        <v>4716</v>
      </c>
      <c r="I14" s="10">
        <f>ROUND(F14*$J$63,0)</f>
        <v>5345</v>
      </c>
      <c r="J14" s="10">
        <f>E14/12</f>
        <v>11253.151666666667</v>
      </c>
      <c r="K14" s="10">
        <f>ROUND(J14*12,0)</f>
        <v>135038</v>
      </c>
      <c r="L14" s="10">
        <f>D14</f>
        <v>3279319.18</v>
      </c>
      <c r="M14" s="10">
        <f>E14+K14</f>
        <v>270075.82</v>
      </c>
      <c r="N14" s="10">
        <f>L14-M14</f>
        <v>3009243.3600000003</v>
      </c>
      <c r="O14" s="10">
        <v>0</v>
      </c>
    </row>
    <row r="15" spans="1:15" x14ac:dyDescent="0.2">
      <c r="A15" s="1">
        <f t="shared" si="0"/>
        <v>15</v>
      </c>
      <c r="J15" s="10"/>
      <c r="K15" s="10"/>
    </row>
    <row r="16" spans="1:15" x14ac:dyDescent="0.2">
      <c r="A16" s="1">
        <f t="shared" si="0"/>
        <v>16</v>
      </c>
      <c r="B16" s="3">
        <v>42</v>
      </c>
      <c r="C16" t="s">
        <v>78</v>
      </c>
      <c r="D16" s="10">
        <v>0</v>
      </c>
      <c r="E16" s="10">
        <v>0</v>
      </c>
      <c r="F16" s="10">
        <f>D16-E16</f>
        <v>0</v>
      </c>
      <c r="G16" s="10">
        <v>0</v>
      </c>
      <c r="H16" s="10">
        <f>ROUND(F16*$J$59,0)</f>
        <v>0</v>
      </c>
      <c r="I16" s="10">
        <f>ROUND(F16*$J$63,0)</f>
        <v>0</v>
      </c>
      <c r="J16" s="10">
        <f t="shared" ref="J16:J46" si="1">E16/12</f>
        <v>0</v>
      </c>
      <c r="K16" s="10">
        <f t="shared" ref="K16:K46" si="2">ROUND(J16*12,0)</f>
        <v>0</v>
      </c>
      <c r="L16" s="10">
        <f>D16</f>
        <v>0</v>
      </c>
      <c r="M16" s="10">
        <f>E16+K16</f>
        <v>0</v>
      </c>
      <c r="N16" s="10">
        <f>L16-M16</f>
        <v>0</v>
      </c>
      <c r="O16" s="10">
        <v>0</v>
      </c>
    </row>
    <row r="17" spans="1:15" x14ac:dyDescent="0.2">
      <c r="A17" s="1">
        <f t="shared" si="0"/>
        <v>17</v>
      </c>
      <c r="J17" s="10"/>
      <c r="K17" s="10"/>
    </row>
    <row r="18" spans="1:15" x14ac:dyDescent="0.2">
      <c r="A18" s="1">
        <f t="shared" si="0"/>
        <v>18</v>
      </c>
      <c r="B18" s="3">
        <v>43</v>
      </c>
      <c r="C18" t="s">
        <v>79</v>
      </c>
      <c r="D18" s="10">
        <v>0</v>
      </c>
      <c r="E18" s="10">
        <v>0</v>
      </c>
      <c r="F18" s="10">
        <f>D18-E18</f>
        <v>0</v>
      </c>
      <c r="G18" s="10">
        <v>0</v>
      </c>
      <c r="H18" s="10">
        <f>ROUND(F18*$J$59,0)</f>
        <v>0</v>
      </c>
      <c r="I18" s="10">
        <f>ROUND(F18*$J$63,0)</f>
        <v>0</v>
      </c>
      <c r="J18" s="10">
        <f t="shared" si="1"/>
        <v>0</v>
      </c>
      <c r="K18" s="10">
        <f t="shared" si="2"/>
        <v>0</v>
      </c>
      <c r="L18" s="10">
        <f>D18</f>
        <v>0</v>
      </c>
      <c r="M18" s="10">
        <f>E18+K18</f>
        <v>0</v>
      </c>
      <c r="N18" s="10">
        <f>L18-M18</f>
        <v>0</v>
      </c>
      <c r="O18" s="10">
        <v>0</v>
      </c>
    </row>
    <row r="19" spans="1:15" x14ac:dyDescent="0.2">
      <c r="A19" s="1">
        <f t="shared" si="0"/>
        <v>19</v>
      </c>
      <c r="J19" s="10"/>
      <c r="K19" s="10"/>
    </row>
    <row r="20" spans="1:15" x14ac:dyDescent="0.2">
      <c r="A20" s="1">
        <f t="shared" si="0"/>
        <v>20</v>
      </c>
      <c r="B20" s="3">
        <v>44</v>
      </c>
      <c r="C20" s="40" t="s">
        <v>80</v>
      </c>
      <c r="D20" s="10">
        <v>1980950.02</v>
      </c>
      <c r="E20" s="10">
        <v>306080.98</v>
      </c>
      <c r="F20" s="10">
        <f>D20-E20</f>
        <v>1674869.04</v>
      </c>
      <c r="G20" s="10">
        <v>0</v>
      </c>
      <c r="H20" s="10">
        <f>ROUND(F20*$J$59,0)</f>
        <v>2512</v>
      </c>
      <c r="I20" s="10">
        <f>ROUND(F20*$J$63,0)</f>
        <v>2847</v>
      </c>
      <c r="J20" s="10">
        <f t="shared" si="1"/>
        <v>25506.748333333333</v>
      </c>
      <c r="K20" s="10">
        <f t="shared" si="2"/>
        <v>306081</v>
      </c>
      <c r="L20" s="10">
        <f>D20</f>
        <v>1980950.02</v>
      </c>
      <c r="M20" s="10">
        <f>E20+K20</f>
        <v>612161.98</v>
      </c>
      <c r="N20" s="10">
        <f>L20-M20</f>
        <v>1368788.04</v>
      </c>
      <c r="O20" s="10">
        <v>0</v>
      </c>
    </row>
    <row r="21" spans="1:15" x14ac:dyDescent="0.2">
      <c r="A21" s="1">
        <f t="shared" si="0"/>
        <v>21</v>
      </c>
      <c r="J21" s="10"/>
      <c r="K21" s="10"/>
    </row>
    <row r="22" spans="1:15" x14ac:dyDescent="0.2">
      <c r="A22" s="1">
        <f t="shared" si="0"/>
        <v>22</v>
      </c>
      <c r="B22" s="3">
        <v>45</v>
      </c>
      <c r="C22" s="40" t="s">
        <v>81</v>
      </c>
      <c r="D22" s="10">
        <v>1445701.33</v>
      </c>
      <c r="E22" s="10">
        <v>81770.67</v>
      </c>
      <c r="F22" s="10">
        <f>D22-E22</f>
        <v>1363930.6600000001</v>
      </c>
      <c r="G22" s="10">
        <v>0</v>
      </c>
      <c r="H22" s="10">
        <f>ROUND(F22*$J$62,0)</f>
        <v>9588</v>
      </c>
      <c r="I22" s="10">
        <f>ROUND(F22*$J$63,0)</f>
        <v>2319</v>
      </c>
      <c r="J22" s="10">
        <f t="shared" si="1"/>
        <v>6814.2224999999999</v>
      </c>
      <c r="K22" s="10">
        <f t="shared" si="2"/>
        <v>81771</v>
      </c>
      <c r="L22" s="10">
        <f>D22</f>
        <v>1445701.33</v>
      </c>
      <c r="M22" s="10">
        <f>E22+K22</f>
        <v>163541.66999999998</v>
      </c>
      <c r="N22" s="10">
        <f>L22-M22</f>
        <v>1282159.6600000001</v>
      </c>
      <c r="O22" s="10">
        <v>0</v>
      </c>
    </row>
    <row r="23" spans="1:15" x14ac:dyDescent="0.2">
      <c r="A23" s="1">
        <f t="shared" si="0"/>
        <v>23</v>
      </c>
      <c r="J23" s="10"/>
      <c r="K23" s="10"/>
    </row>
    <row r="24" spans="1:15" x14ac:dyDescent="0.2">
      <c r="A24" s="1">
        <f t="shared" si="0"/>
        <v>24</v>
      </c>
      <c r="B24" s="3">
        <v>46</v>
      </c>
      <c r="C24" s="40" t="s">
        <v>82</v>
      </c>
      <c r="D24" s="10">
        <v>1209734.3999999999</v>
      </c>
      <c r="E24" s="10">
        <v>86409.600000000006</v>
      </c>
      <c r="F24" s="10">
        <f>D24-E24</f>
        <v>1123324.7999999998</v>
      </c>
      <c r="G24" s="10">
        <v>0</v>
      </c>
      <c r="H24" s="10">
        <f>ROUND(F24*$J$60,0)</f>
        <v>12604</v>
      </c>
      <c r="I24" s="10">
        <v>0</v>
      </c>
      <c r="J24" s="10">
        <f t="shared" si="1"/>
        <v>7200.8</v>
      </c>
      <c r="K24" s="10">
        <f t="shared" si="2"/>
        <v>86410</v>
      </c>
      <c r="L24" s="10">
        <f>D24</f>
        <v>1209734.3999999999</v>
      </c>
      <c r="M24" s="10">
        <f>E24+K24</f>
        <v>172819.6</v>
      </c>
      <c r="N24" s="10">
        <f>L24-M24</f>
        <v>1036914.7999999999</v>
      </c>
      <c r="O24" s="10">
        <v>0</v>
      </c>
    </row>
    <row r="25" spans="1:15" x14ac:dyDescent="0.2">
      <c r="A25" s="1">
        <f t="shared" si="0"/>
        <v>25</v>
      </c>
      <c r="J25" s="10"/>
      <c r="K25" s="10"/>
    </row>
    <row r="26" spans="1:15" x14ac:dyDescent="0.2">
      <c r="A26" s="1">
        <f t="shared" si="0"/>
        <v>26</v>
      </c>
      <c r="B26" s="3">
        <v>47</v>
      </c>
      <c r="C26" s="40" t="s">
        <v>83</v>
      </c>
      <c r="D26" s="10">
        <v>1182079.69</v>
      </c>
      <c r="E26" s="10">
        <v>82740.31</v>
      </c>
      <c r="F26" s="10">
        <f>D26-E26</f>
        <v>1099339.3799999999</v>
      </c>
      <c r="G26" s="10">
        <v>0</v>
      </c>
      <c r="H26" s="10">
        <f>ROUND(F26*$J$61,0)</f>
        <v>9491</v>
      </c>
      <c r="I26" s="10">
        <f>ROUND(F26*$J$63,0)</f>
        <v>1869</v>
      </c>
      <c r="J26" s="10">
        <f t="shared" si="1"/>
        <v>6895.0258333333331</v>
      </c>
      <c r="K26" s="10">
        <f t="shared" si="2"/>
        <v>82740</v>
      </c>
      <c r="L26" s="10">
        <f>D26</f>
        <v>1182079.69</v>
      </c>
      <c r="M26" s="10">
        <f>E26+K26</f>
        <v>165480.31</v>
      </c>
      <c r="N26" s="10">
        <f>L26-M26</f>
        <v>1016599.3799999999</v>
      </c>
      <c r="O26" s="10">
        <v>0</v>
      </c>
    </row>
    <row r="27" spans="1:15" x14ac:dyDescent="0.2">
      <c r="A27" s="1">
        <f t="shared" si="0"/>
        <v>27</v>
      </c>
      <c r="J27" s="10"/>
      <c r="K27" s="10"/>
    </row>
    <row r="28" spans="1:15" x14ac:dyDescent="0.2">
      <c r="A28" s="1">
        <f t="shared" si="0"/>
        <v>28</v>
      </c>
      <c r="B28" s="3">
        <v>48</v>
      </c>
      <c r="C28" s="40" t="s">
        <v>84</v>
      </c>
      <c r="D28" s="10">
        <v>780252.75</v>
      </c>
      <c r="E28" s="10">
        <v>29747.25</v>
      </c>
      <c r="F28" s="10">
        <f>D28-E28</f>
        <v>750505.5</v>
      </c>
      <c r="G28" s="10">
        <v>0</v>
      </c>
      <c r="H28" s="10">
        <f>ROUND(F28*$J$59,0)</f>
        <v>1126</v>
      </c>
      <c r="I28" s="10">
        <f>ROUND(F28*$J$63,0)</f>
        <v>1276</v>
      </c>
      <c r="J28" s="10">
        <f t="shared" si="1"/>
        <v>2478.9375</v>
      </c>
      <c r="K28" s="10">
        <f t="shared" si="2"/>
        <v>29747</v>
      </c>
      <c r="L28" s="10">
        <f>D28</f>
        <v>780252.75</v>
      </c>
      <c r="M28" s="10">
        <f>E28+K28</f>
        <v>59494.25</v>
      </c>
      <c r="N28" s="10">
        <f>L28-M28</f>
        <v>720758.5</v>
      </c>
      <c r="O28" s="10">
        <v>0</v>
      </c>
    </row>
    <row r="29" spans="1:15" x14ac:dyDescent="0.2">
      <c r="A29" s="1">
        <f t="shared" si="0"/>
        <v>29</v>
      </c>
      <c r="J29" s="10"/>
      <c r="K29" s="10"/>
    </row>
    <row r="30" spans="1:15" x14ac:dyDescent="0.2">
      <c r="A30" s="1">
        <f t="shared" si="0"/>
        <v>30</v>
      </c>
      <c r="B30" s="3">
        <v>49</v>
      </c>
      <c r="C30" s="40" t="s">
        <v>85</v>
      </c>
      <c r="D30" s="10">
        <v>988112.31</v>
      </c>
      <c r="E30" s="10">
        <v>81331.179999999993</v>
      </c>
      <c r="F30" s="10">
        <f>D30-E30</f>
        <v>906781.13000000012</v>
      </c>
      <c r="G30" s="10">
        <v>0</v>
      </c>
      <c r="H30" s="10">
        <f>ROUND(F30*$J$62,0)</f>
        <v>6375</v>
      </c>
      <c r="I30" s="10">
        <f>ROUND(F30*$J$63,0)</f>
        <v>1542</v>
      </c>
      <c r="J30" s="10">
        <f t="shared" si="1"/>
        <v>6777.5983333333324</v>
      </c>
      <c r="K30" s="10">
        <f t="shared" si="2"/>
        <v>81331</v>
      </c>
      <c r="L30" s="10">
        <f>D30</f>
        <v>988112.31</v>
      </c>
      <c r="M30" s="10">
        <f>E30+K30</f>
        <v>162662.18</v>
      </c>
      <c r="N30" s="10">
        <f>L30-M30</f>
        <v>825450.13000000012</v>
      </c>
      <c r="O30" s="10">
        <v>0</v>
      </c>
    </row>
    <row r="31" spans="1:15" x14ac:dyDescent="0.2">
      <c r="A31" s="1">
        <f t="shared" si="0"/>
        <v>31</v>
      </c>
      <c r="J31" s="10"/>
      <c r="K31" s="10"/>
    </row>
    <row r="32" spans="1:15" x14ac:dyDescent="0.2">
      <c r="A32" s="1">
        <f t="shared" si="0"/>
        <v>32</v>
      </c>
      <c r="B32" s="3">
        <v>50</v>
      </c>
      <c r="C32" s="40" t="s">
        <v>86</v>
      </c>
      <c r="D32" s="10">
        <v>1057607.26</v>
      </c>
      <c r="E32" s="10">
        <v>70868.259999999995</v>
      </c>
      <c r="F32" s="10">
        <f>D32-E32</f>
        <v>986739</v>
      </c>
      <c r="G32" s="10">
        <v>0</v>
      </c>
      <c r="H32" s="10">
        <f>ROUND(F32*$J$59,0)</f>
        <v>1480</v>
      </c>
      <c r="I32" s="10">
        <f>ROUND(F32*$J$63,0)</f>
        <v>1677</v>
      </c>
      <c r="J32" s="10">
        <f t="shared" si="1"/>
        <v>5905.6883333333326</v>
      </c>
      <c r="K32" s="10">
        <f t="shared" si="2"/>
        <v>70868</v>
      </c>
      <c r="L32" s="10">
        <f>D32</f>
        <v>1057607.26</v>
      </c>
      <c r="M32" s="10">
        <f>E32+K32</f>
        <v>141736.26</v>
      </c>
      <c r="N32" s="10">
        <f>L32-M32</f>
        <v>915871</v>
      </c>
      <c r="O32" s="10">
        <v>0</v>
      </c>
    </row>
    <row r="33" spans="1:15" x14ac:dyDescent="0.2">
      <c r="A33" s="1">
        <f t="shared" si="0"/>
        <v>33</v>
      </c>
      <c r="B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2">
      <c r="A34" s="1">
        <f t="shared" si="0"/>
        <v>34</v>
      </c>
      <c r="B34" s="3">
        <v>51</v>
      </c>
      <c r="C34" s="40" t="s">
        <v>87</v>
      </c>
      <c r="D34" s="10">
        <v>556256.46</v>
      </c>
      <c r="E34" s="10">
        <v>137618.54</v>
      </c>
      <c r="F34" s="10">
        <f>D34-E34</f>
        <v>418637.91999999993</v>
      </c>
      <c r="G34" s="10">
        <v>0</v>
      </c>
      <c r="H34" s="10">
        <f>ROUND(F34*$J$59,0)</f>
        <v>628</v>
      </c>
      <c r="I34" s="10">
        <f>ROUND(F34*$J$63,0)</f>
        <v>712</v>
      </c>
      <c r="J34" s="10">
        <f t="shared" si="1"/>
        <v>11468.211666666668</v>
      </c>
      <c r="K34" s="10">
        <f t="shared" si="2"/>
        <v>137619</v>
      </c>
      <c r="L34" s="10">
        <f>D34</f>
        <v>556256.46</v>
      </c>
      <c r="M34" s="10">
        <f>E34+K34</f>
        <v>275237.54000000004</v>
      </c>
      <c r="N34" s="10">
        <f>L34-M34</f>
        <v>281018.91999999993</v>
      </c>
      <c r="O34" s="10">
        <v>0</v>
      </c>
    </row>
    <row r="35" spans="1:15" x14ac:dyDescent="0.2">
      <c r="A35" s="1">
        <f t="shared" si="0"/>
        <v>35</v>
      </c>
      <c r="B35" s="3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">
      <c r="A36" s="1">
        <f t="shared" si="0"/>
        <v>36</v>
      </c>
      <c r="B36" s="3">
        <v>52</v>
      </c>
      <c r="C36" s="40" t="s">
        <v>88</v>
      </c>
      <c r="D36" s="10">
        <v>553299.82999999996</v>
      </c>
      <c r="E36" s="10">
        <v>57541.23</v>
      </c>
      <c r="F36" s="10">
        <f>D36-E36</f>
        <v>495758.6</v>
      </c>
      <c r="G36" s="10">
        <v>0</v>
      </c>
      <c r="H36" s="10">
        <f>ROUND(F36*$J$59,0)</f>
        <v>744</v>
      </c>
      <c r="I36" s="10">
        <f>ROUND(F36*$J$63,0)</f>
        <v>843</v>
      </c>
      <c r="J36" s="10">
        <f t="shared" si="1"/>
        <v>4795.1025</v>
      </c>
      <c r="K36" s="10">
        <f t="shared" si="2"/>
        <v>57541</v>
      </c>
      <c r="L36" s="10">
        <f>D36</f>
        <v>553299.82999999996</v>
      </c>
      <c r="M36" s="10">
        <f>E36+K36</f>
        <v>115082.23000000001</v>
      </c>
      <c r="N36" s="10">
        <f>L36-M36</f>
        <v>438217.6</v>
      </c>
      <c r="O36" s="10">
        <v>0</v>
      </c>
    </row>
    <row r="37" spans="1:15" x14ac:dyDescent="0.2">
      <c r="A37" s="1">
        <f t="shared" si="0"/>
        <v>37</v>
      </c>
      <c r="B37" s="3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1">
        <f t="shared" si="0"/>
        <v>38</v>
      </c>
      <c r="B38" s="3">
        <v>53</v>
      </c>
      <c r="C38" s="40" t="s">
        <v>89</v>
      </c>
      <c r="D38" s="10">
        <v>315089.33</v>
      </c>
      <c r="E38" s="10">
        <v>24910.67</v>
      </c>
      <c r="F38" s="10">
        <f>D38-E38</f>
        <v>290178.66000000003</v>
      </c>
      <c r="G38" s="10">
        <v>0</v>
      </c>
      <c r="H38" s="10">
        <f>ROUND(F38*$J$59,0)</f>
        <v>435</v>
      </c>
      <c r="I38" s="10">
        <f>ROUND(F38*$J$63,0)</f>
        <v>493</v>
      </c>
      <c r="J38" s="10">
        <f t="shared" si="1"/>
        <v>2075.8891666666664</v>
      </c>
      <c r="K38" s="10">
        <f t="shared" si="2"/>
        <v>24911</v>
      </c>
      <c r="L38" s="10">
        <f>D38</f>
        <v>315089.33</v>
      </c>
      <c r="M38" s="10">
        <f>E38+K38</f>
        <v>49821.67</v>
      </c>
      <c r="N38" s="10">
        <f>L38-M38</f>
        <v>265267.66000000003</v>
      </c>
      <c r="O38" s="10">
        <v>0</v>
      </c>
    </row>
    <row r="39" spans="1:15" x14ac:dyDescent="0.2">
      <c r="A39" s="1">
        <f t="shared" si="0"/>
        <v>39</v>
      </c>
      <c r="B39" s="3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">
      <c r="A40" s="1">
        <f t="shared" si="0"/>
        <v>40</v>
      </c>
      <c r="B40" s="3">
        <v>54</v>
      </c>
      <c r="C40" s="40" t="s">
        <v>90</v>
      </c>
      <c r="D40" s="10">
        <v>252200.5</v>
      </c>
      <c r="E40" s="10">
        <v>57799.5</v>
      </c>
      <c r="F40" s="10">
        <f>D40-E40</f>
        <v>194401</v>
      </c>
      <c r="G40" s="10">
        <v>0</v>
      </c>
      <c r="H40" s="10">
        <f>ROUND(F40*$J$59,0)</f>
        <v>292</v>
      </c>
      <c r="I40" s="10">
        <f>ROUND(F40*$J$63,0)</f>
        <v>330</v>
      </c>
      <c r="J40" s="10">
        <f t="shared" si="1"/>
        <v>4816.625</v>
      </c>
      <c r="K40" s="10">
        <f t="shared" si="2"/>
        <v>57800</v>
      </c>
      <c r="L40" s="10">
        <f>D40</f>
        <v>252200.5</v>
      </c>
      <c r="M40" s="10">
        <f>E40+K40</f>
        <v>115599.5</v>
      </c>
      <c r="N40" s="10">
        <f>L40-M40</f>
        <v>136601</v>
      </c>
      <c r="O40" s="10">
        <v>0</v>
      </c>
    </row>
    <row r="41" spans="1:15" x14ac:dyDescent="0.2">
      <c r="A41" s="1">
        <f t="shared" si="0"/>
        <v>41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">
      <c r="A42" s="1">
        <f t="shared" si="0"/>
        <v>42</v>
      </c>
      <c r="B42" s="3">
        <v>55</v>
      </c>
      <c r="C42" t="s">
        <v>91</v>
      </c>
      <c r="D42" s="10">
        <v>287440</v>
      </c>
      <c r="E42" s="10">
        <v>12560</v>
      </c>
      <c r="F42" s="10">
        <f>D42-E42</f>
        <v>274880</v>
      </c>
      <c r="G42" s="10">
        <v>0</v>
      </c>
      <c r="H42" s="10">
        <f>ROUND(F42*$J$59,0)</f>
        <v>412</v>
      </c>
      <c r="I42" s="10">
        <f>ROUND(F42*$J$63,0)</f>
        <v>467</v>
      </c>
      <c r="J42" s="10">
        <f t="shared" si="1"/>
        <v>1046.6666666666667</v>
      </c>
      <c r="K42" s="10">
        <f t="shared" si="2"/>
        <v>12560</v>
      </c>
      <c r="L42" s="10">
        <f t="shared" ref="L42" si="3">D42</f>
        <v>287440</v>
      </c>
      <c r="M42" s="10">
        <f t="shared" ref="M42" si="4">E42+K42</f>
        <v>25120</v>
      </c>
      <c r="N42" s="10">
        <f t="shared" ref="N42" si="5">L42-M42</f>
        <v>262320</v>
      </c>
      <c r="O42" s="10">
        <v>0</v>
      </c>
    </row>
    <row r="43" spans="1:15" x14ac:dyDescent="0.2">
      <c r="A43" s="1">
        <f t="shared" si="0"/>
        <v>43</v>
      </c>
      <c r="B43" s="3"/>
      <c r="J43" s="10"/>
      <c r="K43" s="10"/>
    </row>
    <row r="44" spans="1:15" x14ac:dyDescent="0.2">
      <c r="A44" s="1">
        <f t="shared" si="0"/>
        <v>44</v>
      </c>
      <c r="B44" s="3">
        <v>56</v>
      </c>
      <c r="C44" s="40" t="s">
        <v>92</v>
      </c>
      <c r="D44" s="10">
        <v>381057.1</v>
      </c>
      <c r="E44" s="10">
        <v>31364.68</v>
      </c>
      <c r="F44" s="10">
        <f>D44-E44</f>
        <v>349692.42</v>
      </c>
      <c r="G44" s="10">
        <v>0</v>
      </c>
      <c r="H44" s="10">
        <f>ROUND(F44*$J$59,0)</f>
        <v>525</v>
      </c>
      <c r="I44" s="10">
        <f>ROUND(F44*$J$63,0)</f>
        <v>594</v>
      </c>
      <c r="J44" s="10">
        <f t="shared" si="1"/>
        <v>2613.7233333333334</v>
      </c>
      <c r="K44" s="10">
        <f t="shared" si="2"/>
        <v>31365</v>
      </c>
      <c r="L44" s="10">
        <f>D44</f>
        <v>381057.1</v>
      </c>
      <c r="M44" s="10">
        <f>E44+K44</f>
        <v>62729.68</v>
      </c>
      <c r="N44" s="10">
        <f>L44-M44</f>
        <v>318327.42</v>
      </c>
      <c r="O44" s="10">
        <v>0</v>
      </c>
    </row>
    <row r="45" spans="1:15" x14ac:dyDescent="0.2">
      <c r="A45" s="1">
        <f t="shared" si="0"/>
        <v>45</v>
      </c>
      <c r="B45" s="3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A46" s="1">
        <f t="shared" si="0"/>
        <v>46</v>
      </c>
      <c r="B46" s="3">
        <v>57</v>
      </c>
      <c r="C46" s="40" t="s">
        <v>93</v>
      </c>
      <c r="D46" s="10">
        <v>28735.68</v>
      </c>
      <c r="E46" s="10">
        <v>3080.32</v>
      </c>
      <c r="F46" s="10">
        <f>D46-E46</f>
        <v>25655.360000000001</v>
      </c>
      <c r="G46" s="10">
        <v>0</v>
      </c>
      <c r="H46" s="10">
        <f>ROUND(F46*$J$59,0)</f>
        <v>38</v>
      </c>
      <c r="I46" s="10">
        <f>ROUND(F46*$J$63,0)</f>
        <v>44</v>
      </c>
      <c r="J46" s="10">
        <f t="shared" si="1"/>
        <v>256.69333333333333</v>
      </c>
      <c r="K46" s="10">
        <f t="shared" si="2"/>
        <v>3080</v>
      </c>
      <c r="L46" s="10">
        <f>D46</f>
        <v>28735.68</v>
      </c>
      <c r="M46" s="10">
        <f>E46+K46</f>
        <v>6160.32</v>
      </c>
      <c r="N46" s="10">
        <f>L46-M46</f>
        <v>22575.360000000001</v>
      </c>
      <c r="O46" s="10">
        <v>0</v>
      </c>
    </row>
    <row r="47" spans="1:15" x14ac:dyDescent="0.2">
      <c r="A47" s="1">
        <f t="shared" si="0"/>
        <v>47</v>
      </c>
      <c r="J47" s="10"/>
      <c r="K47" s="10"/>
    </row>
    <row r="48" spans="1:15" x14ac:dyDescent="0.2">
      <c r="A48" s="1">
        <f t="shared" si="0"/>
        <v>48</v>
      </c>
      <c r="C48" t="s">
        <v>94</v>
      </c>
      <c r="D48" s="38">
        <f>SUM(D14:D46)</f>
        <v>14297835.839999998</v>
      </c>
      <c r="E48" s="38">
        <f>SUM(E14:E46)</f>
        <v>1198861.0099999998</v>
      </c>
      <c r="F48" s="38">
        <f>SUM(F14:F46)</f>
        <v>13098974.83</v>
      </c>
      <c r="G48" s="38">
        <f t="shared" ref="G48:O48" si="6">SUM(G14:G46)</f>
        <v>0</v>
      </c>
      <c r="H48" s="38">
        <f t="shared" si="6"/>
        <v>50966</v>
      </c>
      <c r="I48" s="38">
        <f t="shared" si="6"/>
        <v>20358</v>
      </c>
      <c r="J48" s="38">
        <f t="shared" si="6"/>
        <v>99905.084166666653</v>
      </c>
      <c r="K48" s="38">
        <f t="shared" si="6"/>
        <v>1198862</v>
      </c>
      <c r="L48" s="38">
        <f t="shared" si="6"/>
        <v>14297835.839999998</v>
      </c>
      <c r="M48" s="38">
        <f t="shared" si="6"/>
        <v>2397723.0100000002</v>
      </c>
      <c r="N48" s="38">
        <f t="shared" si="6"/>
        <v>11900112.83</v>
      </c>
      <c r="O48" s="38">
        <f t="shared" si="6"/>
        <v>0</v>
      </c>
    </row>
    <row r="49" spans="1:15" x14ac:dyDescent="0.2">
      <c r="A49" s="1">
        <f t="shared" si="0"/>
        <v>49</v>
      </c>
    </row>
    <row r="50" spans="1:15" x14ac:dyDescent="0.2">
      <c r="A50" s="1">
        <f t="shared" si="0"/>
        <v>50</v>
      </c>
    </row>
    <row r="51" spans="1:15" x14ac:dyDescent="0.2">
      <c r="A51" s="1">
        <f t="shared" si="0"/>
        <v>51</v>
      </c>
      <c r="B51" s="17" t="s">
        <v>186</v>
      </c>
      <c r="D51" s="10"/>
      <c r="E51" s="10"/>
      <c r="F51" s="10"/>
      <c r="G51" s="10"/>
      <c r="H51" s="27" t="s">
        <v>95</v>
      </c>
      <c r="I51" s="10"/>
      <c r="J51" s="10"/>
      <c r="K51" s="10"/>
      <c r="L51" s="10"/>
      <c r="M51" s="10"/>
    </row>
    <row r="52" spans="1:15" x14ac:dyDescent="0.2">
      <c r="A52" s="1">
        <f t="shared" si="0"/>
        <v>52</v>
      </c>
      <c r="B52" s="3"/>
      <c r="C52" t="s">
        <v>96</v>
      </c>
      <c r="D52" s="10">
        <f>L48</f>
        <v>14297835.839999998</v>
      </c>
      <c r="E52" s="10"/>
      <c r="F52" s="10"/>
      <c r="G52" s="10"/>
      <c r="H52" s="3">
        <v>58</v>
      </c>
      <c r="I52" t="s">
        <v>174</v>
      </c>
      <c r="J52" s="10"/>
      <c r="K52" s="10"/>
      <c r="L52" s="10"/>
      <c r="M52" s="10">
        <v>1338947</v>
      </c>
    </row>
    <row r="53" spans="1:15" x14ac:dyDescent="0.2">
      <c r="A53" s="1">
        <f t="shared" si="0"/>
        <v>53</v>
      </c>
      <c r="B53" s="3"/>
      <c r="C53" t="s">
        <v>71</v>
      </c>
      <c r="D53" s="15">
        <f>O48</f>
        <v>0</v>
      </c>
      <c r="E53" s="10"/>
      <c r="F53" s="10"/>
      <c r="G53" s="10"/>
      <c r="H53" s="3">
        <v>59</v>
      </c>
      <c r="I53" t="s">
        <v>175</v>
      </c>
      <c r="J53" s="10"/>
      <c r="K53" s="10"/>
      <c r="L53" s="10"/>
      <c r="M53" s="15">
        <v>403348</v>
      </c>
    </row>
    <row r="54" spans="1:15" x14ac:dyDescent="0.2">
      <c r="A54" s="1">
        <f t="shared" si="0"/>
        <v>54</v>
      </c>
      <c r="B54" s="3"/>
      <c r="C54" t="s">
        <v>97</v>
      </c>
      <c r="D54" s="10">
        <f>D52+D53</f>
        <v>14297835.839999998</v>
      </c>
      <c r="E54" s="10"/>
      <c r="F54" s="10"/>
      <c r="G54" s="10"/>
      <c r="H54" s="3"/>
      <c r="J54" s="10"/>
      <c r="K54" s="10"/>
      <c r="L54" s="10"/>
      <c r="M54" s="10"/>
    </row>
    <row r="55" spans="1:15" ht="15" thickBot="1" x14ac:dyDescent="0.25">
      <c r="A55" s="1">
        <f t="shared" si="0"/>
        <v>55</v>
      </c>
      <c r="B55" s="3"/>
      <c r="C55" t="s">
        <v>98</v>
      </c>
      <c r="D55" s="10"/>
      <c r="E55" s="10"/>
      <c r="F55" s="10"/>
      <c r="G55" s="10"/>
      <c r="H55" s="10" t="s">
        <v>110</v>
      </c>
      <c r="I55" s="10"/>
      <c r="J55" s="10"/>
      <c r="K55" s="10"/>
      <c r="L55" s="10"/>
      <c r="M55" s="16">
        <f>SUM(M52:M53)</f>
        <v>1742295</v>
      </c>
    </row>
    <row r="56" spans="1:15" ht="15" thickTop="1" x14ac:dyDescent="0.2">
      <c r="A56" s="1">
        <f t="shared" si="0"/>
        <v>56</v>
      </c>
      <c r="C56" t="s">
        <v>99</v>
      </c>
      <c r="D56" s="10">
        <f>ROUND(D62*0.125,0)</f>
        <v>217787</v>
      </c>
      <c r="E56" s="10" t="s">
        <v>100</v>
      </c>
      <c r="F56" s="10"/>
      <c r="G56" s="10"/>
    </row>
    <row r="57" spans="1:15" x14ac:dyDescent="0.2">
      <c r="A57" s="1">
        <f t="shared" si="0"/>
        <v>57</v>
      </c>
      <c r="C57" t="s">
        <v>101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">
      <c r="A58" s="1">
        <f t="shared" si="0"/>
        <v>58</v>
      </c>
      <c r="C58" t="s">
        <v>102</v>
      </c>
      <c r="D58" s="15">
        <f>M48</f>
        <v>2397723.0100000002</v>
      </c>
      <c r="E58" s="10"/>
      <c r="F58" s="10"/>
      <c r="G58" s="10"/>
    </row>
    <row r="59" spans="1:15" ht="15" thickBot="1" x14ac:dyDescent="0.25">
      <c r="A59" s="1">
        <f t="shared" si="0"/>
        <v>59</v>
      </c>
      <c r="C59" t="s">
        <v>103</v>
      </c>
      <c r="D59" s="18">
        <f>D54+D56-D58</f>
        <v>12117899.829999998</v>
      </c>
      <c r="E59" s="10"/>
      <c r="F59" s="10"/>
      <c r="G59" s="10"/>
      <c r="I59" s="11" t="s">
        <v>114</v>
      </c>
      <c r="J59" s="12">
        <v>1.5E-3</v>
      </c>
      <c r="K59" t="s">
        <v>115</v>
      </c>
      <c r="N59" s="10"/>
      <c r="O59" s="10"/>
    </row>
    <row r="60" spans="1:15" ht="15" thickTop="1" x14ac:dyDescent="0.2">
      <c r="A60" s="1">
        <f t="shared" si="0"/>
        <v>60</v>
      </c>
      <c r="D60" s="10"/>
      <c r="E60" s="10"/>
      <c r="F60" s="10"/>
      <c r="G60" s="10"/>
      <c r="J60" s="12">
        <v>1.1220000000000001E-2</v>
      </c>
      <c r="K60" t="s">
        <v>117</v>
      </c>
    </row>
    <row r="61" spans="1:15" x14ac:dyDescent="0.2">
      <c r="A61" s="1">
        <f t="shared" si="0"/>
        <v>61</v>
      </c>
      <c r="B61" s="4" t="s">
        <v>187</v>
      </c>
      <c r="D61" s="10"/>
      <c r="E61" s="10"/>
      <c r="F61" s="10"/>
      <c r="G61" s="10"/>
      <c r="J61" s="13">
        <v>8.633E-3</v>
      </c>
      <c r="K61" t="s">
        <v>119</v>
      </c>
      <c r="N61" s="10"/>
      <c r="O61" s="10"/>
    </row>
    <row r="62" spans="1:15" x14ac:dyDescent="0.2">
      <c r="A62" s="1">
        <f t="shared" si="0"/>
        <v>62</v>
      </c>
      <c r="C62" t="s">
        <v>104</v>
      </c>
      <c r="D62" s="10">
        <f>M55</f>
        <v>1742295</v>
      </c>
      <c r="E62" s="10"/>
      <c r="F62" s="10"/>
      <c r="G62" s="10"/>
      <c r="J62" s="14">
        <v>7.0299999999999998E-3</v>
      </c>
      <c r="K62" t="s">
        <v>121</v>
      </c>
    </row>
    <row r="63" spans="1:15" x14ac:dyDescent="0.2">
      <c r="A63" s="1">
        <f t="shared" si="0"/>
        <v>63</v>
      </c>
      <c r="C63" t="s">
        <v>105</v>
      </c>
      <c r="D63" s="10">
        <f>K48</f>
        <v>1198862</v>
      </c>
      <c r="E63" s="10"/>
      <c r="F63" s="10"/>
      <c r="G63" s="10"/>
      <c r="I63" s="11" t="s">
        <v>123</v>
      </c>
      <c r="J63" s="12">
        <v>1.6999999999999999E-3</v>
      </c>
      <c r="N63" s="10"/>
      <c r="O63" s="10"/>
    </row>
    <row r="64" spans="1:15" x14ac:dyDescent="0.2">
      <c r="A64" s="1">
        <f t="shared" si="0"/>
        <v>64</v>
      </c>
      <c r="C64" t="s">
        <v>106</v>
      </c>
      <c r="D64" s="10">
        <f>H48</f>
        <v>50966</v>
      </c>
      <c r="E64" s="10"/>
      <c r="F64" s="10"/>
      <c r="G64" s="10"/>
      <c r="H64" s="3"/>
      <c r="J64" s="10"/>
      <c r="K64" s="10"/>
      <c r="L64" s="10"/>
      <c r="M64" s="10"/>
      <c r="N64" s="10"/>
      <c r="O64" s="10"/>
    </row>
    <row r="65" spans="1:15" x14ac:dyDescent="0.2">
      <c r="A65" s="1">
        <f t="shared" si="0"/>
        <v>65</v>
      </c>
      <c r="C65" t="s">
        <v>107</v>
      </c>
      <c r="D65" s="15">
        <f>I48</f>
        <v>20358</v>
      </c>
      <c r="E65" s="10"/>
      <c r="F65" s="10"/>
      <c r="G65" s="10"/>
      <c r="N65" s="10"/>
      <c r="O65" s="10"/>
    </row>
    <row r="66" spans="1:15" ht="15" thickBot="1" x14ac:dyDescent="0.25">
      <c r="A66" s="1">
        <f t="shared" si="0"/>
        <v>66</v>
      </c>
      <c r="C66" t="s">
        <v>108</v>
      </c>
      <c r="D66" s="18">
        <f>SUM(D62:D65)</f>
        <v>3012481</v>
      </c>
      <c r="E66" s="10"/>
      <c r="F66" s="10"/>
      <c r="G66" s="10"/>
      <c r="H66" s="3"/>
      <c r="J66" s="10"/>
      <c r="K66" s="10"/>
      <c r="L66" s="10"/>
      <c r="M66" s="10"/>
      <c r="N66" s="10"/>
      <c r="O66" s="10"/>
    </row>
    <row r="67" spans="1:15" ht="15" thickTop="1" x14ac:dyDescent="0.2">
      <c r="A67" s="1">
        <f t="shared" ref="A67:A130" si="7">A66+1</f>
        <v>67</v>
      </c>
      <c r="D67" s="10"/>
      <c r="E67" s="10"/>
      <c r="F67" s="10"/>
      <c r="G67" s="10"/>
      <c r="H67" s="3"/>
      <c r="J67" s="10"/>
      <c r="K67" s="10"/>
      <c r="L67" s="10"/>
      <c r="M67" s="10"/>
      <c r="N67" s="10"/>
      <c r="O67" s="10"/>
    </row>
    <row r="68" spans="1:15" x14ac:dyDescent="0.2">
      <c r="A68" s="1">
        <f t="shared" si="7"/>
        <v>68</v>
      </c>
      <c r="B68" s="4" t="s">
        <v>188</v>
      </c>
      <c r="D68" s="10"/>
      <c r="E68" s="10"/>
      <c r="F68" s="10"/>
      <c r="G68" s="10"/>
      <c r="H68" s="3"/>
      <c r="N68" s="10"/>
      <c r="O68" s="10"/>
    </row>
    <row r="69" spans="1:15" x14ac:dyDescent="0.2">
      <c r="A69" s="1">
        <f t="shared" si="7"/>
        <v>69</v>
      </c>
      <c r="C69" t="s">
        <v>103</v>
      </c>
      <c r="D69" s="10">
        <f>D59</f>
        <v>12117899.829999998</v>
      </c>
      <c r="F69" s="10"/>
      <c r="G69" s="10"/>
      <c r="H69" s="3"/>
      <c r="I69" s="10"/>
      <c r="J69" s="10"/>
      <c r="K69" s="10"/>
      <c r="L69" s="10"/>
      <c r="N69" s="10"/>
      <c r="O69" s="10"/>
    </row>
    <row r="70" spans="1:15" x14ac:dyDescent="0.2">
      <c r="A70" s="1">
        <f t="shared" si="7"/>
        <v>70</v>
      </c>
      <c r="C70" t="s">
        <v>109</v>
      </c>
      <c r="D70" s="19">
        <f>'Proposed - YE 2025'!D70</f>
        <v>6.4860000000000001E-2</v>
      </c>
      <c r="F70" s="10"/>
      <c r="G70" s="10"/>
      <c r="N70" s="10"/>
      <c r="O70" s="10"/>
    </row>
    <row r="71" spans="1:15" x14ac:dyDescent="0.2">
      <c r="A71" s="1">
        <f t="shared" si="7"/>
        <v>71</v>
      </c>
      <c r="C71" t="s">
        <v>111</v>
      </c>
      <c r="D71" s="10">
        <f>ROUND(D69*D70,0)</f>
        <v>785967</v>
      </c>
      <c r="F71" s="10"/>
      <c r="G71" s="10"/>
      <c r="N71" s="10"/>
      <c r="O71" s="10"/>
    </row>
    <row r="72" spans="1:15" x14ac:dyDescent="0.2">
      <c r="A72" s="1">
        <f t="shared" si="7"/>
        <v>72</v>
      </c>
      <c r="C72" t="s">
        <v>112</v>
      </c>
      <c r="D72" s="15">
        <f>D66</f>
        <v>3012481</v>
      </c>
      <c r="E72" s="10"/>
      <c r="G72" s="10"/>
      <c r="N72" s="10"/>
      <c r="O72" s="10"/>
    </row>
    <row r="73" spans="1:15" x14ac:dyDescent="0.2">
      <c r="A73" s="1">
        <f t="shared" si="7"/>
        <v>73</v>
      </c>
      <c r="C73" t="s">
        <v>113</v>
      </c>
      <c r="D73" s="10">
        <f>D71+D72</f>
        <v>3798448</v>
      </c>
      <c r="E73" s="10"/>
      <c r="G73" s="10"/>
      <c r="N73" s="10"/>
      <c r="O73" s="10"/>
    </row>
    <row r="74" spans="1:15" x14ac:dyDescent="0.2">
      <c r="A74" s="1">
        <f t="shared" si="7"/>
        <v>74</v>
      </c>
      <c r="C74" t="s">
        <v>195</v>
      </c>
      <c r="D74" s="20">
        <v>0.99009999999999998</v>
      </c>
      <c r="E74" s="10"/>
      <c r="G74" s="10"/>
      <c r="N74" s="10"/>
      <c r="O74" s="10"/>
    </row>
    <row r="75" spans="1:15" x14ac:dyDescent="0.2">
      <c r="A75" s="1">
        <f t="shared" si="7"/>
        <v>75</v>
      </c>
      <c r="C75" t="s">
        <v>116</v>
      </c>
      <c r="D75" s="10">
        <f>ROUND(D73*D74,0)</f>
        <v>3760843</v>
      </c>
      <c r="E75" s="10"/>
      <c r="G75" s="10"/>
      <c r="N75" s="10"/>
      <c r="O75" s="10"/>
    </row>
    <row r="76" spans="1:15" x14ac:dyDescent="0.2">
      <c r="A76" s="1">
        <f t="shared" si="7"/>
        <v>76</v>
      </c>
      <c r="B76" s="3"/>
      <c r="C76" t="s">
        <v>118</v>
      </c>
      <c r="D76" s="10"/>
      <c r="E76" s="10"/>
      <c r="F76" s="10"/>
      <c r="G76" s="10"/>
      <c r="N76" s="10"/>
      <c r="O76" s="10"/>
    </row>
    <row r="77" spans="1:15" x14ac:dyDescent="0.2">
      <c r="A77" s="1">
        <f t="shared" si="7"/>
        <v>77</v>
      </c>
      <c r="B77" s="3"/>
      <c r="C77" t="s">
        <v>120</v>
      </c>
      <c r="D77" s="15">
        <f>BESF!D36</f>
        <v>1249428</v>
      </c>
      <c r="E77" s="10"/>
      <c r="F77" s="10"/>
      <c r="G77" s="10"/>
      <c r="N77" s="10"/>
      <c r="O77" s="10"/>
    </row>
    <row r="78" spans="1:15" ht="15" thickBot="1" x14ac:dyDescent="0.25">
      <c r="A78" s="1">
        <f t="shared" si="7"/>
        <v>78</v>
      </c>
      <c r="B78" s="3"/>
      <c r="C78" s="28" t="s">
        <v>122</v>
      </c>
      <c r="D78" s="18">
        <f>D75-D77</f>
        <v>2511415</v>
      </c>
      <c r="E78" s="10"/>
      <c r="F78" s="10"/>
      <c r="G78" s="10"/>
      <c r="N78" s="10"/>
      <c r="O78" s="10"/>
    </row>
    <row r="79" spans="1:15" ht="15" thickTop="1" x14ac:dyDescent="0.2">
      <c r="A79" s="1">
        <f t="shared" si="7"/>
        <v>79</v>
      </c>
      <c r="N79" s="10"/>
      <c r="O79" s="10"/>
    </row>
    <row r="80" spans="1:15" x14ac:dyDescent="0.2">
      <c r="A80" s="1">
        <f t="shared" si="7"/>
        <v>80</v>
      </c>
      <c r="N80" s="10"/>
      <c r="O80" s="10"/>
    </row>
    <row r="81" spans="1:15" x14ac:dyDescent="0.2">
      <c r="A81" s="1">
        <f t="shared" si="7"/>
        <v>81</v>
      </c>
      <c r="N81" s="10"/>
      <c r="O81" s="10"/>
    </row>
    <row r="82" spans="1:15" x14ac:dyDescent="0.2">
      <c r="A82" s="1">
        <f t="shared" si="7"/>
        <v>82</v>
      </c>
      <c r="N82" s="10"/>
      <c r="O82" s="10"/>
    </row>
    <row r="83" spans="1:15" x14ac:dyDescent="0.2">
      <c r="A83" s="1">
        <f t="shared" si="7"/>
        <v>83</v>
      </c>
      <c r="N83" s="10"/>
      <c r="O83" s="10"/>
    </row>
    <row r="84" spans="1:15" x14ac:dyDescent="0.2">
      <c r="A84" s="1">
        <f t="shared" si="7"/>
        <v>84</v>
      </c>
      <c r="N84" s="10"/>
      <c r="O84" s="10"/>
    </row>
    <row r="85" spans="1:15" x14ac:dyDescent="0.2">
      <c r="A85" s="1">
        <f t="shared" si="7"/>
        <v>85</v>
      </c>
      <c r="N85" s="10"/>
      <c r="O85" s="10"/>
    </row>
    <row r="86" spans="1:15" x14ac:dyDescent="0.2">
      <c r="A86" s="1">
        <f t="shared" si="7"/>
        <v>86</v>
      </c>
      <c r="N86" s="10"/>
      <c r="O86" s="10"/>
    </row>
    <row r="87" spans="1:15" x14ac:dyDescent="0.2">
      <c r="A87" s="1">
        <f t="shared" si="7"/>
        <v>87</v>
      </c>
      <c r="N87" s="10"/>
      <c r="O87" s="10"/>
    </row>
    <row r="88" spans="1:15" x14ac:dyDescent="0.2">
      <c r="A88" s="1">
        <f t="shared" si="7"/>
        <v>88</v>
      </c>
      <c r="N88" s="10"/>
      <c r="O88" s="10"/>
    </row>
    <row r="89" spans="1:15" x14ac:dyDescent="0.2">
      <c r="A89" s="1">
        <f t="shared" si="7"/>
        <v>89</v>
      </c>
      <c r="N89" s="10"/>
      <c r="O89" s="10"/>
    </row>
    <row r="90" spans="1:15" x14ac:dyDescent="0.2">
      <c r="A90" s="1">
        <f t="shared" si="7"/>
        <v>90</v>
      </c>
      <c r="N90" s="10"/>
      <c r="O90" s="10"/>
    </row>
    <row r="91" spans="1:15" x14ac:dyDescent="0.2">
      <c r="A91" s="1">
        <f t="shared" si="7"/>
        <v>91</v>
      </c>
      <c r="N91" s="10"/>
      <c r="O91" s="10"/>
    </row>
    <row r="92" spans="1:15" x14ac:dyDescent="0.2">
      <c r="A92" s="1">
        <f t="shared" si="7"/>
        <v>92</v>
      </c>
      <c r="N92" s="10"/>
      <c r="O92" s="10"/>
    </row>
    <row r="93" spans="1:15" x14ac:dyDescent="0.2">
      <c r="A93" s="1">
        <f t="shared" si="7"/>
        <v>93</v>
      </c>
    </row>
    <row r="94" spans="1:15" x14ac:dyDescent="0.2">
      <c r="A94" s="1">
        <f t="shared" si="7"/>
        <v>94</v>
      </c>
    </row>
    <row r="95" spans="1:15" x14ac:dyDescent="0.2">
      <c r="A95" s="1">
        <f t="shared" si="7"/>
        <v>95</v>
      </c>
    </row>
    <row r="96" spans="1:15" x14ac:dyDescent="0.2">
      <c r="A96" s="1">
        <f t="shared" si="7"/>
        <v>96</v>
      </c>
    </row>
    <row r="97" spans="1:1" x14ac:dyDescent="0.2">
      <c r="A97" s="1">
        <f t="shared" si="7"/>
        <v>97</v>
      </c>
    </row>
    <row r="98" spans="1:1" x14ac:dyDescent="0.2">
      <c r="A98" s="1">
        <f t="shared" si="7"/>
        <v>98</v>
      </c>
    </row>
    <row r="99" spans="1:1" x14ac:dyDescent="0.2">
      <c r="A99" s="1">
        <f t="shared" si="7"/>
        <v>99</v>
      </c>
    </row>
    <row r="100" spans="1:1" x14ac:dyDescent="0.2">
      <c r="A100" s="1">
        <f t="shared" si="7"/>
        <v>100</v>
      </c>
    </row>
    <row r="101" spans="1:1" x14ac:dyDescent="0.2">
      <c r="A101" s="1">
        <f t="shared" si="7"/>
        <v>101</v>
      </c>
    </row>
    <row r="102" spans="1:1" x14ac:dyDescent="0.2">
      <c r="A102" s="1">
        <f t="shared" si="7"/>
        <v>102</v>
      </c>
    </row>
    <row r="103" spans="1:1" x14ac:dyDescent="0.2">
      <c r="A103" s="1">
        <f t="shared" si="7"/>
        <v>103</v>
      </c>
    </row>
    <row r="104" spans="1:1" x14ac:dyDescent="0.2">
      <c r="A104" s="1">
        <f t="shared" si="7"/>
        <v>104</v>
      </c>
    </row>
    <row r="105" spans="1:1" x14ac:dyDescent="0.2">
      <c r="A105" s="1">
        <f t="shared" si="7"/>
        <v>105</v>
      </c>
    </row>
    <row r="106" spans="1:1" x14ac:dyDescent="0.2">
      <c r="A106" s="1">
        <f t="shared" si="7"/>
        <v>106</v>
      </c>
    </row>
    <row r="107" spans="1:1" x14ac:dyDescent="0.2">
      <c r="A107" s="1">
        <f t="shared" si="7"/>
        <v>107</v>
      </c>
    </row>
    <row r="108" spans="1:1" x14ac:dyDescent="0.2">
      <c r="A108" s="1">
        <f t="shared" si="7"/>
        <v>108</v>
      </c>
    </row>
    <row r="109" spans="1:1" x14ac:dyDescent="0.2">
      <c r="A109" s="1">
        <f t="shared" si="7"/>
        <v>109</v>
      </c>
    </row>
    <row r="110" spans="1:1" x14ac:dyDescent="0.2">
      <c r="A110" s="1">
        <f t="shared" si="7"/>
        <v>110</v>
      </c>
    </row>
    <row r="111" spans="1:1" x14ac:dyDescent="0.2">
      <c r="A111" s="1">
        <f t="shared" si="7"/>
        <v>111</v>
      </c>
    </row>
    <row r="112" spans="1:1" x14ac:dyDescent="0.2">
      <c r="A112" s="1">
        <f t="shared" si="7"/>
        <v>112</v>
      </c>
    </row>
    <row r="113" spans="1:1" x14ac:dyDescent="0.2">
      <c r="A113" s="1">
        <f t="shared" si="7"/>
        <v>113</v>
      </c>
    </row>
    <row r="114" spans="1:1" x14ac:dyDescent="0.2">
      <c r="A114" s="1">
        <f t="shared" si="7"/>
        <v>114</v>
      </c>
    </row>
    <row r="115" spans="1:1" x14ac:dyDescent="0.2">
      <c r="A115" s="1">
        <f t="shared" si="7"/>
        <v>115</v>
      </c>
    </row>
    <row r="116" spans="1:1" x14ac:dyDescent="0.2">
      <c r="A116" s="1">
        <f t="shared" si="7"/>
        <v>116</v>
      </c>
    </row>
    <row r="117" spans="1:1" x14ac:dyDescent="0.2">
      <c r="A117" s="1">
        <f t="shared" si="7"/>
        <v>117</v>
      </c>
    </row>
    <row r="118" spans="1:1" x14ac:dyDescent="0.2">
      <c r="A118" s="1">
        <f t="shared" si="7"/>
        <v>118</v>
      </c>
    </row>
    <row r="119" spans="1:1" x14ac:dyDescent="0.2">
      <c r="A119" s="1">
        <f t="shared" si="7"/>
        <v>119</v>
      </c>
    </row>
    <row r="120" spans="1:1" x14ac:dyDescent="0.2">
      <c r="A120" s="1">
        <f t="shared" si="7"/>
        <v>120</v>
      </c>
    </row>
    <row r="121" spans="1:1" x14ac:dyDescent="0.2">
      <c r="A121" s="1">
        <f t="shared" si="7"/>
        <v>121</v>
      </c>
    </row>
    <row r="122" spans="1:1" x14ac:dyDescent="0.2">
      <c r="A122" s="1">
        <f t="shared" si="7"/>
        <v>122</v>
      </c>
    </row>
    <row r="123" spans="1:1" x14ac:dyDescent="0.2">
      <c r="A123" s="1">
        <f t="shared" si="7"/>
        <v>123</v>
      </c>
    </row>
    <row r="124" spans="1:1" x14ac:dyDescent="0.2">
      <c r="A124" s="1">
        <f t="shared" si="7"/>
        <v>124</v>
      </c>
    </row>
    <row r="125" spans="1:1" x14ac:dyDescent="0.2">
      <c r="A125" s="1">
        <f t="shared" si="7"/>
        <v>125</v>
      </c>
    </row>
    <row r="126" spans="1:1" x14ac:dyDescent="0.2">
      <c r="A126" s="1">
        <f t="shared" si="7"/>
        <v>126</v>
      </c>
    </row>
    <row r="127" spans="1:1" x14ac:dyDescent="0.2">
      <c r="A127" s="1">
        <f t="shared" si="7"/>
        <v>127</v>
      </c>
    </row>
    <row r="128" spans="1:1" x14ac:dyDescent="0.2">
      <c r="A128" s="1">
        <f t="shared" si="7"/>
        <v>128</v>
      </c>
    </row>
    <row r="129" spans="1:4" x14ac:dyDescent="0.2">
      <c r="A129" s="1">
        <f t="shared" si="7"/>
        <v>129</v>
      </c>
    </row>
    <row r="130" spans="1:4" x14ac:dyDescent="0.2">
      <c r="A130" s="1">
        <f t="shared" si="7"/>
        <v>130</v>
      </c>
    </row>
    <row r="131" spans="1:4" x14ac:dyDescent="0.2">
      <c r="A131" s="1">
        <f t="shared" ref="A131:A135" si="8">A130+1</f>
        <v>131</v>
      </c>
    </row>
    <row r="132" spans="1:4" x14ac:dyDescent="0.2">
      <c r="A132" s="1">
        <f t="shared" si="8"/>
        <v>132</v>
      </c>
    </row>
    <row r="133" spans="1:4" x14ac:dyDescent="0.2">
      <c r="A133" s="1">
        <f t="shared" si="8"/>
        <v>133</v>
      </c>
    </row>
    <row r="134" spans="1:4" x14ac:dyDescent="0.2">
      <c r="A134" s="1">
        <f t="shared" si="8"/>
        <v>134</v>
      </c>
    </row>
    <row r="135" spans="1:4" x14ac:dyDescent="0.2">
      <c r="A135" s="1">
        <f t="shared" si="8"/>
        <v>135</v>
      </c>
      <c r="D135" s="10"/>
    </row>
  </sheetData>
  <mergeCells count="6">
    <mergeCell ref="J11:K11"/>
    <mergeCell ref="C3:N3"/>
    <mergeCell ref="C4:N4"/>
    <mergeCell ref="D10:G10"/>
    <mergeCell ref="H10:K10"/>
    <mergeCell ref="L10:O10"/>
  </mergeCells>
  <pageMargins left="0.7" right="0.7" top="0.75" bottom="0.75" header="0.3" footer="0.3"/>
  <pageSetup orientation="portrait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9FB0E-95AC-4171-9D20-E4ADF1828594}">
  <dimension ref="A1:O135"/>
  <sheetViews>
    <sheetView zoomScale="80" zoomScaleNormal="80" workbookViewId="0">
      <selection activeCell="M56" sqref="M56"/>
    </sheetView>
  </sheetViews>
  <sheetFormatPr defaultColWidth="15.625" defaultRowHeight="14.25" x14ac:dyDescent="0.2"/>
  <cols>
    <col min="1" max="1" width="4.625" customWidth="1"/>
    <col min="3" max="3" width="76.375" bestFit="1" customWidth="1"/>
  </cols>
  <sheetData>
    <row r="1" spans="1:15" ht="15" x14ac:dyDescent="0.25">
      <c r="A1" s="1">
        <v>1</v>
      </c>
      <c r="O1" s="34" t="s">
        <v>176</v>
      </c>
    </row>
    <row r="2" spans="1:15" ht="15" x14ac:dyDescent="0.25">
      <c r="A2" s="1">
        <f>A1+1</f>
        <v>2</v>
      </c>
      <c r="O2" s="34" t="s">
        <v>197</v>
      </c>
    </row>
    <row r="3" spans="1:15" ht="15" x14ac:dyDescent="0.25">
      <c r="A3" s="1">
        <f t="shared" ref="A3:A66" si="0">A2+1</f>
        <v>3</v>
      </c>
      <c r="C3" s="45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15" x14ac:dyDescent="0.25">
      <c r="A4" s="1">
        <f t="shared" si="0"/>
        <v>4</v>
      </c>
      <c r="C4" s="45" t="s">
        <v>181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x14ac:dyDescent="0.2">
      <c r="A5" s="1">
        <f t="shared" si="0"/>
        <v>5</v>
      </c>
    </row>
    <row r="6" spans="1:15" x14ac:dyDescent="0.2">
      <c r="A6" s="1">
        <f t="shared" si="0"/>
        <v>6</v>
      </c>
    </row>
    <row r="7" spans="1:15" x14ac:dyDescent="0.2">
      <c r="A7" s="1">
        <f t="shared" si="0"/>
        <v>7</v>
      </c>
      <c r="B7" s="26" t="s">
        <v>56</v>
      </c>
    </row>
    <row r="8" spans="1:15" x14ac:dyDescent="0.2">
      <c r="A8" s="1">
        <f t="shared" si="0"/>
        <v>8</v>
      </c>
      <c r="I8" s="14"/>
    </row>
    <row r="9" spans="1:15" x14ac:dyDescent="0.2">
      <c r="A9" s="1">
        <f t="shared" si="0"/>
        <v>9</v>
      </c>
      <c r="B9" s="4" t="s">
        <v>57</v>
      </c>
    </row>
    <row r="10" spans="1:15" x14ac:dyDescent="0.2">
      <c r="A10" s="1">
        <f t="shared" si="0"/>
        <v>10</v>
      </c>
      <c r="D10" s="42" t="s">
        <v>125</v>
      </c>
      <c r="E10" s="43"/>
      <c r="F10" s="43"/>
      <c r="G10" s="44"/>
      <c r="H10" s="42" t="s">
        <v>126</v>
      </c>
      <c r="I10" s="43"/>
      <c r="J10" s="43"/>
      <c r="K10" s="44"/>
      <c r="L10" s="42" t="s">
        <v>127</v>
      </c>
      <c r="M10" s="43"/>
      <c r="N10" s="43"/>
      <c r="O10" s="44"/>
    </row>
    <row r="11" spans="1:15" x14ac:dyDescent="0.2">
      <c r="A11" s="1">
        <f t="shared" si="0"/>
        <v>11</v>
      </c>
      <c r="B11" s="3" t="s">
        <v>61</v>
      </c>
      <c r="C11" s="3"/>
      <c r="D11" s="3" t="s">
        <v>62</v>
      </c>
      <c r="E11" s="3" t="s">
        <v>63</v>
      </c>
      <c r="F11" s="3" t="s">
        <v>64</v>
      </c>
      <c r="G11" s="3"/>
      <c r="H11" s="6" t="s">
        <v>65</v>
      </c>
      <c r="I11" s="3" t="s">
        <v>65</v>
      </c>
      <c r="J11" s="46" t="s">
        <v>66</v>
      </c>
      <c r="K11" s="47"/>
      <c r="L11" s="3" t="s">
        <v>62</v>
      </c>
      <c r="M11" s="3" t="s">
        <v>63</v>
      </c>
      <c r="N11" s="3" t="s">
        <v>64</v>
      </c>
      <c r="O11" s="3"/>
    </row>
    <row r="12" spans="1:15" ht="15" thickBot="1" x14ac:dyDescent="0.25">
      <c r="A12" s="1">
        <f t="shared" si="0"/>
        <v>12</v>
      </c>
      <c r="B12" s="5" t="s">
        <v>67</v>
      </c>
      <c r="C12" s="5" t="s">
        <v>68</v>
      </c>
      <c r="D12" s="5" t="s">
        <v>69</v>
      </c>
      <c r="E12" s="5" t="s">
        <v>70</v>
      </c>
      <c r="F12" s="5" t="s">
        <v>69</v>
      </c>
      <c r="G12" s="5" t="s">
        <v>71</v>
      </c>
      <c r="H12" s="7" t="s">
        <v>72</v>
      </c>
      <c r="I12" s="5" t="s">
        <v>73</v>
      </c>
      <c r="J12" s="9" t="s">
        <v>74</v>
      </c>
      <c r="K12" s="8" t="s">
        <v>75</v>
      </c>
      <c r="L12" s="5" t="s">
        <v>69</v>
      </c>
      <c r="M12" s="5" t="s">
        <v>70</v>
      </c>
      <c r="N12" s="5" t="s">
        <v>69</v>
      </c>
      <c r="O12" s="5" t="s">
        <v>71</v>
      </c>
    </row>
    <row r="13" spans="1:15" x14ac:dyDescent="0.2">
      <c r="A13" s="1">
        <f t="shared" si="0"/>
        <v>13</v>
      </c>
    </row>
    <row r="14" spans="1:15" x14ac:dyDescent="0.2">
      <c r="A14" s="1">
        <f t="shared" si="0"/>
        <v>14</v>
      </c>
      <c r="B14" s="3" t="s">
        <v>76</v>
      </c>
      <c r="C14" s="40" t="s">
        <v>77</v>
      </c>
      <c r="D14" s="10">
        <v>3163572.48</v>
      </c>
      <c r="E14" s="10">
        <v>250784.52</v>
      </c>
      <c r="F14" s="10">
        <f>D14-E14</f>
        <v>2912787.96</v>
      </c>
      <c r="G14" s="10">
        <v>0</v>
      </c>
      <c r="H14" s="10">
        <f>ROUND(F14*$J$59,0)</f>
        <v>4369</v>
      </c>
      <c r="I14" s="10">
        <f>ROUND(F14*$J$63,0)</f>
        <v>4952</v>
      </c>
      <c r="J14" s="10">
        <f>E14/12</f>
        <v>20898.71</v>
      </c>
      <c r="K14" s="10">
        <f>ROUND(J14*12,0)</f>
        <v>250785</v>
      </c>
      <c r="L14" s="10">
        <f>D14</f>
        <v>3163572.48</v>
      </c>
      <c r="M14" s="10">
        <f>E14+K14</f>
        <v>501569.52</v>
      </c>
      <c r="N14" s="10">
        <f>L14-M14</f>
        <v>2662002.96</v>
      </c>
      <c r="O14" s="10">
        <v>0</v>
      </c>
    </row>
    <row r="15" spans="1:15" x14ac:dyDescent="0.2">
      <c r="A15" s="1">
        <f t="shared" si="0"/>
        <v>15</v>
      </c>
    </row>
    <row r="16" spans="1:15" x14ac:dyDescent="0.2">
      <c r="A16" s="1">
        <f t="shared" si="0"/>
        <v>16</v>
      </c>
      <c r="B16" s="3">
        <v>42</v>
      </c>
      <c r="C16" t="s">
        <v>78</v>
      </c>
      <c r="D16" s="10">
        <v>0</v>
      </c>
      <c r="E16" s="10">
        <v>0</v>
      </c>
      <c r="F16" s="10">
        <f>D16-E16</f>
        <v>0</v>
      </c>
      <c r="G16" s="10">
        <v>0</v>
      </c>
      <c r="H16" s="10">
        <f>ROUND(F16*$J$59,0)</f>
        <v>0</v>
      </c>
      <c r="I16" s="10">
        <f>ROUND(F16*$J$63,0)</f>
        <v>0</v>
      </c>
      <c r="J16" s="10">
        <v>0</v>
      </c>
      <c r="K16" s="10">
        <f>ROUND(J16*12,0)</f>
        <v>0</v>
      </c>
      <c r="L16" s="10">
        <f>D16</f>
        <v>0</v>
      </c>
      <c r="M16" s="10">
        <f>E16+K16</f>
        <v>0</v>
      </c>
      <c r="N16" s="10">
        <f>L16-M16</f>
        <v>0</v>
      </c>
      <c r="O16" s="10">
        <v>0</v>
      </c>
    </row>
    <row r="17" spans="1:15" x14ac:dyDescent="0.2">
      <c r="A17" s="1">
        <f t="shared" si="0"/>
        <v>17</v>
      </c>
    </row>
    <row r="18" spans="1:15" x14ac:dyDescent="0.2">
      <c r="A18" s="1">
        <f t="shared" si="0"/>
        <v>18</v>
      </c>
      <c r="B18" s="3">
        <v>43</v>
      </c>
      <c r="C18" t="s">
        <v>79</v>
      </c>
      <c r="D18" s="10">
        <v>0</v>
      </c>
      <c r="E18" s="10">
        <v>0</v>
      </c>
      <c r="F18" s="10">
        <f>D18-E18</f>
        <v>0</v>
      </c>
      <c r="G18" s="10">
        <v>0</v>
      </c>
      <c r="H18" s="10">
        <f>ROUND(F18*$J$59,0)</f>
        <v>0</v>
      </c>
      <c r="I18" s="10">
        <f>ROUND(F18*$J$63,0)</f>
        <v>0</v>
      </c>
      <c r="J18" s="10">
        <v>0</v>
      </c>
      <c r="K18" s="10">
        <f>ROUND(J18*12,0)</f>
        <v>0</v>
      </c>
      <c r="L18" s="10">
        <f>D18</f>
        <v>0</v>
      </c>
      <c r="M18" s="10">
        <f>E18+K18</f>
        <v>0</v>
      </c>
      <c r="N18" s="10">
        <f>L18-M18</f>
        <v>0</v>
      </c>
      <c r="O18" s="10">
        <v>0</v>
      </c>
    </row>
    <row r="19" spans="1:15" x14ac:dyDescent="0.2">
      <c r="A19" s="1">
        <f t="shared" si="0"/>
        <v>19</v>
      </c>
    </row>
    <row r="20" spans="1:15" x14ac:dyDescent="0.2">
      <c r="A20" s="1">
        <f t="shared" si="0"/>
        <v>20</v>
      </c>
      <c r="B20" s="3">
        <v>44</v>
      </c>
      <c r="C20" s="40" t="s">
        <v>80</v>
      </c>
      <c r="D20" s="10">
        <v>1797301.43</v>
      </c>
      <c r="E20" s="10">
        <v>489729.57</v>
      </c>
      <c r="F20" s="10">
        <f>D20-E20</f>
        <v>1307571.8599999999</v>
      </c>
      <c r="G20" s="10">
        <v>0</v>
      </c>
      <c r="H20" s="10">
        <f>ROUND(F20*$J$59,0)</f>
        <v>1961</v>
      </c>
      <c r="I20" s="10">
        <f>ROUND(F20*$J$63,0)</f>
        <v>2223</v>
      </c>
      <c r="J20" s="10">
        <v>14764</v>
      </c>
      <c r="K20" s="10">
        <f>ROUND(J20*12,0)</f>
        <v>177168</v>
      </c>
      <c r="L20" s="10">
        <f>D20</f>
        <v>1797301.43</v>
      </c>
      <c r="M20" s="10">
        <f>E20+K20</f>
        <v>666897.57000000007</v>
      </c>
      <c r="N20" s="10">
        <f>L20-M20</f>
        <v>1130403.8599999999</v>
      </c>
      <c r="O20" s="10">
        <v>0</v>
      </c>
    </row>
    <row r="21" spans="1:15" x14ac:dyDescent="0.2">
      <c r="A21" s="1">
        <f t="shared" si="0"/>
        <v>21</v>
      </c>
    </row>
    <row r="22" spans="1:15" x14ac:dyDescent="0.2">
      <c r="A22" s="1">
        <f t="shared" si="0"/>
        <v>22</v>
      </c>
      <c r="B22" s="3">
        <v>45</v>
      </c>
      <c r="C22" s="40" t="s">
        <v>81</v>
      </c>
      <c r="D22" s="10">
        <v>1323045.33</v>
      </c>
      <c r="E22" s="10">
        <v>204426.67</v>
      </c>
      <c r="F22" s="10">
        <f>D22-E22</f>
        <v>1118618.6600000001</v>
      </c>
      <c r="G22" s="10">
        <v>0</v>
      </c>
      <c r="H22" s="10">
        <f>ROUND(F22*$J$62,0)</f>
        <v>7864</v>
      </c>
      <c r="I22" s="10">
        <f>ROUND(F22*$J$63,0)</f>
        <v>1902</v>
      </c>
      <c r="J22" s="10">
        <v>1199</v>
      </c>
      <c r="K22" s="10">
        <f>ROUND(J22*12,0)</f>
        <v>14388</v>
      </c>
      <c r="L22" s="10">
        <f>D22</f>
        <v>1323045.33</v>
      </c>
      <c r="M22" s="10">
        <f>E22+K22</f>
        <v>218814.67</v>
      </c>
      <c r="N22" s="10">
        <f>L22-M22</f>
        <v>1104230.6600000001</v>
      </c>
      <c r="O22" s="10">
        <v>0</v>
      </c>
    </row>
    <row r="23" spans="1:15" x14ac:dyDescent="0.2">
      <c r="A23" s="1">
        <f t="shared" si="0"/>
        <v>23</v>
      </c>
    </row>
    <row r="24" spans="1:15" x14ac:dyDescent="0.2">
      <c r="A24" s="1">
        <f t="shared" si="0"/>
        <v>24</v>
      </c>
      <c r="B24" s="3">
        <v>46</v>
      </c>
      <c r="C24" s="40" t="s">
        <v>82</v>
      </c>
      <c r="D24" s="10">
        <v>1157888.6399999999</v>
      </c>
      <c r="E24" s="10">
        <v>138255.35999999999</v>
      </c>
      <c r="F24" s="10">
        <f>D24-E24</f>
        <v>1019633.2799999999</v>
      </c>
      <c r="G24" s="10">
        <v>0</v>
      </c>
      <c r="H24" s="10">
        <f>ROUND(F24*$J$60,0)</f>
        <v>11440</v>
      </c>
      <c r="I24" s="10">
        <v>0</v>
      </c>
      <c r="J24" s="10">
        <v>14362</v>
      </c>
      <c r="K24" s="10">
        <f>ROUND(J24*12,0)</f>
        <v>172344</v>
      </c>
      <c r="L24" s="10">
        <f>D24</f>
        <v>1157888.6399999999</v>
      </c>
      <c r="M24" s="10">
        <f>E24+K24</f>
        <v>310599.36</v>
      </c>
      <c r="N24" s="10">
        <f>L24-M24</f>
        <v>847289.27999999991</v>
      </c>
      <c r="O24" s="10">
        <v>0</v>
      </c>
    </row>
    <row r="25" spans="1:15" x14ac:dyDescent="0.2">
      <c r="A25" s="1">
        <f t="shared" si="0"/>
        <v>25</v>
      </c>
    </row>
    <row r="26" spans="1:15" x14ac:dyDescent="0.2">
      <c r="A26" s="1">
        <f t="shared" si="0"/>
        <v>26</v>
      </c>
      <c r="B26" s="3">
        <v>47</v>
      </c>
      <c r="C26" s="40" t="s">
        <v>83</v>
      </c>
      <c r="D26" s="10">
        <v>1142364.3400000001</v>
      </c>
      <c r="E26" s="10">
        <v>122455.66</v>
      </c>
      <c r="F26" s="10">
        <f>D26-E26</f>
        <v>1019908.68</v>
      </c>
      <c r="G26" s="10">
        <v>0</v>
      </c>
      <c r="H26" s="10">
        <f>ROUND(F26*$J$61,0)</f>
        <v>8805</v>
      </c>
      <c r="I26" s="10">
        <f>ROUND(F26*$J$63,0)</f>
        <v>1734</v>
      </c>
      <c r="J26" s="10">
        <v>640</v>
      </c>
      <c r="K26" s="10">
        <f>ROUND(J26*12,0)</f>
        <v>7680</v>
      </c>
      <c r="L26" s="10">
        <f>D26</f>
        <v>1142364.3400000001</v>
      </c>
      <c r="M26" s="10">
        <f>E26+K26</f>
        <v>130135.66</v>
      </c>
      <c r="N26" s="10">
        <f>L26-M26</f>
        <v>1012228.68</v>
      </c>
      <c r="O26" s="10">
        <v>0</v>
      </c>
    </row>
    <row r="27" spans="1:15" x14ac:dyDescent="0.2">
      <c r="A27" s="1">
        <f t="shared" si="0"/>
        <v>27</v>
      </c>
    </row>
    <row r="28" spans="1:15" x14ac:dyDescent="0.2">
      <c r="A28" s="1">
        <f t="shared" si="0"/>
        <v>28</v>
      </c>
      <c r="B28" s="3">
        <v>48</v>
      </c>
      <c r="C28" s="40" t="s">
        <v>84</v>
      </c>
      <c r="D28" s="10">
        <v>752793.75</v>
      </c>
      <c r="E28" s="10">
        <v>57206.25</v>
      </c>
      <c r="F28" s="10">
        <f>D28-E28</f>
        <v>695587.5</v>
      </c>
      <c r="G28" s="10">
        <v>0</v>
      </c>
      <c r="H28" s="10">
        <f>ROUND(F28*$J$59,0)</f>
        <v>1043</v>
      </c>
      <c r="I28" s="10">
        <f>ROUND(F28*$J$63,0)</f>
        <v>1182</v>
      </c>
      <c r="J28" s="10">
        <f>ROUND((D28*0.0316)/12,0)</f>
        <v>1982</v>
      </c>
      <c r="K28" s="10">
        <f>ROUND(J28*12,0)</f>
        <v>23784</v>
      </c>
      <c r="L28" s="10">
        <f>D28</f>
        <v>752793.75</v>
      </c>
      <c r="M28" s="10">
        <f>E28+K28</f>
        <v>80990.25</v>
      </c>
      <c r="N28" s="10">
        <f>L28-M28</f>
        <v>671803.5</v>
      </c>
      <c r="O28" s="10">
        <v>0</v>
      </c>
    </row>
    <row r="29" spans="1:15" x14ac:dyDescent="0.2">
      <c r="A29" s="1">
        <f t="shared" si="0"/>
        <v>29</v>
      </c>
    </row>
    <row r="30" spans="1:15" x14ac:dyDescent="0.2">
      <c r="A30" s="1">
        <f t="shared" si="0"/>
        <v>30</v>
      </c>
      <c r="B30" s="3">
        <v>49</v>
      </c>
      <c r="C30" s="40" t="s">
        <v>85</v>
      </c>
      <c r="D30" s="10">
        <v>950574.85</v>
      </c>
      <c r="E30" s="10">
        <v>118868.64</v>
      </c>
      <c r="F30" s="10">
        <f>D30-E30</f>
        <v>831706.21</v>
      </c>
      <c r="G30" s="10">
        <v>0</v>
      </c>
      <c r="H30" s="10">
        <f>ROUND(F30*$J$62,0)</f>
        <v>5847</v>
      </c>
      <c r="I30" s="10">
        <f>ROUND(F30*$J$63,0)</f>
        <v>1414</v>
      </c>
      <c r="J30" s="10">
        <v>62</v>
      </c>
      <c r="K30" s="10">
        <f>ROUND(J30*12,0)</f>
        <v>744</v>
      </c>
      <c r="L30" s="10">
        <f>D30</f>
        <v>950574.85</v>
      </c>
      <c r="M30" s="10">
        <f>E30+K30</f>
        <v>119612.64</v>
      </c>
      <c r="N30" s="10">
        <f>L30-M30</f>
        <v>830962.21</v>
      </c>
      <c r="O30" s="10">
        <v>0</v>
      </c>
    </row>
    <row r="31" spans="1:15" x14ac:dyDescent="0.2">
      <c r="A31" s="1">
        <f t="shared" si="0"/>
        <v>31</v>
      </c>
    </row>
    <row r="32" spans="1:15" x14ac:dyDescent="0.2">
      <c r="A32" s="1">
        <f t="shared" si="0"/>
        <v>32</v>
      </c>
      <c r="B32" s="3">
        <v>50</v>
      </c>
      <c r="C32" s="40" t="s">
        <v>86</v>
      </c>
      <c r="D32" s="10">
        <v>1022173.13</v>
      </c>
      <c r="E32" s="10">
        <v>106302.39</v>
      </c>
      <c r="F32" s="10">
        <f>D32-E32</f>
        <v>915870.74</v>
      </c>
      <c r="G32" s="10">
        <v>0</v>
      </c>
      <c r="H32" s="10">
        <f>ROUND(F32*$J$59,0)</f>
        <v>1374</v>
      </c>
      <c r="I32" s="10">
        <f>ROUND(F32*$J$63,0)</f>
        <v>1557</v>
      </c>
      <c r="J32" s="10">
        <v>655</v>
      </c>
      <c r="K32" s="10">
        <f>ROUND(J32*12,0)</f>
        <v>7860</v>
      </c>
      <c r="L32" s="10">
        <f>D32</f>
        <v>1022173.13</v>
      </c>
      <c r="M32" s="10">
        <f>E32+K32</f>
        <v>114162.39</v>
      </c>
      <c r="N32" s="10">
        <f>L32-M32</f>
        <v>908010.74</v>
      </c>
      <c r="O32" s="10">
        <v>0</v>
      </c>
    </row>
    <row r="33" spans="1:15" x14ac:dyDescent="0.2">
      <c r="A33" s="1">
        <f t="shared" si="0"/>
        <v>33</v>
      </c>
      <c r="B33" s="3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2">
      <c r="A34" s="1">
        <f t="shared" si="0"/>
        <v>34</v>
      </c>
      <c r="B34" s="3">
        <v>51</v>
      </c>
      <c r="C34" s="40" t="s">
        <v>87</v>
      </c>
      <c r="D34" s="10">
        <v>490199.56</v>
      </c>
      <c r="E34" s="10">
        <v>203675.44</v>
      </c>
      <c r="F34" s="10">
        <f>D34-E34</f>
        <v>286524.12</v>
      </c>
      <c r="G34" s="10">
        <v>0</v>
      </c>
      <c r="H34" s="10">
        <f>ROUND(F34*$J$59,0)</f>
        <v>430</v>
      </c>
      <c r="I34" s="10">
        <f>ROUND(F34*$J$63,0)</f>
        <v>487</v>
      </c>
      <c r="J34" s="10">
        <f>ROUND((D34*0.0316)/12,0)</f>
        <v>1291</v>
      </c>
      <c r="K34" s="10">
        <f>ROUND(J34*12,0)</f>
        <v>15492</v>
      </c>
      <c r="L34" s="10">
        <f>D34</f>
        <v>490199.56</v>
      </c>
      <c r="M34" s="10">
        <f>E34+K34</f>
        <v>219167.44</v>
      </c>
      <c r="N34" s="10">
        <f>L34-M34</f>
        <v>271032.12</v>
      </c>
      <c r="O34" s="10">
        <v>0</v>
      </c>
    </row>
    <row r="35" spans="1:15" x14ac:dyDescent="0.2">
      <c r="A35" s="1">
        <f t="shared" si="0"/>
        <v>35</v>
      </c>
      <c r="B35" s="3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">
      <c r="A36" s="1">
        <f t="shared" si="0"/>
        <v>36</v>
      </c>
      <c r="B36" s="3">
        <v>52</v>
      </c>
      <c r="C36" s="40" t="s">
        <v>88</v>
      </c>
      <c r="D36" s="10">
        <v>534119.42000000004</v>
      </c>
      <c r="E36" s="10">
        <v>76721.64</v>
      </c>
      <c r="F36" s="10">
        <f>D36-E36</f>
        <v>457397.78</v>
      </c>
      <c r="G36" s="10">
        <v>0</v>
      </c>
      <c r="H36" s="10">
        <f>ROUND(F36*$J$59,0)</f>
        <v>686</v>
      </c>
      <c r="I36" s="10">
        <f>ROUND(F36*$J$63,0)</f>
        <v>778</v>
      </c>
      <c r="J36" s="10">
        <v>903</v>
      </c>
      <c r="K36" s="10">
        <f>ROUND(J36*12,0)</f>
        <v>10836</v>
      </c>
      <c r="L36" s="10">
        <f>D36</f>
        <v>534119.42000000004</v>
      </c>
      <c r="M36" s="10">
        <f>E36+K36</f>
        <v>87557.64</v>
      </c>
      <c r="N36" s="10">
        <f>L36-M36</f>
        <v>446561.78</v>
      </c>
      <c r="O36" s="10">
        <v>0</v>
      </c>
    </row>
    <row r="37" spans="1:15" x14ac:dyDescent="0.2">
      <c r="A37" s="1">
        <f t="shared" si="0"/>
        <v>37</v>
      </c>
      <c r="B37" s="3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1">
        <f t="shared" si="0"/>
        <v>38</v>
      </c>
      <c r="B38" s="3">
        <v>53</v>
      </c>
      <c r="C38" s="40" t="s">
        <v>89</v>
      </c>
      <c r="D38" s="10">
        <v>304413.33</v>
      </c>
      <c r="E38" s="10">
        <v>35586.67</v>
      </c>
      <c r="F38" s="10">
        <f>D38-E38</f>
        <v>268826.66000000003</v>
      </c>
      <c r="G38" s="10">
        <v>0</v>
      </c>
      <c r="H38" s="10">
        <f>ROUND(F38*$J$59,0)</f>
        <v>403</v>
      </c>
      <c r="I38" s="10">
        <f>ROUND(F38*$J$63,0)</f>
        <v>457</v>
      </c>
      <c r="J38" s="10">
        <v>6925</v>
      </c>
      <c r="K38" s="10">
        <f>ROUND(J38*12,0)</f>
        <v>83100</v>
      </c>
      <c r="L38" s="10">
        <f>D38</f>
        <v>304413.33</v>
      </c>
      <c r="M38" s="10">
        <f>E38+K38</f>
        <v>118686.67</v>
      </c>
      <c r="N38" s="10">
        <f>L38-M38</f>
        <v>185726.66000000003</v>
      </c>
      <c r="O38" s="10">
        <v>0</v>
      </c>
    </row>
    <row r="39" spans="1:15" x14ac:dyDescent="0.2">
      <c r="A39" s="1">
        <f t="shared" si="0"/>
        <v>39</v>
      </c>
      <c r="B39" s="3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">
      <c r="A40" s="1">
        <f t="shared" si="0"/>
        <v>40</v>
      </c>
      <c r="B40" s="3">
        <v>54</v>
      </c>
      <c r="C40" s="40" t="s">
        <v>90</v>
      </c>
      <c r="D40" s="10">
        <v>241691.5</v>
      </c>
      <c r="E40" s="10">
        <v>68308.5</v>
      </c>
      <c r="F40" s="10">
        <f>D40-E40</f>
        <v>173383</v>
      </c>
      <c r="G40" s="10">
        <v>0</v>
      </c>
      <c r="H40" s="10">
        <f>ROUND(F40*$J$59,0)</f>
        <v>260</v>
      </c>
      <c r="I40" s="10">
        <f>ROUND(F40*$J$63,0)</f>
        <v>295</v>
      </c>
      <c r="J40" s="10">
        <v>2528</v>
      </c>
      <c r="K40" s="10">
        <f>ROUND(J40*12,0)</f>
        <v>30336</v>
      </c>
      <c r="L40" s="10">
        <f>D40</f>
        <v>241691.5</v>
      </c>
      <c r="M40" s="10">
        <f>E40+K40</f>
        <v>98644.5</v>
      </c>
      <c r="N40" s="10">
        <f>L40-M40</f>
        <v>143047</v>
      </c>
      <c r="O40" s="10">
        <v>0</v>
      </c>
    </row>
    <row r="41" spans="1:15" x14ac:dyDescent="0.2">
      <c r="A41" s="1">
        <f t="shared" si="0"/>
        <v>41</v>
      </c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">
      <c r="A42" s="1">
        <f t="shared" si="0"/>
        <v>42</v>
      </c>
      <c r="B42" s="3">
        <v>55</v>
      </c>
      <c r="C42" t="s">
        <v>91</v>
      </c>
      <c r="D42" s="10">
        <v>278020</v>
      </c>
      <c r="E42" s="10">
        <v>21980</v>
      </c>
      <c r="F42" s="10">
        <f>D42-E42</f>
        <v>256040</v>
      </c>
      <c r="G42" s="10">
        <v>0</v>
      </c>
      <c r="H42" s="10">
        <f>ROUND(F42*$J$59,0)</f>
        <v>384</v>
      </c>
      <c r="I42" s="10">
        <f>ROUND(F42*$J$63,0)</f>
        <v>435</v>
      </c>
      <c r="J42" s="10">
        <v>2530</v>
      </c>
      <c r="K42" s="10">
        <f t="shared" ref="K42" si="1">ROUND(J42*12,0)</f>
        <v>30360</v>
      </c>
      <c r="L42" s="10">
        <f t="shared" ref="L42" si="2">D42</f>
        <v>278020</v>
      </c>
      <c r="M42" s="10">
        <f t="shared" ref="M42" si="3">E42+K42</f>
        <v>52340</v>
      </c>
      <c r="N42" s="10">
        <f t="shared" ref="N42" si="4">L42-M42</f>
        <v>225680</v>
      </c>
      <c r="O42" s="10">
        <v>0</v>
      </c>
    </row>
    <row r="43" spans="1:15" x14ac:dyDescent="0.2">
      <c r="A43" s="1">
        <f t="shared" si="0"/>
        <v>43</v>
      </c>
      <c r="B43" s="3"/>
    </row>
    <row r="44" spans="1:15" x14ac:dyDescent="0.2">
      <c r="A44" s="1">
        <f t="shared" si="0"/>
        <v>44</v>
      </c>
      <c r="B44" s="3">
        <v>56</v>
      </c>
      <c r="C44" s="40" t="s">
        <v>92</v>
      </c>
      <c r="D44" s="10">
        <v>366581.1</v>
      </c>
      <c r="E44" s="10">
        <v>45840.68</v>
      </c>
      <c r="F44" s="10">
        <f>D44-E44</f>
        <v>320740.42</v>
      </c>
      <c r="G44" s="10">
        <v>0</v>
      </c>
      <c r="H44" s="10">
        <f>ROUND(F44*$J$59,0)</f>
        <v>481</v>
      </c>
      <c r="I44" s="10">
        <f>ROUND(F44*$J$63,0)</f>
        <v>545</v>
      </c>
      <c r="J44" s="10">
        <f>ROUND((D44*0.0314)/12,0)</f>
        <v>959</v>
      </c>
      <c r="K44" s="10">
        <f>ROUND(J44*12,0)</f>
        <v>11508</v>
      </c>
      <c r="L44" s="10">
        <f>D44</f>
        <v>366581.1</v>
      </c>
      <c r="M44" s="10">
        <f>E44+K44</f>
        <v>57348.68</v>
      </c>
      <c r="N44" s="10">
        <f>L44-M44</f>
        <v>309232.42</v>
      </c>
      <c r="O44" s="10">
        <v>0</v>
      </c>
    </row>
    <row r="45" spans="1:15" x14ac:dyDescent="0.2">
      <c r="A45" s="1">
        <f t="shared" si="0"/>
        <v>45</v>
      </c>
      <c r="B45" s="3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A46" s="1">
        <f t="shared" si="0"/>
        <v>46</v>
      </c>
      <c r="B46" s="3">
        <v>57</v>
      </c>
      <c r="C46" s="40" t="s">
        <v>93</v>
      </c>
      <c r="D46" s="10">
        <v>27736.66</v>
      </c>
      <c r="E46" s="10">
        <v>4079.34</v>
      </c>
      <c r="F46" s="10">
        <f>D46-E46</f>
        <v>23657.32</v>
      </c>
      <c r="G46" s="10">
        <v>0</v>
      </c>
      <c r="H46" s="10">
        <f>ROUND(F46*$J$59,0)</f>
        <v>35</v>
      </c>
      <c r="I46" s="10">
        <f>ROUND(F46*$J$63,0)</f>
        <v>40</v>
      </c>
      <c r="J46" s="10">
        <v>334</v>
      </c>
      <c r="K46" s="10">
        <f>ROUND(J46*12,0)</f>
        <v>4008</v>
      </c>
      <c r="L46" s="10">
        <f>D46</f>
        <v>27736.66</v>
      </c>
      <c r="M46" s="10">
        <f>E46+K46</f>
        <v>8087.34</v>
      </c>
      <c r="N46" s="10">
        <f>L46-M46</f>
        <v>19649.32</v>
      </c>
      <c r="O46" s="10">
        <v>0</v>
      </c>
    </row>
    <row r="47" spans="1:15" x14ac:dyDescent="0.2">
      <c r="A47" s="1">
        <f t="shared" si="0"/>
        <v>47</v>
      </c>
    </row>
    <row r="48" spans="1:15" x14ac:dyDescent="0.2">
      <c r="A48" s="1">
        <f t="shared" si="0"/>
        <v>48</v>
      </c>
      <c r="C48" t="s">
        <v>94</v>
      </c>
      <c r="D48" s="38">
        <f>SUM(D14:D46)</f>
        <v>13552475.520000001</v>
      </c>
      <c r="E48" s="38">
        <f>SUM(E14:E46)</f>
        <v>1944221.3299999996</v>
      </c>
      <c r="F48" s="38">
        <f>SUM(F14:F46)</f>
        <v>11608254.189999999</v>
      </c>
      <c r="G48" s="38">
        <f t="shared" ref="G48:O48" si="5">SUM(G14:G46)</f>
        <v>0</v>
      </c>
      <c r="H48" s="38">
        <f t="shared" si="5"/>
        <v>45382</v>
      </c>
      <c r="I48" s="38">
        <f t="shared" si="5"/>
        <v>18001</v>
      </c>
      <c r="J48" s="38">
        <f t="shared" si="5"/>
        <v>70032.709999999992</v>
      </c>
      <c r="K48" s="38">
        <f t="shared" si="5"/>
        <v>840393</v>
      </c>
      <c r="L48" s="38">
        <f t="shared" si="5"/>
        <v>13552475.520000001</v>
      </c>
      <c r="M48" s="38">
        <f t="shared" si="5"/>
        <v>2784614.33</v>
      </c>
      <c r="N48" s="38">
        <f t="shared" si="5"/>
        <v>10767861.189999999</v>
      </c>
      <c r="O48" s="38">
        <f t="shared" si="5"/>
        <v>0</v>
      </c>
    </row>
    <row r="49" spans="1:15" x14ac:dyDescent="0.2">
      <c r="A49" s="1">
        <f t="shared" si="0"/>
        <v>49</v>
      </c>
    </row>
    <row r="50" spans="1:15" x14ac:dyDescent="0.2">
      <c r="A50" s="1">
        <f t="shared" si="0"/>
        <v>50</v>
      </c>
    </row>
    <row r="51" spans="1:15" x14ac:dyDescent="0.2">
      <c r="A51" s="1">
        <f t="shared" si="0"/>
        <v>51</v>
      </c>
      <c r="B51" s="17" t="s">
        <v>189</v>
      </c>
      <c r="D51" s="10"/>
      <c r="E51" s="10"/>
      <c r="F51" s="10"/>
      <c r="G51" s="10"/>
      <c r="H51" s="27" t="s">
        <v>95</v>
      </c>
      <c r="I51" s="10"/>
      <c r="J51" s="10"/>
      <c r="K51" s="10"/>
      <c r="L51" s="10"/>
      <c r="M51" s="10"/>
    </row>
    <row r="52" spans="1:15" x14ac:dyDescent="0.2">
      <c r="A52" s="1">
        <f t="shared" si="0"/>
        <v>52</v>
      </c>
      <c r="B52" s="3"/>
      <c r="C52" t="s">
        <v>96</v>
      </c>
      <c r="D52" s="10">
        <f>L48</f>
        <v>13552475.520000001</v>
      </c>
      <c r="E52" s="10"/>
      <c r="F52" s="10"/>
      <c r="G52" s="10"/>
      <c r="H52" s="3">
        <v>58</v>
      </c>
      <c r="I52" t="s">
        <v>174</v>
      </c>
      <c r="J52" s="10"/>
      <c r="K52" s="10"/>
      <c r="L52" s="10"/>
      <c r="M52" s="10">
        <v>1338947</v>
      </c>
    </row>
    <row r="53" spans="1:15" x14ac:dyDescent="0.2">
      <c r="A53" s="1">
        <f t="shared" si="0"/>
        <v>53</v>
      </c>
      <c r="B53" s="3"/>
      <c r="C53" t="s">
        <v>71</v>
      </c>
      <c r="D53" s="15">
        <f>O48</f>
        <v>0</v>
      </c>
      <c r="E53" s="10"/>
      <c r="F53" s="10"/>
      <c r="G53" s="10"/>
      <c r="H53" s="3">
        <v>59</v>
      </c>
      <c r="I53" t="s">
        <v>175</v>
      </c>
      <c r="J53" s="10"/>
      <c r="K53" s="10"/>
      <c r="L53" s="10"/>
      <c r="M53" s="15">
        <v>403348</v>
      </c>
    </row>
    <row r="54" spans="1:15" x14ac:dyDescent="0.2">
      <c r="A54" s="1">
        <f t="shared" si="0"/>
        <v>54</v>
      </c>
      <c r="B54" s="3"/>
      <c r="C54" t="s">
        <v>97</v>
      </c>
      <c r="D54" s="10">
        <f>D52+D53</f>
        <v>13552475.520000001</v>
      </c>
      <c r="E54" s="10"/>
      <c r="F54" s="10"/>
      <c r="G54" s="10"/>
    </row>
    <row r="55" spans="1:15" ht="15" thickBot="1" x14ac:dyDescent="0.25">
      <c r="A55" s="1">
        <f t="shared" si="0"/>
        <v>55</v>
      </c>
      <c r="B55" s="3"/>
      <c r="C55" t="s">
        <v>98</v>
      </c>
      <c r="D55" s="10"/>
      <c r="E55" s="10"/>
      <c r="F55" s="10"/>
      <c r="G55" s="10"/>
      <c r="H55" s="10" t="s">
        <v>110</v>
      </c>
      <c r="I55" s="10"/>
      <c r="J55" s="10"/>
      <c r="K55" s="10"/>
      <c r="L55" s="10"/>
      <c r="M55" s="16">
        <f>SUM(M52:M53)</f>
        <v>1742295</v>
      </c>
    </row>
    <row r="56" spans="1:15" ht="15" thickTop="1" x14ac:dyDescent="0.2">
      <c r="A56" s="1">
        <f t="shared" si="0"/>
        <v>56</v>
      </c>
      <c r="C56" t="s">
        <v>99</v>
      </c>
      <c r="D56" s="10">
        <f>ROUND(D62*0.125,0)</f>
        <v>217787</v>
      </c>
      <c r="E56" s="10" t="s">
        <v>100</v>
      </c>
      <c r="F56" s="10"/>
      <c r="G56" s="10"/>
    </row>
    <row r="57" spans="1:15" x14ac:dyDescent="0.2">
      <c r="A57" s="1">
        <f t="shared" si="0"/>
        <v>57</v>
      </c>
      <c r="C57" t="s">
        <v>101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">
      <c r="A58" s="1">
        <f t="shared" si="0"/>
        <v>58</v>
      </c>
      <c r="C58" t="s">
        <v>102</v>
      </c>
      <c r="D58" s="15">
        <f>M48</f>
        <v>2784614.33</v>
      </c>
      <c r="E58" s="10"/>
      <c r="F58" s="10"/>
      <c r="G58" s="10"/>
    </row>
    <row r="59" spans="1:15" ht="15" thickBot="1" x14ac:dyDescent="0.25">
      <c r="A59" s="1">
        <f t="shared" si="0"/>
        <v>59</v>
      </c>
      <c r="C59" t="s">
        <v>103</v>
      </c>
      <c r="D59" s="18">
        <f>D54+D56-D58</f>
        <v>10985648.190000001</v>
      </c>
      <c r="E59" s="10"/>
      <c r="F59" s="10"/>
      <c r="G59" s="10"/>
      <c r="I59" s="11" t="s">
        <v>114</v>
      </c>
      <c r="J59" s="12">
        <v>1.5E-3</v>
      </c>
      <c r="K59" t="s">
        <v>115</v>
      </c>
      <c r="N59" s="10"/>
      <c r="O59" s="10"/>
    </row>
    <row r="60" spans="1:15" ht="15" thickTop="1" x14ac:dyDescent="0.2">
      <c r="A60" s="1">
        <f t="shared" si="0"/>
        <v>60</v>
      </c>
      <c r="D60" s="10"/>
      <c r="E60" s="10"/>
      <c r="F60" s="10"/>
      <c r="G60" s="10"/>
      <c r="J60" s="12">
        <v>1.1220000000000001E-2</v>
      </c>
      <c r="K60" t="s">
        <v>117</v>
      </c>
    </row>
    <row r="61" spans="1:15" x14ac:dyDescent="0.2">
      <c r="A61" s="1">
        <f t="shared" si="0"/>
        <v>61</v>
      </c>
      <c r="B61" s="4" t="s">
        <v>190</v>
      </c>
      <c r="D61" s="10"/>
      <c r="E61" s="10"/>
      <c r="F61" s="10"/>
      <c r="G61" s="10"/>
      <c r="J61" s="13">
        <v>8.633E-3</v>
      </c>
      <c r="K61" t="s">
        <v>119</v>
      </c>
      <c r="N61" s="10"/>
      <c r="O61" s="10"/>
    </row>
    <row r="62" spans="1:15" x14ac:dyDescent="0.2">
      <c r="A62" s="1">
        <f t="shared" si="0"/>
        <v>62</v>
      </c>
      <c r="C62" t="s">
        <v>104</v>
      </c>
      <c r="D62" s="10">
        <f>M55</f>
        <v>1742295</v>
      </c>
      <c r="E62" s="10"/>
      <c r="F62" s="10"/>
      <c r="G62" s="10"/>
      <c r="J62" s="14">
        <v>7.0299999999999998E-3</v>
      </c>
      <c r="K62" t="s">
        <v>121</v>
      </c>
    </row>
    <row r="63" spans="1:15" x14ac:dyDescent="0.2">
      <c r="A63" s="1">
        <f t="shared" si="0"/>
        <v>63</v>
      </c>
      <c r="C63" t="s">
        <v>105</v>
      </c>
      <c r="D63" s="10">
        <f>K48</f>
        <v>840393</v>
      </c>
      <c r="E63" s="10"/>
      <c r="F63" s="10"/>
      <c r="G63" s="10"/>
      <c r="I63" s="11" t="s">
        <v>123</v>
      </c>
      <c r="J63" s="12">
        <v>1.6999999999999999E-3</v>
      </c>
      <c r="N63" s="10"/>
      <c r="O63" s="10"/>
    </row>
    <row r="64" spans="1:15" x14ac:dyDescent="0.2">
      <c r="A64" s="1">
        <f t="shared" si="0"/>
        <v>64</v>
      </c>
      <c r="C64" t="s">
        <v>106</v>
      </c>
      <c r="D64" s="10">
        <f>H48</f>
        <v>45382</v>
      </c>
      <c r="E64" s="10"/>
      <c r="F64" s="10"/>
      <c r="G64" s="10"/>
      <c r="N64" s="10"/>
      <c r="O64" s="10"/>
    </row>
    <row r="65" spans="1:15" x14ac:dyDescent="0.2">
      <c r="A65" s="1">
        <f t="shared" si="0"/>
        <v>65</v>
      </c>
      <c r="C65" t="s">
        <v>107</v>
      </c>
      <c r="D65" s="15">
        <f>I48</f>
        <v>18001</v>
      </c>
      <c r="E65" s="10"/>
      <c r="F65" s="10"/>
      <c r="G65" s="10"/>
      <c r="N65" s="10"/>
      <c r="O65" s="10"/>
    </row>
    <row r="66" spans="1:15" ht="15" thickBot="1" x14ac:dyDescent="0.25">
      <c r="A66" s="1">
        <f t="shared" si="0"/>
        <v>66</v>
      </c>
      <c r="C66" t="s">
        <v>108</v>
      </c>
      <c r="D66" s="18">
        <f>SUM(D62:D65)</f>
        <v>2646071</v>
      </c>
      <c r="E66" s="10"/>
      <c r="F66" s="10"/>
      <c r="G66" s="10"/>
      <c r="N66" s="10"/>
      <c r="O66" s="10"/>
    </row>
    <row r="67" spans="1:15" ht="15" thickTop="1" x14ac:dyDescent="0.2">
      <c r="A67" s="1">
        <f t="shared" ref="A67:A130" si="6">A66+1</f>
        <v>67</v>
      </c>
      <c r="D67" s="10"/>
      <c r="E67" s="10"/>
      <c r="F67" s="10"/>
      <c r="G67" s="10"/>
      <c r="N67" s="10"/>
      <c r="O67" s="10"/>
    </row>
    <row r="68" spans="1:15" x14ac:dyDescent="0.2">
      <c r="A68" s="1">
        <f t="shared" si="6"/>
        <v>68</v>
      </c>
      <c r="B68" s="4" t="s">
        <v>191</v>
      </c>
      <c r="D68" s="10"/>
      <c r="E68" s="10"/>
      <c r="F68" s="10"/>
      <c r="G68" s="10"/>
      <c r="N68" s="10"/>
      <c r="O68" s="10"/>
    </row>
    <row r="69" spans="1:15" x14ac:dyDescent="0.2">
      <c r="A69" s="1">
        <f t="shared" si="6"/>
        <v>69</v>
      </c>
      <c r="C69" t="s">
        <v>103</v>
      </c>
      <c r="D69" s="10">
        <f>D59</f>
        <v>10985648.190000001</v>
      </c>
      <c r="F69" s="10"/>
      <c r="G69" s="10"/>
      <c r="H69" s="3"/>
      <c r="I69" s="10"/>
      <c r="J69" s="10"/>
      <c r="K69" s="10"/>
      <c r="L69" s="10"/>
      <c r="N69" s="10"/>
      <c r="O69" s="10"/>
    </row>
    <row r="70" spans="1:15" x14ac:dyDescent="0.2">
      <c r="A70" s="1">
        <f t="shared" si="6"/>
        <v>70</v>
      </c>
      <c r="C70" t="s">
        <v>109</v>
      </c>
      <c r="D70" s="19">
        <f>'Proposed - YE 2025'!D70</f>
        <v>6.4860000000000001E-2</v>
      </c>
      <c r="F70" s="10"/>
      <c r="G70" s="10"/>
      <c r="N70" s="10"/>
      <c r="O70" s="10"/>
    </row>
    <row r="71" spans="1:15" x14ac:dyDescent="0.2">
      <c r="A71" s="1">
        <f t="shared" si="6"/>
        <v>71</v>
      </c>
      <c r="C71" t="s">
        <v>111</v>
      </c>
      <c r="D71" s="10">
        <f>ROUND(D69*D70,0)</f>
        <v>712529</v>
      </c>
      <c r="F71" s="10"/>
      <c r="G71" s="10"/>
      <c r="N71" s="10"/>
      <c r="O71" s="10"/>
    </row>
    <row r="72" spans="1:15" x14ac:dyDescent="0.2">
      <c r="A72" s="1">
        <f t="shared" si="6"/>
        <v>72</v>
      </c>
      <c r="C72" t="s">
        <v>112</v>
      </c>
      <c r="D72" s="15">
        <f>D66</f>
        <v>2646071</v>
      </c>
      <c r="E72" s="10"/>
      <c r="G72" s="10"/>
      <c r="N72" s="10"/>
      <c r="O72" s="10"/>
    </row>
    <row r="73" spans="1:15" x14ac:dyDescent="0.2">
      <c r="A73" s="1">
        <f t="shared" si="6"/>
        <v>73</v>
      </c>
      <c r="C73" t="s">
        <v>113</v>
      </c>
      <c r="D73" s="10">
        <f>D71+D72</f>
        <v>3358600</v>
      </c>
      <c r="E73" s="10"/>
      <c r="G73" s="10"/>
      <c r="N73" s="10"/>
      <c r="O73" s="10"/>
    </row>
    <row r="74" spans="1:15" x14ac:dyDescent="0.2">
      <c r="A74" s="1">
        <f t="shared" si="6"/>
        <v>74</v>
      </c>
      <c r="C74" t="s">
        <v>195</v>
      </c>
      <c r="D74" s="20">
        <v>0.99009999999999998</v>
      </c>
      <c r="E74" s="10"/>
      <c r="G74" s="10"/>
      <c r="N74" s="10"/>
      <c r="O74" s="10"/>
    </row>
    <row r="75" spans="1:15" x14ac:dyDescent="0.2">
      <c r="A75" s="1">
        <f t="shared" si="6"/>
        <v>75</v>
      </c>
      <c r="C75" t="s">
        <v>116</v>
      </c>
      <c r="D75" s="10">
        <f>ROUND(D73*D74,0)</f>
        <v>3325350</v>
      </c>
      <c r="E75" s="10"/>
      <c r="G75" s="10"/>
      <c r="N75" s="10"/>
      <c r="O75" s="10"/>
    </row>
    <row r="76" spans="1:15" x14ac:dyDescent="0.2">
      <c r="A76" s="1">
        <f t="shared" si="6"/>
        <v>76</v>
      </c>
      <c r="B76" s="3"/>
      <c r="C76" t="s">
        <v>118</v>
      </c>
      <c r="D76" s="10"/>
      <c r="E76" s="10"/>
      <c r="F76" s="10"/>
      <c r="G76" s="10"/>
      <c r="N76" s="10"/>
      <c r="O76" s="10"/>
    </row>
    <row r="77" spans="1:15" x14ac:dyDescent="0.2">
      <c r="A77" s="1">
        <f t="shared" si="6"/>
        <v>77</v>
      </c>
      <c r="B77" s="3"/>
      <c r="C77" t="s">
        <v>120</v>
      </c>
      <c r="D77" s="15">
        <f>BESF!D36</f>
        <v>1249428</v>
      </c>
      <c r="E77" s="10"/>
      <c r="F77" s="10"/>
      <c r="G77" s="10"/>
      <c r="N77" s="10"/>
      <c r="O77" s="10"/>
    </row>
    <row r="78" spans="1:15" ht="15" thickBot="1" x14ac:dyDescent="0.25">
      <c r="A78" s="1">
        <f t="shared" si="6"/>
        <v>78</v>
      </c>
      <c r="B78" s="3"/>
      <c r="C78" s="28" t="s">
        <v>122</v>
      </c>
      <c r="D78" s="18">
        <f>D75-D77</f>
        <v>2075922</v>
      </c>
      <c r="E78" s="10"/>
      <c r="F78" s="10"/>
      <c r="G78" s="10"/>
      <c r="N78" s="10"/>
      <c r="O78" s="10"/>
    </row>
    <row r="79" spans="1:15" ht="15" thickTop="1" x14ac:dyDescent="0.2">
      <c r="A79" s="1">
        <f t="shared" si="6"/>
        <v>79</v>
      </c>
      <c r="N79" s="10"/>
      <c r="O79" s="10"/>
    </row>
    <row r="80" spans="1:15" x14ac:dyDescent="0.2">
      <c r="A80" s="1">
        <f t="shared" si="6"/>
        <v>80</v>
      </c>
      <c r="N80" s="10"/>
      <c r="O80" s="10"/>
    </row>
    <row r="81" spans="1:15" x14ac:dyDescent="0.2">
      <c r="A81" s="1">
        <f t="shared" si="6"/>
        <v>81</v>
      </c>
      <c r="N81" s="10"/>
      <c r="O81" s="10"/>
    </row>
    <row r="82" spans="1:15" x14ac:dyDescent="0.2">
      <c r="A82" s="1">
        <f t="shared" si="6"/>
        <v>82</v>
      </c>
      <c r="N82" s="10"/>
      <c r="O82" s="10"/>
    </row>
    <row r="83" spans="1:15" x14ac:dyDescent="0.2">
      <c r="A83" s="1">
        <f t="shared" si="6"/>
        <v>83</v>
      </c>
      <c r="N83" s="10"/>
      <c r="O83" s="10"/>
    </row>
    <row r="84" spans="1:15" x14ac:dyDescent="0.2">
      <c r="A84" s="1">
        <f t="shared" si="6"/>
        <v>84</v>
      </c>
      <c r="N84" s="10"/>
      <c r="O84" s="10"/>
    </row>
    <row r="85" spans="1:15" x14ac:dyDescent="0.2">
      <c r="A85" s="1">
        <f t="shared" si="6"/>
        <v>85</v>
      </c>
      <c r="N85" s="10"/>
      <c r="O85" s="10"/>
    </row>
    <row r="86" spans="1:15" x14ac:dyDescent="0.2">
      <c r="A86" s="1">
        <f t="shared" si="6"/>
        <v>86</v>
      </c>
      <c r="N86" s="10"/>
      <c r="O86" s="10"/>
    </row>
    <row r="87" spans="1:15" x14ac:dyDescent="0.2">
      <c r="A87" s="1">
        <f t="shared" si="6"/>
        <v>87</v>
      </c>
      <c r="N87" s="10"/>
      <c r="O87" s="10"/>
    </row>
    <row r="88" spans="1:15" x14ac:dyDescent="0.2">
      <c r="A88" s="1">
        <f t="shared" si="6"/>
        <v>88</v>
      </c>
      <c r="N88" s="10"/>
      <c r="O88" s="10"/>
    </row>
    <row r="89" spans="1:15" x14ac:dyDescent="0.2">
      <c r="A89" s="1">
        <f t="shared" si="6"/>
        <v>89</v>
      </c>
      <c r="N89" s="10"/>
      <c r="O89" s="10"/>
    </row>
    <row r="90" spans="1:15" x14ac:dyDescent="0.2">
      <c r="A90" s="1">
        <f t="shared" si="6"/>
        <v>90</v>
      </c>
      <c r="N90" s="10"/>
      <c r="O90" s="10"/>
    </row>
    <row r="91" spans="1:15" x14ac:dyDescent="0.2">
      <c r="A91" s="1">
        <f t="shared" si="6"/>
        <v>91</v>
      </c>
      <c r="N91" s="10"/>
      <c r="O91" s="10"/>
    </row>
    <row r="92" spans="1:15" x14ac:dyDescent="0.2">
      <c r="A92" s="1">
        <f t="shared" si="6"/>
        <v>92</v>
      </c>
      <c r="N92" s="10"/>
      <c r="O92" s="10"/>
    </row>
    <row r="93" spans="1:15" x14ac:dyDescent="0.2">
      <c r="A93" s="1">
        <f t="shared" si="6"/>
        <v>93</v>
      </c>
    </row>
    <row r="94" spans="1:15" x14ac:dyDescent="0.2">
      <c r="A94" s="1">
        <f t="shared" si="6"/>
        <v>94</v>
      </c>
    </row>
    <row r="95" spans="1:15" x14ac:dyDescent="0.2">
      <c r="A95" s="1">
        <f t="shared" si="6"/>
        <v>95</v>
      </c>
    </row>
    <row r="96" spans="1:15" x14ac:dyDescent="0.2">
      <c r="A96" s="1">
        <f t="shared" si="6"/>
        <v>96</v>
      </c>
    </row>
    <row r="97" spans="1:1" x14ac:dyDescent="0.2">
      <c r="A97" s="1">
        <f t="shared" si="6"/>
        <v>97</v>
      </c>
    </row>
    <row r="98" spans="1:1" x14ac:dyDescent="0.2">
      <c r="A98" s="1">
        <f t="shared" si="6"/>
        <v>98</v>
      </c>
    </row>
    <row r="99" spans="1:1" x14ac:dyDescent="0.2">
      <c r="A99" s="1">
        <f t="shared" si="6"/>
        <v>99</v>
      </c>
    </row>
    <row r="100" spans="1:1" x14ac:dyDescent="0.2">
      <c r="A100" s="1">
        <f t="shared" si="6"/>
        <v>100</v>
      </c>
    </row>
    <row r="101" spans="1:1" x14ac:dyDescent="0.2">
      <c r="A101" s="1">
        <f t="shared" si="6"/>
        <v>101</v>
      </c>
    </row>
    <row r="102" spans="1:1" x14ac:dyDescent="0.2">
      <c r="A102" s="1">
        <f t="shared" si="6"/>
        <v>102</v>
      </c>
    </row>
    <row r="103" spans="1:1" x14ac:dyDescent="0.2">
      <c r="A103" s="1">
        <f t="shared" si="6"/>
        <v>103</v>
      </c>
    </row>
    <row r="104" spans="1:1" x14ac:dyDescent="0.2">
      <c r="A104" s="1">
        <f t="shared" si="6"/>
        <v>104</v>
      </c>
    </row>
    <row r="105" spans="1:1" x14ac:dyDescent="0.2">
      <c r="A105" s="1">
        <f t="shared" si="6"/>
        <v>105</v>
      </c>
    </row>
    <row r="106" spans="1:1" x14ac:dyDescent="0.2">
      <c r="A106" s="1">
        <f t="shared" si="6"/>
        <v>106</v>
      </c>
    </row>
    <row r="107" spans="1:1" x14ac:dyDescent="0.2">
      <c r="A107" s="1">
        <f t="shared" si="6"/>
        <v>107</v>
      </c>
    </row>
    <row r="108" spans="1:1" x14ac:dyDescent="0.2">
      <c r="A108" s="1">
        <f t="shared" si="6"/>
        <v>108</v>
      </c>
    </row>
    <row r="109" spans="1:1" x14ac:dyDescent="0.2">
      <c r="A109" s="1">
        <f t="shared" si="6"/>
        <v>109</v>
      </c>
    </row>
    <row r="110" spans="1:1" x14ac:dyDescent="0.2">
      <c r="A110" s="1">
        <f t="shared" si="6"/>
        <v>110</v>
      </c>
    </row>
    <row r="111" spans="1:1" x14ac:dyDescent="0.2">
      <c r="A111" s="1">
        <f t="shared" si="6"/>
        <v>111</v>
      </c>
    </row>
    <row r="112" spans="1:1" x14ac:dyDescent="0.2">
      <c r="A112" s="1">
        <f t="shared" si="6"/>
        <v>112</v>
      </c>
    </row>
    <row r="113" spans="1:1" x14ac:dyDescent="0.2">
      <c r="A113" s="1">
        <f t="shared" si="6"/>
        <v>113</v>
      </c>
    </row>
    <row r="114" spans="1:1" x14ac:dyDescent="0.2">
      <c r="A114" s="1">
        <f t="shared" si="6"/>
        <v>114</v>
      </c>
    </row>
    <row r="115" spans="1:1" x14ac:dyDescent="0.2">
      <c r="A115" s="1">
        <f t="shared" si="6"/>
        <v>115</v>
      </c>
    </row>
    <row r="116" spans="1:1" x14ac:dyDescent="0.2">
      <c r="A116" s="1">
        <f t="shared" si="6"/>
        <v>116</v>
      </c>
    </row>
    <row r="117" spans="1:1" x14ac:dyDescent="0.2">
      <c r="A117" s="1">
        <f t="shared" si="6"/>
        <v>117</v>
      </c>
    </row>
    <row r="118" spans="1:1" x14ac:dyDescent="0.2">
      <c r="A118" s="1">
        <f t="shared" si="6"/>
        <v>118</v>
      </c>
    </row>
    <row r="119" spans="1:1" x14ac:dyDescent="0.2">
      <c r="A119" s="1">
        <f t="shared" si="6"/>
        <v>119</v>
      </c>
    </row>
    <row r="120" spans="1:1" x14ac:dyDescent="0.2">
      <c r="A120" s="1">
        <f t="shared" si="6"/>
        <v>120</v>
      </c>
    </row>
    <row r="121" spans="1:1" x14ac:dyDescent="0.2">
      <c r="A121" s="1">
        <f t="shared" si="6"/>
        <v>121</v>
      </c>
    </row>
    <row r="122" spans="1:1" x14ac:dyDescent="0.2">
      <c r="A122" s="1">
        <f t="shared" si="6"/>
        <v>122</v>
      </c>
    </row>
    <row r="123" spans="1:1" x14ac:dyDescent="0.2">
      <c r="A123" s="1">
        <f t="shared" si="6"/>
        <v>123</v>
      </c>
    </row>
    <row r="124" spans="1:1" x14ac:dyDescent="0.2">
      <c r="A124" s="1">
        <f t="shared" si="6"/>
        <v>124</v>
      </c>
    </row>
    <row r="125" spans="1:1" x14ac:dyDescent="0.2">
      <c r="A125" s="1">
        <f t="shared" si="6"/>
        <v>125</v>
      </c>
    </row>
    <row r="126" spans="1:1" x14ac:dyDescent="0.2">
      <c r="A126" s="1">
        <f t="shared" si="6"/>
        <v>126</v>
      </c>
    </row>
    <row r="127" spans="1:1" x14ac:dyDescent="0.2">
      <c r="A127" s="1">
        <f t="shared" si="6"/>
        <v>127</v>
      </c>
    </row>
    <row r="128" spans="1:1" x14ac:dyDescent="0.2">
      <c r="A128" s="1">
        <f t="shared" si="6"/>
        <v>128</v>
      </c>
    </row>
    <row r="129" spans="1:4" x14ac:dyDescent="0.2">
      <c r="A129" s="1">
        <f t="shared" si="6"/>
        <v>129</v>
      </c>
    </row>
    <row r="130" spans="1:4" x14ac:dyDescent="0.2">
      <c r="A130" s="1">
        <f t="shared" si="6"/>
        <v>130</v>
      </c>
    </row>
    <row r="131" spans="1:4" x14ac:dyDescent="0.2">
      <c r="A131" s="1">
        <f t="shared" ref="A131:A135" si="7">A130+1</f>
        <v>131</v>
      </c>
    </row>
    <row r="132" spans="1:4" x14ac:dyDescent="0.2">
      <c r="A132" s="1">
        <f t="shared" si="7"/>
        <v>132</v>
      </c>
    </row>
    <row r="133" spans="1:4" x14ac:dyDescent="0.2">
      <c r="A133" s="1">
        <f t="shared" si="7"/>
        <v>133</v>
      </c>
    </row>
    <row r="134" spans="1:4" x14ac:dyDescent="0.2">
      <c r="A134" s="1">
        <f t="shared" si="7"/>
        <v>134</v>
      </c>
    </row>
    <row r="135" spans="1:4" x14ac:dyDescent="0.2">
      <c r="A135" s="1">
        <f t="shared" si="7"/>
        <v>135</v>
      </c>
      <c r="D135" s="10"/>
    </row>
  </sheetData>
  <mergeCells count="6">
    <mergeCell ref="J11:K11"/>
    <mergeCell ref="C3:N3"/>
    <mergeCell ref="C4:N4"/>
    <mergeCell ref="D10:G10"/>
    <mergeCell ref="H10:K10"/>
    <mergeCell ref="L10:O10"/>
  </mergeCells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5C3D0-0C26-49B0-90F3-8F963DFE0BC5}">
  <dimension ref="A1:O135"/>
  <sheetViews>
    <sheetView zoomScale="80" zoomScaleNormal="80" workbookViewId="0">
      <selection activeCell="N64" sqref="N64"/>
    </sheetView>
  </sheetViews>
  <sheetFormatPr defaultColWidth="15.625" defaultRowHeight="14.25" x14ac:dyDescent="0.2"/>
  <cols>
    <col min="1" max="1" width="4.625" customWidth="1"/>
    <col min="3" max="3" width="76.375" bestFit="1" customWidth="1"/>
  </cols>
  <sheetData>
    <row r="1" spans="1:15" ht="15" x14ac:dyDescent="0.25">
      <c r="A1" s="1">
        <v>1</v>
      </c>
      <c r="O1" s="34" t="s">
        <v>176</v>
      </c>
    </row>
    <row r="2" spans="1:15" ht="15" x14ac:dyDescent="0.25">
      <c r="A2" s="1">
        <f>A1+1</f>
        <v>2</v>
      </c>
      <c r="O2" s="34" t="s">
        <v>198</v>
      </c>
    </row>
    <row r="3" spans="1:15" ht="15" x14ac:dyDescent="0.25">
      <c r="A3" s="1">
        <f t="shared" ref="A3:A66" si="0">A2+1</f>
        <v>3</v>
      </c>
      <c r="C3" s="45" t="s">
        <v>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15" ht="15" x14ac:dyDescent="0.25">
      <c r="A4" s="1">
        <f t="shared" si="0"/>
        <v>4</v>
      </c>
      <c r="C4" s="45" t="s">
        <v>182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</row>
    <row r="5" spans="1:15" x14ac:dyDescent="0.2">
      <c r="A5" s="1">
        <f t="shared" si="0"/>
        <v>5</v>
      </c>
    </row>
    <row r="6" spans="1:15" x14ac:dyDescent="0.2">
      <c r="A6" s="1">
        <f t="shared" si="0"/>
        <v>6</v>
      </c>
    </row>
    <row r="7" spans="1:15" x14ac:dyDescent="0.2">
      <c r="A7" s="1">
        <f t="shared" si="0"/>
        <v>7</v>
      </c>
      <c r="B7" s="26" t="s">
        <v>56</v>
      </c>
    </row>
    <row r="8" spans="1:15" x14ac:dyDescent="0.2">
      <c r="A8" s="1">
        <f t="shared" si="0"/>
        <v>8</v>
      </c>
      <c r="I8" s="14"/>
    </row>
    <row r="9" spans="1:15" x14ac:dyDescent="0.2">
      <c r="A9" s="1">
        <f t="shared" si="0"/>
        <v>9</v>
      </c>
      <c r="B9" s="4" t="s">
        <v>57</v>
      </c>
    </row>
    <row r="10" spans="1:15" x14ac:dyDescent="0.2">
      <c r="A10" s="1">
        <f t="shared" si="0"/>
        <v>10</v>
      </c>
      <c r="D10" s="42" t="s">
        <v>127</v>
      </c>
      <c r="E10" s="43"/>
      <c r="F10" s="43"/>
      <c r="G10" s="44"/>
      <c r="H10" s="42" t="s">
        <v>128</v>
      </c>
      <c r="I10" s="43"/>
      <c r="J10" s="43"/>
      <c r="K10" s="44"/>
      <c r="L10" s="42" t="s">
        <v>129</v>
      </c>
      <c r="M10" s="43"/>
      <c r="N10" s="43"/>
      <c r="O10" s="44"/>
    </row>
    <row r="11" spans="1:15" x14ac:dyDescent="0.2">
      <c r="A11" s="1">
        <f t="shared" si="0"/>
        <v>11</v>
      </c>
      <c r="B11" s="3" t="s">
        <v>61</v>
      </c>
      <c r="C11" s="3"/>
      <c r="D11" s="3" t="s">
        <v>62</v>
      </c>
      <c r="E11" s="3" t="s">
        <v>63</v>
      </c>
      <c r="F11" s="3" t="s">
        <v>64</v>
      </c>
      <c r="G11" s="3"/>
      <c r="H11" s="6" t="s">
        <v>65</v>
      </c>
      <c r="I11" s="3" t="s">
        <v>65</v>
      </c>
      <c r="J11" s="46" t="s">
        <v>66</v>
      </c>
      <c r="K11" s="47"/>
      <c r="L11" s="3" t="s">
        <v>62</v>
      </c>
      <c r="M11" s="3" t="s">
        <v>63</v>
      </c>
      <c r="N11" s="3" t="s">
        <v>64</v>
      </c>
      <c r="O11" s="3"/>
    </row>
    <row r="12" spans="1:15" ht="15" thickBot="1" x14ac:dyDescent="0.25">
      <c r="A12" s="1">
        <f t="shared" si="0"/>
        <v>12</v>
      </c>
      <c r="B12" s="5" t="s">
        <v>67</v>
      </c>
      <c r="C12" s="5" t="s">
        <v>68</v>
      </c>
      <c r="D12" s="5" t="s">
        <v>69</v>
      </c>
      <c r="E12" s="5" t="s">
        <v>70</v>
      </c>
      <c r="F12" s="5" t="s">
        <v>69</v>
      </c>
      <c r="G12" s="5" t="s">
        <v>71</v>
      </c>
      <c r="H12" s="7" t="s">
        <v>72</v>
      </c>
      <c r="I12" s="5" t="s">
        <v>73</v>
      </c>
      <c r="J12" s="9" t="s">
        <v>74</v>
      </c>
      <c r="K12" s="8" t="s">
        <v>75</v>
      </c>
      <c r="L12" s="5" t="s">
        <v>69</v>
      </c>
      <c r="M12" s="5" t="s">
        <v>70</v>
      </c>
      <c r="N12" s="5" t="s">
        <v>69</v>
      </c>
      <c r="O12" s="5" t="s">
        <v>71</v>
      </c>
    </row>
    <row r="13" spans="1:15" x14ac:dyDescent="0.2">
      <c r="A13" s="1">
        <f t="shared" si="0"/>
        <v>13</v>
      </c>
    </row>
    <row r="14" spans="1:15" x14ac:dyDescent="0.2">
      <c r="A14" s="1">
        <f t="shared" si="0"/>
        <v>14</v>
      </c>
      <c r="B14" s="3" t="s">
        <v>76</v>
      </c>
      <c r="C14" s="39" t="s">
        <v>77</v>
      </c>
      <c r="D14" s="10">
        <v>3047825.78</v>
      </c>
      <c r="E14" s="10">
        <v>366351.22</v>
      </c>
      <c r="F14" s="10">
        <f>D14-E14</f>
        <v>2681474.5599999996</v>
      </c>
      <c r="G14" s="10">
        <v>0</v>
      </c>
      <c r="H14" s="10">
        <f>ROUND(F14*$J$59,0)</f>
        <v>4022</v>
      </c>
      <c r="I14" s="10">
        <f>ROUND(F14*$J$63,0)</f>
        <v>4559</v>
      </c>
      <c r="J14" s="10">
        <f>E14/12</f>
        <v>30529.26833333333</v>
      </c>
      <c r="K14" s="10">
        <f>ROUND(J14*12,0)</f>
        <v>366351</v>
      </c>
      <c r="L14" s="10">
        <f>D14</f>
        <v>3047825.78</v>
      </c>
      <c r="M14" s="10">
        <f>E14+K14</f>
        <v>732702.22</v>
      </c>
      <c r="N14" s="10">
        <f>L14-M14</f>
        <v>2315123.5599999996</v>
      </c>
      <c r="O14" s="10">
        <v>0</v>
      </c>
    </row>
    <row r="15" spans="1:15" x14ac:dyDescent="0.2">
      <c r="A15" s="1">
        <f t="shared" si="0"/>
        <v>15</v>
      </c>
      <c r="C15" s="29"/>
    </row>
    <row r="16" spans="1:15" x14ac:dyDescent="0.2">
      <c r="A16" s="1">
        <f t="shared" si="0"/>
        <v>16</v>
      </c>
      <c r="B16" s="3">
        <v>42</v>
      </c>
      <c r="C16" s="29" t="s">
        <v>78</v>
      </c>
      <c r="D16" s="10">
        <v>0</v>
      </c>
      <c r="E16" s="10">
        <v>0</v>
      </c>
      <c r="F16" s="10">
        <f>D16-E16</f>
        <v>0</v>
      </c>
      <c r="G16" s="10">
        <v>0</v>
      </c>
      <c r="H16" s="10">
        <f>ROUND(F16*$J$59,0)</f>
        <v>0</v>
      </c>
      <c r="I16" s="10">
        <f>ROUND(F16*$J$63,0)</f>
        <v>0</v>
      </c>
      <c r="J16" s="10">
        <v>0</v>
      </c>
      <c r="K16" s="10">
        <f>ROUND(J16*12,0)</f>
        <v>0</v>
      </c>
      <c r="L16" s="10">
        <f>D16</f>
        <v>0</v>
      </c>
      <c r="M16" s="10">
        <f>E16+K16</f>
        <v>0</v>
      </c>
      <c r="N16" s="10">
        <f>L16-M16</f>
        <v>0</v>
      </c>
      <c r="O16" s="10">
        <v>0</v>
      </c>
    </row>
    <row r="17" spans="1:15" x14ac:dyDescent="0.2">
      <c r="A17" s="1">
        <f t="shared" si="0"/>
        <v>17</v>
      </c>
      <c r="C17" s="29"/>
    </row>
    <row r="18" spans="1:15" x14ac:dyDescent="0.2">
      <c r="A18" s="1">
        <f t="shared" si="0"/>
        <v>18</v>
      </c>
      <c r="B18" s="3">
        <v>43</v>
      </c>
      <c r="C18" s="29" t="s">
        <v>79</v>
      </c>
      <c r="D18" s="10">
        <v>0</v>
      </c>
      <c r="E18" s="10">
        <v>0</v>
      </c>
      <c r="F18" s="10">
        <f>D18-E18</f>
        <v>0</v>
      </c>
      <c r="G18" s="10">
        <v>0</v>
      </c>
      <c r="H18" s="10">
        <f>ROUND(F18*$J$59,0)</f>
        <v>0</v>
      </c>
      <c r="I18" s="10">
        <f>ROUND(F18*$J$63,0)</f>
        <v>0</v>
      </c>
      <c r="J18" s="10">
        <v>0</v>
      </c>
      <c r="K18" s="10">
        <f>ROUND(J18*12,0)</f>
        <v>0</v>
      </c>
      <c r="L18" s="10">
        <f>D18</f>
        <v>0</v>
      </c>
      <c r="M18" s="10">
        <f>E18+K18</f>
        <v>0</v>
      </c>
      <c r="N18" s="10">
        <f>L18-M18</f>
        <v>0</v>
      </c>
      <c r="O18" s="10">
        <v>0</v>
      </c>
    </row>
    <row r="19" spans="1:15" x14ac:dyDescent="0.2">
      <c r="A19" s="1">
        <f t="shared" si="0"/>
        <v>19</v>
      </c>
      <c r="C19" s="29"/>
    </row>
    <row r="20" spans="1:15" x14ac:dyDescent="0.2">
      <c r="A20" s="1">
        <f t="shared" si="0"/>
        <v>20</v>
      </c>
      <c r="B20" s="3">
        <v>44</v>
      </c>
      <c r="C20" s="39" t="s">
        <v>80</v>
      </c>
      <c r="D20" s="10">
        <v>1613562.84</v>
      </c>
      <c r="E20" s="10">
        <v>673378.16</v>
      </c>
      <c r="F20" s="10">
        <f>D20-E20</f>
        <v>940184.68</v>
      </c>
      <c r="G20" s="10">
        <v>0</v>
      </c>
      <c r="H20" s="10">
        <f>ROUND(F20*$J$59,0)</f>
        <v>1410</v>
      </c>
      <c r="I20" s="10">
        <f>ROUND(F20*$J$63,0)</f>
        <v>1598</v>
      </c>
      <c r="J20" s="10">
        <v>14764</v>
      </c>
      <c r="K20" s="10">
        <f>ROUND(J20*12,0)</f>
        <v>177168</v>
      </c>
      <c r="L20" s="10">
        <f>D20</f>
        <v>1613562.84</v>
      </c>
      <c r="M20" s="10">
        <f>E20+K20</f>
        <v>850546.16</v>
      </c>
      <c r="N20" s="10">
        <f>L20-M20</f>
        <v>763016.68</v>
      </c>
      <c r="O20" s="10">
        <v>0</v>
      </c>
    </row>
    <row r="21" spans="1:15" x14ac:dyDescent="0.2">
      <c r="A21" s="1">
        <f t="shared" si="0"/>
        <v>21</v>
      </c>
      <c r="C21" s="29"/>
    </row>
    <row r="22" spans="1:15" x14ac:dyDescent="0.2">
      <c r="A22" s="1">
        <f t="shared" si="0"/>
        <v>22</v>
      </c>
      <c r="B22" s="3">
        <v>45</v>
      </c>
      <c r="C22" s="39" t="s">
        <v>81</v>
      </c>
      <c r="D22" s="10">
        <v>1200389.33</v>
      </c>
      <c r="E22" s="10">
        <v>327082.67</v>
      </c>
      <c r="F22" s="10">
        <f>D22-E22</f>
        <v>873306.66000000015</v>
      </c>
      <c r="G22" s="10">
        <v>0</v>
      </c>
      <c r="H22" s="10">
        <f>ROUND(F22*$J$62,0)</f>
        <v>6139</v>
      </c>
      <c r="I22" s="10">
        <f>ROUND(F22*$J$63,0)</f>
        <v>1485</v>
      </c>
      <c r="J22" s="10">
        <v>1199</v>
      </c>
      <c r="K22" s="10">
        <f>ROUND(J22*12,0)</f>
        <v>14388</v>
      </c>
      <c r="L22" s="10">
        <f>D22</f>
        <v>1200389.33</v>
      </c>
      <c r="M22" s="10">
        <f>E22+K22</f>
        <v>341470.67</v>
      </c>
      <c r="N22" s="10">
        <f>L22-M22</f>
        <v>858918.66000000015</v>
      </c>
      <c r="O22" s="10">
        <v>0</v>
      </c>
    </row>
    <row r="23" spans="1:15" x14ac:dyDescent="0.2">
      <c r="A23" s="1">
        <f t="shared" si="0"/>
        <v>23</v>
      </c>
      <c r="C23" s="29"/>
    </row>
    <row r="24" spans="1:15" x14ac:dyDescent="0.2">
      <c r="A24" s="1">
        <f t="shared" si="0"/>
        <v>24</v>
      </c>
      <c r="B24" s="3">
        <v>46</v>
      </c>
      <c r="C24" s="39" t="s">
        <v>82</v>
      </c>
      <c r="D24" s="10">
        <v>1106042.8799999999</v>
      </c>
      <c r="E24" s="10">
        <v>190101.12</v>
      </c>
      <c r="F24" s="10">
        <f>D24-E24</f>
        <v>915941.75999999989</v>
      </c>
      <c r="G24" s="10">
        <v>0</v>
      </c>
      <c r="H24" s="10">
        <f>ROUND(F24*$J$60,0)</f>
        <v>10277</v>
      </c>
      <c r="I24" s="10">
        <v>0</v>
      </c>
      <c r="J24" s="10">
        <v>14362</v>
      </c>
      <c r="K24" s="10">
        <f>ROUND(J24*12,0)</f>
        <v>172344</v>
      </c>
      <c r="L24" s="10">
        <f>D24</f>
        <v>1106042.8799999999</v>
      </c>
      <c r="M24" s="10">
        <f>E24+K24</f>
        <v>362445.12</v>
      </c>
      <c r="N24" s="10">
        <f>L24-M24</f>
        <v>743597.75999999989</v>
      </c>
      <c r="O24" s="10">
        <v>0</v>
      </c>
    </row>
    <row r="25" spans="1:15" x14ac:dyDescent="0.2">
      <c r="A25" s="1">
        <f t="shared" si="0"/>
        <v>25</v>
      </c>
      <c r="C25" s="29"/>
    </row>
    <row r="26" spans="1:15" x14ac:dyDescent="0.2">
      <c r="A26" s="1">
        <f t="shared" si="0"/>
        <v>26</v>
      </c>
      <c r="B26" s="3">
        <v>47</v>
      </c>
      <c r="C26" s="39" t="s">
        <v>83</v>
      </c>
      <c r="D26" s="10">
        <v>1102649</v>
      </c>
      <c r="E26" s="10">
        <v>162171</v>
      </c>
      <c r="F26" s="10">
        <f>D26-E26</f>
        <v>940478</v>
      </c>
      <c r="G26" s="10">
        <v>0</v>
      </c>
      <c r="H26" s="10">
        <f>ROUND(F26*$J$61,0)</f>
        <v>8119</v>
      </c>
      <c r="I26" s="10">
        <f>ROUND(F26*$J$63,0)</f>
        <v>1599</v>
      </c>
      <c r="J26" s="10">
        <v>640</v>
      </c>
      <c r="K26" s="10">
        <f>ROUND(J26*12,0)</f>
        <v>7680</v>
      </c>
      <c r="L26" s="10">
        <f>D26</f>
        <v>1102649</v>
      </c>
      <c r="M26" s="10">
        <f>E26+K26</f>
        <v>169851</v>
      </c>
      <c r="N26" s="10">
        <f>L26-M26</f>
        <v>932798</v>
      </c>
      <c r="O26" s="10">
        <v>0</v>
      </c>
    </row>
    <row r="27" spans="1:15" x14ac:dyDescent="0.2">
      <c r="A27" s="1">
        <f t="shared" si="0"/>
        <v>27</v>
      </c>
      <c r="C27" s="29"/>
    </row>
    <row r="28" spans="1:15" x14ac:dyDescent="0.2">
      <c r="A28" s="1">
        <f t="shared" si="0"/>
        <v>28</v>
      </c>
      <c r="B28" s="3">
        <v>48</v>
      </c>
      <c r="C28" s="39" t="s">
        <v>84</v>
      </c>
      <c r="D28" s="10">
        <v>725334.75</v>
      </c>
      <c r="E28" s="10">
        <v>84665.25</v>
      </c>
      <c r="F28" s="10">
        <f>D28-E28</f>
        <v>640669.5</v>
      </c>
      <c r="G28" s="10">
        <v>0</v>
      </c>
      <c r="H28" s="10">
        <f>ROUND(F28*$J$59,0)</f>
        <v>961</v>
      </c>
      <c r="I28" s="10">
        <f>ROUND(F28*$J$63,0)</f>
        <v>1089</v>
      </c>
      <c r="J28" s="10">
        <f>ROUND((D28*0.0316)/12,0)</f>
        <v>1910</v>
      </c>
      <c r="K28" s="10">
        <f>ROUND(J28*12,0)</f>
        <v>22920</v>
      </c>
      <c r="L28" s="10">
        <f>D28</f>
        <v>725334.75</v>
      </c>
      <c r="M28" s="10">
        <f>E28+K28</f>
        <v>107585.25</v>
      </c>
      <c r="N28" s="10">
        <f>L28-M28</f>
        <v>617749.5</v>
      </c>
      <c r="O28" s="10">
        <v>0</v>
      </c>
    </row>
    <row r="29" spans="1:15" x14ac:dyDescent="0.2">
      <c r="A29" s="1">
        <f t="shared" si="0"/>
        <v>29</v>
      </c>
      <c r="C29" s="29"/>
    </row>
    <row r="30" spans="1:15" x14ac:dyDescent="0.2">
      <c r="A30" s="1">
        <f t="shared" si="0"/>
        <v>30</v>
      </c>
      <c r="B30" s="3">
        <v>49</v>
      </c>
      <c r="C30" s="39" t="s">
        <v>85</v>
      </c>
      <c r="D30" s="10">
        <v>913037.38</v>
      </c>
      <c r="E30" s="10">
        <v>156406.10999999999</v>
      </c>
      <c r="F30" s="10">
        <f>D30-E30</f>
        <v>756631.27</v>
      </c>
      <c r="G30" s="10">
        <v>0</v>
      </c>
      <c r="H30" s="10">
        <f>ROUND(F30*$J$62,0)</f>
        <v>5319</v>
      </c>
      <c r="I30" s="10">
        <f>ROUND(F30*$J$63,0)</f>
        <v>1286</v>
      </c>
      <c r="J30" s="10">
        <v>62</v>
      </c>
      <c r="K30" s="10">
        <f>ROUND(J30*12,0)</f>
        <v>744</v>
      </c>
      <c r="L30" s="10">
        <f>D30</f>
        <v>913037.38</v>
      </c>
      <c r="M30" s="10">
        <f>E30+K30</f>
        <v>157150.10999999999</v>
      </c>
      <c r="N30" s="10">
        <f>L30-M30</f>
        <v>755887.27</v>
      </c>
      <c r="O30" s="10">
        <v>0</v>
      </c>
    </row>
    <row r="31" spans="1:15" x14ac:dyDescent="0.2">
      <c r="A31" s="1">
        <f t="shared" si="0"/>
        <v>31</v>
      </c>
      <c r="C31" s="29"/>
    </row>
    <row r="32" spans="1:15" x14ac:dyDescent="0.2">
      <c r="A32" s="1">
        <f t="shared" si="0"/>
        <v>32</v>
      </c>
      <c r="B32" s="3">
        <v>50</v>
      </c>
      <c r="C32" s="39" t="s">
        <v>86</v>
      </c>
      <c r="D32" s="10">
        <v>986738.99</v>
      </c>
      <c r="E32" s="10">
        <v>141736.53</v>
      </c>
      <c r="F32" s="10">
        <f>D32-E32</f>
        <v>845002.46</v>
      </c>
      <c r="G32" s="10">
        <v>0</v>
      </c>
      <c r="H32" s="10">
        <f>ROUND(F32*$J$59,0)</f>
        <v>1268</v>
      </c>
      <c r="I32" s="10">
        <f>ROUND(F32*$J$63,0)</f>
        <v>1437</v>
      </c>
      <c r="J32" s="10">
        <v>655</v>
      </c>
      <c r="K32" s="10">
        <f>ROUND(J32*12,0)</f>
        <v>7860</v>
      </c>
      <c r="L32" s="10">
        <f>D32</f>
        <v>986738.99</v>
      </c>
      <c r="M32" s="10">
        <f>E32+K32</f>
        <v>149596.53</v>
      </c>
      <c r="N32" s="10">
        <f>L32-M32</f>
        <v>837142.46</v>
      </c>
      <c r="O32" s="10">
        <v>0</v>
      </c>
    </row>
    <row r="33" spans="1:15" x14ac:dyDescent="0.2">
      <c r="A33" s="1">
        <f t="shared" si="0"/>
        <v>33</v>
      </c>
      <c r="B33" s="3"/>
      <c r="C33" s="2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</row>
    <row r="34" spans="1:15" x14ac:dyDescent="0.2">
      <c r="A34" s="1">
        <f t="shared" si="0"/>
        <v>34</v>
      </c>
      <c r="B34" s="3">
        <v>51</v>
      </c>
      <c r="C34" s="39" t="s">
        <v>87</v>
      </c>
      <c r="D34" s="10">
        <v>424142.66</v>
      </c>
      <c r="E34" s="10">
        <v>269732.34000000003</v>
      </c>
      <c r="F34" s="10">
        <f>D34-E34</f>
        <v>154410.31999999995</v>
      </c>
      <c r="G34" s="10">
        <v>0</v>
      </c>
      <c r="H34" s="10">
        <f>ROUND(F34*$J$59,0)</f>
        <v>232</v>
      </c>
      <c r="I34" s="10">
        <f>ROUND(F34*$J$63,0)</f>
        <v>262</v>
      </c>
      <c r="J34" s="10">
        <f>ROUND((D34*0.0316)/12,0)</f>
        <v>1117</v>
      </c>
      <c r="K34" s="10">
        <f>ROUND(J34*12,0)</f>
        <v>13404</v>
      </c>
      <c r="L34" s="10">
        <f>D34</f>
        <v>424142.66</v>
      </c>
      <c r="M34" s="10">
        <f>E34+K34</f>
        <v>283136.34000000003</v>
      </c>
      <c r="N34" s="10">
        <f>L34-M34</f>
        <v>141006.31999999995</v>
      </c>
      <c r="O34" s="10">
        <v>0</v>
      </c>
    </row>
    <row r="35" spans="1:15" x14ac:dyDescent="0.2">
      <c r="A35" s="1">
        <f t="shared" si="0"/>
        <v>35</v>
      </c>
      <c r="B35" s="3"/>
      <c r="C35" s="2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</row>
    <row r="36" spans="1:15" x14ac:dyDescent="0.2">
      <c r="A36" s="1">
        <f t="shared" si="0"/>
        <v>36</v>
      </c>
      <c r="B36" s="3">
        <v>52</v>
      </c>
      <c r="C36" s="39" t="s">
        <v>88</v>
      </c>
      <c r="D36" s="10">
        <v>514939.01</v>
      </c>
      <c r="E36" s="10">
        <v>95902.05</v>
      </c>
      <c r="F36" s="10">
        <f>D36-E36</f>
        <v>419036.96</v>
      </c>
      <c r="G36" s="10">
        <v>0</v>
      </c>
      <c r="H36" s="10">
        <f>ROUND(F36*$J$59,0)</f>
        <v>629</v>
      </c>
      <c r="I36" s="10">
        <f>ROUND(F36*$J$63,0)</f>
        <v>712</v>
      </c>
      <c r="J36" s="10">
        <v>903</v>
      </c>
      <c r="K36" s="10">
        <f>ROUND(J36*12,0)</f>
        <v>10836</v>
      </c>
      <c r="L36" s="10">
        <f>D36</f>
        <v>514939.01</v>
      </c>
      <c r="M36" s="10">
        <f>E36+K36</f>
        <v>106738.05</v>
      </c>
      <c r="N36" s="10">
        <f>L36-M36</f>
        <v>408200.96000000002</v>
      </c>
      <c r="O36" s="10">
        <v>0</v>
      </c>
    </row>
    <row r="37" spans="1:15" x14ac:dyDescent="0.2">
      <c r="A37" s="1">
        <f t="shared" si="0"/>
        <v>37</v>
      </c>
      <c r="B37" s="3"/>
      <c r="C37" s="2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</row>
    <row r="38" spans="1:15" x14ac:dyDescent="0.2">
      <c r="A38" s="1">
        <f t="shared" si="0"/>
        <v>38</v>
      </c>
      <c r="B38" s="3">
        <v>53</v>
      </c>
      <c r="C38" s="39" t="s">
        <v>89</v>
      </c>
      <c r="D38" s="10">
        <v>293737.33</v>
      </c>
      <c r="E38" s="10">
        <v>46262.67</v>
      </c>
      <c r="F38" s="10">
        <f>D38-E38</f>
        <v>247474.66000000003</v>
      </c>
      <c r="G38" s="10">
        <v>0</v>
      </c>
      <c r="H38" s="10">
        <f>ROUND(F38*$J$59,0)</f>
        <v>371</v>
      </c>
      <c r="I38" s="10">
        <f>ROUND(F38*$J$63,0)</f>
        <v>421</v>
      </c>
      <c r="J38" s="10">
        <v>6925</v>
      </c>
      <c r="K38" s="10">
        <f>ROUND(J38*12,0)</f>
        <v>83100</v>
      </c>
      <c r="L38" s="10">
        <f>D38</f>
        <v>293737.33</v>
      </c>
      <c r="M38" s="10">
        <f>E38+K38</f>
        <v>129362.67</v>
      </c>
      <c r="N38" s="10">
        <f>L38-M38</f>
        <v>164374.66000000003</v>
      </c>
      <c r="O38" s="10">
        <v>0</v>
      </c>
    </row>
    <row r="39" spans="1:15" x14ac:dyDescent="0.2">
      <c r="A39" s="1">
        <f t="shared" si="0"/>
        <v>39</v>
      </c>
      <c r="B39" s="3"/>
      <c r="C39" s="2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</row>
    <row r="40" spans="1:15" x14ac:dyDescent="0.2">
      <c r="A40" s="1">
        <f t="shared" si="0"/>
        <v>40</v>
      </c>
      <c r="B40" s="3">
        <v>54</v>
      </c>
      <c r="C40" s="39" t="s">
        <v>90</v>
      </c>
      <c r="D40" s="10">
        <v>231182.5</v>
      </c>
      <c r="E40" s="10">
        <v>78817.5</v>
      </c>
      <c r="F40" s="10">
        <f>D40-E40</f>
        <v>152365</v>
      </c>
      <c r="G40" s="10">
        <v>0</v>
      </c>
      <c r="H40" s="10">
        <f>ROUND(F40*$J$59,0)</f>
        <v>229</v>
      </c>
      <c r="I40" s="10">
        <f>ROUND(F40*$J$63,0)</f>
        <v>259</v>
      </c>
      <c r="J40" s="10">
        <v>2528</v>
      </c>
      <c r="K40" s="10">
        <f>ROUND(J40*12,0)</f>
        <v>30336</v>
      </c>
      <c r="L40" s="10">
        <f>D40</f>
        <v>231182.5</v>
      </c>
      <c r="M40" s="10">
        <f>E40+K40</f>
        <v>109153.5</v>
      </c>
      <c r="N40" s="10">
        <f>L40-M40</f>
        <v>122029</v>
      </c>
      <c r="O40" s="10">
        <v>0</v>
      </c>
    </row>
    <row r="41" spans="1:15" x14ac:dyDescent="0.2">
      <c r="A41" s="1">
        <f t="shared" si="0"/>
        <v>41</v>
      </c>
      <c r="C41" s="2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5" x14ac:dyDescent="0.2">
      <c r="A42" s="1">
        <f t="shared" si="0"/>
        <v>42</v>
      </c>
      <c r="B42" s="3">
        <v>55</v>
      </c>
      <c r="C42" s="29" t="s">
        <v>91</v>
      </c>
      <c r="D42" s="10">
        <v>268600</v>
      </c>
      <c r="E42" s="10">
        <v>31400</v>
      </c>
      <c r="F42" s="10">
        <f>D42-E42</f>
        <v>237200</v>
      </c>
      <c r="G42" s="10">
        <v>0</v>
      </c>
      <c r="H42" s="10">
        <f>ROUND(F42*$J$59,0)</f>
        <v>356</v>
      </c>
      <c r="I42" s="10">
        <f>ROUND(F42*$J$63,0)</f>
        <v>403</v>
      </c>
      <c r="J42" s="10">
        <v>2530</v>
      </c>
      <c r="K42" s="10">
        <f t="shared" ref="K42" si="1">ROUND(J42*12,0)</f>
        <v>30360</v>
      </c>
      <c r="L42" s="10">
        <f t="shared" ref="L42" si="2">D42</f>
        <v>268600</v>
      </c>
      <c r="M42" s="10">
        <f t="shared" ref="M42" si="3">E42+K42</f>
        <v>61760</v>
      </c>
      <c r="N42" s="10">
        <f t="shared" ref="N42" si="4">L42-M42</f>
        <v>206840</v>
      </c>
      <c r="O42" s="10">
        <v>0</v>
      </c>
    </row>
    <row r="43" spans="1:15" x14ac:dyDescent="0.2">
      <c r="A43" s="1">
        <f t="shared" si="0"/>
        <v>43</v>
      </c>
      <c r="B43" s="3"/>
      <c r="C43" s="29"/>
    </row>
    <row r="44" spans="1:15" x14ac:dyDescent="0.2">
      <c r="A44" s="1">
        <f t="shared" si="0"/>
        <v>44</v>
      </c>
      <c r="B44" s="3">
        <v>56</v>
      </c>
      <c r="C44" s="39" t="s">
        <v>92</v>
      </c>
      <c r="D44" s="10">
        <v>325105.09000000003</v>
      </c>
      <c r="E44" s="10">
        <v>60316.69</v>
      </c>
      <c r="F44" s="10">
        <f>D44-E44</f>
        <v>264788.40000000002</v>
      </c>
      <c r="G44" s="10">
        <v>0</v>
      </c>
      <c r="H44" s="10">
        <f>ROUND(F44*$J$59,0)</f>
        <v>397</v>
      </c>
      <c r="I44" s="10">
        <f>ROUND(F44*$J$63,0)</f>
        <v>450</v>
      </c>
      <c r="J44" s="10">
        <f>ROUND((D44*0.0314)/12,0)</f>
        <v>851</v>
      </c>
      <c r="K44" s="10">
        <f>ROUND(J44*12,0)</f>
        <v>10212</v>
      </c>
      <c r="L44" s="10">
        <f>D44</f>
        <v>325105.09000000003</v>
      </c>
      <c r="M44" s="10">
        <f>E44+K44</f>
        <v>70528.69</v>
      </c>
      <c r="N44" s="10">
        <f>L44-M44</f>
        <v>254576.40000000002</v>
      </c>
      <c r="O44" s="10">
        <v>0</v>
      </c>
    </row>
    <row r="45" spans="1:15" x14ac:dyDescent="0.2">
      <c r="A45" s="1">
        <f t="shared" si="0"/>
        <v>45</v>
      </c>
      <c r="B45" s="3"/>
      <c r="C45" s="2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5" x14ac:dyDescent="0.2">
      <c r="A46" s="1">
        <f t="shared" si="0"/>
        <v>46</v>
      </c>
      <c r="B46" s="3">
        <v>57</v>
      </c>
      <c r="C46" s="39" t="s">
        <v>93</v>
      </c>
      <c r="D46" s="10">
        <v>26737.64</v>
      </c>
      <c r="E46" s="10">
        <v>5078.3599999999997</v>
      </c>
      <c r="F46" s="10">
        <f>D46-E46</f>
        <v>21659.279999999999</v>
      </c>
      <c r="G46" s="10">
        <v>0</v>
      </c>
      <c r="H46" s="10">
        <f>ROUND(F46*$J$59,0)</f>
        <v>32</v>
      </c>
      <c r="I46" s="10">
        <f>ROUND(F46*$J$63,0)</f>
        <v>37</v>
      </c>
      <c r="J46" s="10">
        <v>334</v>
      </c>
      <c r="K46" s="10">
        <f>ROUND(J46*12,0)</f>
        <v>4008</v>
      </c>
      <c r="L46" s="10">
        <f>D46</f>
        <v>26737.64</v>
      </c>
      <c r="M46" s="10">
        <f>E46+K46</f>
        <v>9086.36</v>
      </c>
      <c r="N46" s="10">
        <f>L46-M46</f>
        <v>17651.28</v>
      </c>
      <c r="O46" s="10">
        <v>0</v>
      </c>
    </row>
    <row r="47" spans="1:15" x14ac:dyDescent="0.2">
      <c r="A47" s="1">
        <f t="shared" si="0"/>
        <v>47</v>
      </c>
      <c r="C47" s="29"/>
    </row>
    <row r="48" spans="1:15" x14ac:dyDescent="0.2">
      <c r="A48" s="1">
        <f t="shared" si="0"/>
        <v>48</v>
      </c>
      <c r="C48" s="29" t="s">
        <v>94</v>
      </c>
      <c r="D48" s="38">
        <f>SUM(D14:D46)</f>
        <v>12780025.180000002</v>
      </c>
      <c r="E48" s="38">
        <f>SUM(E14:E46)</f>
        <v>2689401.669999999</v>
      </c>
      <c r="F48" s="38">
        <f>SUM(F14:F46)</f>
        <v>10090623.510000002</v>
      </c>
      <c r="G48" s="38">
        <f t="shared" ref="G48:O48" si="5">SUM(G14:G46)</f>
        <v>0</v>
      </c>
      <c r="H48" s="38">
        <f t="shared" si="5"/>
        <v>39761</v>
      </c>
      <c r="I48" s="38">
        <f t="shared" si="5"/>
        <v>15597</v>
      </c>
      <c r="J48" s="38">
        <f t="shared" si="5"/>
        <v>79309.268333333326</v>
      </c>
      <c r="K48" s="38">
        <f t="shared" si="5"/>
        <v>951711</v>
      </c>
      <c r="L48" s="38">
        <f t="shared" si="5"/>
        <v>12780025.180000002</v>
      </c>
      <c r="M48" s="38">
        <f t="shared" si="5"/>
        <v>3641112.669999999</v>
      </c>
      <c r="N48" s="38">
        <f t="shared" si="5"/>
        <v>9138912.5099999998</v>
      </c>
      <c r="O48" s="38">
        <f t="shared" si="5"/>
        <v>0</v>
      </c>
    </row>
    <row r="49" spans="1:15" x14ac:dyDescent="0.2">
      <c r="A49" s="1">
        <f t="shared" si="0"/>
        <v>49</v>
      </c>
    </row>
    <row r="50" spans="1:15" x14ac:dyDescent="0.2">
      <c r="A50" s="1">
        <f t="shared" si="0"/>
        <v>50</v>
      </c>
    </row>
    <row r="51" spans="1:15" x14ac:dyDescent="0.2">
      <c r="A51" s="1">
        <f t="shared" si="0"/>
        <v>51</v>
      </c>
      <c r="B51" s="17" t="s">
        <v>192</v>
      </c>
      <c r="D51" s="10"/>
      <c r="E51" s="10"/>
      <c r="F51" s="10"/>
      <c r="G51" s="10"/>
      <c r="H51" s="27" t="s">
        <v>95</v>
      </c>
      <c r="I51" s="10"/>
      <c r="J51" s="10"/>
      <c r="K51" s="10"/>
      <c r="L51" s="10"/>
      <c r="M51" s="10"/>
    </row>
    <row r="52" spans="1:15" x14ac:dyDescent="0.2">
      <c r="A52" s="1">
        <f t="shared" si="0"/>
        <v>52</v>
      </c>
      <c r="B52" s="3"/>
      <c r="C52" t="s">
        <v>96</v>
      </c>
      <c r="D52" s="10">
        <f>L48</f>
        <v>12780025.180000002</v>
      </c>
      <c r="E52" s="10"/>
      <c r="F52" s="10"/>
      <c r="G52" s="10"/>
      <c r="H52" s="3">
        <v>58</v>
      </c>
      <c r="I52" t="s">
        <v>174</v>
      </c>
      <c r="J52" s="10"/>
      <c r="K52" s="10"/>
      <c r="L52" s="10"/>
      <c r="M52" s="10">
        <v>1338947</v>
      </c>
    </row>
    <row r="53" spans="1:15" x14ac:dyDescent="0.2">
      <c r="A53" s="1">
        <f t="shared" si="0"/>
        <v>53</v>
      </c>
      <c r="B53" s="3"/>
      <c r="C53" t="s">
        <v>71</v>
      </c>
      <c r="D53" s="15">
        <f>O48</f>
        <v>0</v>
      </c>
      <c r="E53" s="10"/>
      <c r="F53" s="10"/>
      <c r="G53" s="10"/>
      <c r="H53" s="3">
        <v>59</v>
      </c>
      <c r="I53" t="s">
        <v>175</v>
      </c>
      <c r="J53" s="10"/>
      <c r="K53" s="10"/>
      <c r="L53" s="10"/>
      <c r="M53" s="15">
        <v>403348</v>
      </c>
    </row>
    <row r="54" spans="1:15" x14ac:dyDescent="0.2">
      <c r="A54" s="1">
        <f t="shared" si="0"/>
        <v>54</v>
      </c>
      <c r="B54" s="3"/>
      <c r="C54" t="s">
        <v>97</v>
      </c>
      <c r="D54" s="10">
        <f>D52+D53</f>
        <v>12780025.180000002</v>
      </c>
      <c r="E54" s="10"/>
      <c r="F54" s="10"/>
      <c r="G54" s="10"/>
    </row>
    <row r="55" spans="1:15" ht="15" thickBot="1" x14ac:dyDescent="0.25">
      <c r="A55" s="1">
        <f t="shared" si="0"/>
        <v>55</v>
      </c>
      <c r="B55" s="3"/>
      <c r="C55" t="s">
        <v>98</v>
      </c>
      <c r="D55" s="10"/>
      <c r="E55" s="10"/>
      <c r="F55" s="10"/>
      <c r="G55" s="10"/>
      <c r="H55" s="10" t="s">
        <v>110</v>
      </c>
      <c r="I55" s="10"/>
      <c r="J55" s="10"/>
      <c r="K55" s="10"/>
      <c r="L55" s="10"/>
      <c r="M55" s="16">
        <f>SUM(M52:M53)</f>
        <v>1742295</v>
      </c>
    </row>
    <row r="56" spans="1:15" ht="15" thickTop="1" x14ac:dyDescent="0.2">
      <c r="A56" s="1">
        <f t="shared" si="0"/>
        <v>56</v>
      </c>
      <c r="C56" t="s">
        <v>99</v>
      </c>
      <c r="D56" s="10">
        <f>ROUND(D62*0.125,0)</f>
        <v>217787</v>
      </c>
      <c r="E56" s="10" t="s">
        <v>100</v>
      </c>
      <c r="F56" s="10"/>
      <c r="G56" s="10"/>
    </row>
    <row r="57" spans="1:15" x14ac:dyDescent="0.2">
      <c r="A57" s="1">
        <f t="shared" si="0"/>
        <v>57</v>
      </c>
      <c r="C57" t="s">
        <v>101</v>
      </c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x14ac:dyDescent="0.2">
      <c r="A58" s="1">
        <f t="shared" si="0"/>
        <v>58</v>
      </c>
      <c r="C58" t="s">
        <v>102</v>
      </c>
      <c r="D58" s="15">
        <f>M48</f>
        <v>3641112.669999999</v>
      </c>
      <c r="E58" s="10"/>
      <c r="F58" s="10"/>
      <c r="G58" s="10"/>
    </row>
    <row r="59" spans="1:15" ht="15" thickBot="1" x14ac:dyDescent="0.25">
      <c r="A59" s="1">
        <f t="shared" si="0"/>
        <v>59</v>
      </c>
      <c r="C59" t="s">
        <v>103</v>
      </c>
      <c r="D59" s="18">
        <f>D54+D56-D58</f>
        <v>9356699.5100000016</v>
      </c>
      <c r="E59" s="10"/>
      <c r="F59" s="10"/>
      <c r="G59" s="10"/>
      <c r="I59" s="11" t="s">
        <v>114</v>
      </c>
      <c r="J59" s="12">
        <v>1.5E-3</v>
      </c>
      <c r="K59" t="s">
        <v>115</v>
      </c>
      <c r="N59" s="10"/>
      <c r="O59" s="10"/>
    </row>
    <row r="60" spans="1:15" ht="15" thickTop="1" x14ac:dyDescent="0.2">
      <c r="A60" s="1">
        <f t="shared" si="0"/>
        <v>60</v>
      </c>
      <c r="D60" s="10"/>
      <c r="E60" s="10"/>
      <c r="F60" s="10"/>
      <c r="G60" s="10"/>
      <c r="J60" s="12">
        <v>1.1220000000000001E-2</v>
      </c>
      <c r="K60" t="s">
        <v>117</v>
      </c>
    </row>
    <row r="61" spans="1:15" x14ac:dyDescent="0.2">
      <c r="A61" s="1">
        <f t="shared" si="0"/>
        <v>61</v>
      </c>
      <c r="B61" s="4" t="s">
        <v>193</v>
      </c>
      <c r="D61" s="10"/>
      <c r="E61" s="10"/>
      <c r="F61" s="10"/>
      <c r="G61" s="10"/>
      <c r="J61" s="13">
        <v>8.633E-3</v>
      </c>
      <c r="K61" t="s">
        <v>119</v>
      </c>
      <c r="N61" s="10"/>
      <c r="O61" s="10"/>
    </row>
    <row r="62" spans="1:15" x14ac:dyDescent="0.2">
      <c r="A62" s="1">
        <f t="shared" si="0"/>
        <v>62</v>
      </c>
      <c r="C62" t="s">
        <v>104</v>
      </c>
      <c r="D62" s="10">
        <f>M55</f>
        <v>1742295</v>
      </c>
      <c r="E62" s="10"/>
      <c r="F62" s="10"/>
      <c r="G62" s="10"/>
      <c r="J62" s="14">
        <v>7.0299999999999998E-3</v>
      </c>
      <c r="K62" t="s">
        <v>121</v>
      </c>
    </row>
    <row r="63" spans="1:15" x14ac:dyDescent="0.2">
      <c r="A63" s="1">
        <f t="shared" si="0"/>
        <v>63</v>
      </c>
      <c r="C63" t="s">
        <v>105</v>
      </c>
      <c r="D63" s="10">
        <f>K48</f>
        <v>951711</v>
      </c>
      <c r="E63" s="10"/>
      <c r="F63" s="10"/>
      <c r="G63" s="10"/>
      <c r="I63" s="11" t="s">
        <v>123</v>
      </c>
      <c r="J63" s="12">
        <v>1.6999999999999999E-3</v>
      </c>
      <c r="N63" s="10"/>
      <c r="O63" s="10"/>
    </row>
    <row r="64" spans="1:15" x14ac:dyDescent="0.2">
      <c r="A64" s="1">
        <f t="shared" si="0"/>
        <v>64</v>
      </c>
      <c r="C64" t="s">
        <v>106</v>
      </c>
      <c r="D64" s="10">
        <f>H48</f>
        <v>39761</v>
      </c>
      <c r="E64" s="10"/>
      <c r="F64" s="10"/>
      <c r="G64" s="10"/>
      <c r="N64" s="10"/>
      <c r="O64" s="10"/>
    </row>
    <row r="65" spans="1:15" x14ac:dyDescent="0.2">
      <c r="A65" s="1">
        <f t="shared" si="0"/>
        <v>65</v>
      </c>
      <c r="C65" t="s">
        <v>107</v>
      </c>
      <c r="D65" s="15">
        <f>I48</f>
        <v>15597</v>
      </c>
      <c r="E65" s="10"/>
      <c r="F65" s="10"/>
      <c r="G65" s="10"/>
      <c r="N65" s="10"/>
      <c r="O65" s="10"/>
    </row>
    <row r="66" spans="1:15" ht="15" thickBot="1" x14ac:dyDescent="0.25">
      <c r="A66" s="1">
        <f t="shared" si="0"/>
        <v>66</v>
      </c>
      <c r="C66" t="s">
        <v>108</v>
      </c>
      <c r="D66" s="18">
        <f>SUM(D62:D65)</f>
        <v>2749364</v>
      </c>
      <c r="E66" s="10"/>
      <c r="F66" s="10"/>
      <c r="G66" s="10"/>
      <c r="N66" s="10"/>
      <c r="O66" s="10"/>
    </row>
    <row r="67" spans="1:15" ht="15" thickTop="1" x14ac:dyDescent="0.2">
      <c r="A67" s="1">
        <f t="shared" ref="A67:A130" si="6">A66+1</f>
        <v>67</v>
      </c>
      <c r="D67" s="10"/>
      <c r="E67" s="10"/>
      <c r="F67" s="10"/>
      <c r="G67" s="10"/>
      <c r="N67" s="10"/>
      <c r="O67" s="10"/>
    </row>
    <row r="68" spans="1:15" x14ac:dyDescent="0.2">
      <c r="A68" s="1">
        <f t="shared" si="6"/>
        <v>68</v>
      </c>
      <c r="B68" s="4" t="s">
        <v>194</v>
      </c>
      <c r="D68" s="10"/>
      <c r="E68" s="10"/>
      <c r="F68" s="10"/>
      <c r="G68" s="10"/>
      <c r="N68" s="10"/>
      <c r="O68" s="10"/>
    </row>
    <row r="69" spans="1:15" x14ac:dyDescent="0.2">
      <c r="A69" s="1">
        <f t="shared" si="6"/>
        <v>69</v>
      </c>
      <c r="C69" t="s">
        <v>103</v>
      </c>
      <c r="D69" s="10">
        <f>D59</f>
        <v>9356699.5100000016</v>
      </c>
      <c r="F69" s="10"/>
      <c r="G69" s="10"/>
      <c r="H69" s="3"/>
      <c r="I69" s="10"/>
      <c r="J69" s="10"/>
      <c r="K69" s="10"/>
      <c r="L69" s="10"/>
      <c r="N69" s="10"/>
      <c r="O69" s="10"/>
    </row>
    <row r="70" spans="1:15" x14ac:dyDescent="0.2">
      <c r="A70" s="1">
        <f t="shared" si="6"/>
        <v>70</v>
      </c>
      <c r="C70" t="s">
        <v>109</v>
      </c>
      <c r="D70" s="19">
        <f>'Proposed - YE 2025'!D70</f>
        <v>6.4860000000000001E-2</v>
      </c>
      <c r="F70" s="10"/>
      <c r="G70" s="10"/>
      <c r="N70" s="10"/>
      <c r="O70" s="10"/>
    </row>
    <row r="71" spans="1:15" x14ac:dyDescent="0.2">
      <c r="A71" s="1">
        <f t="shared" si="6"/>
        <v>71</v>
      </c>
      <c r="C71" t="s">
        <v>111</v>
      </c>
      <c r="D71" s="10">
        <f>ROUND(D69*D70,0)</f>
        <v>606876</v>
      </c>
      <c r="F71" s="10"/>
      <c r="G71" s="10"/>
      <c r="N71" s="10"/>
      <c r="O71" s="10"/>
    </row>
    <row r="72" spans="1:15" x14ac:dyDescent="0.2">
      <c r="A72" s="1">
        <f t="shared" si="6"/>
        <v>72</v>
      </c>
      <c r="C72" t="s">
        <v>112</v>
      </c>
      <c r="D72" s="15">
        <f>D66</f>
        <v>2749364</v>
      </c>
      <c r="E72" s="10"/>
      <c r="G72" s="10"/>
      <c r="N72" s="10"/>
      <c r="O72" s="10"/>
    </row>
    <row r="73" spans="1:15" x14ac:dyDescent="0.2">
      <c r="A73" s="1">
        <f t="shared" si="6"/>
        <v>73</v>
      </c>
      <c r="C73" t="s">
        <v>113</v>
      </c>
      <c r="D73" s="10">
        <f>D71+D72</f>
        <v>3356240</v>
      </c>
      <c r="E73" s="10"/>
      <c r="G73" s="10"/>
      <c r="N73" s="10"/>
      <c r="O73" s="10"/>
    </row>
    <row r="74" spans="1:15" x14ac:dyDescent="0.2">
      <c r="A74" s="1">
        <f t="shared" si="6"/>
        <v>74</v>
      </c>
      <c r="C74" t="s">
        <v>195</v>
      </c>
      <c r="D74" s="20">
        <v>0.99009999999999998</v>
      </c>
      <c r="E74" s="10"/>
      <c r="G74" s="10"/>
      <c r="N74" s="10"/>
      <c r="O74" s="10"/>
    </row>
    <row r="75" spans="1:15" x14ac:dyDescent="0.2">
      <c r="A75" s="1">
        <f t="shared" si="6"/>
        <v>75</v>
      </c>
      <c r="C75" t="s">
        <v>116</v>
      </c>
      <c r="D75" s="10">
        <f>ROUND(D73*D74,0)</f>
        <v>3323013</v>
      </c>
      <c r="E75" s="10"/>
      <c r="G75" s="10"/>
      <c r="N75" s="10"/>
      <c r="O75" s="10"/>
    </row>
    <row r="76" spans="1:15" x14ac:dyDescent="0.2">
      <c r="A76" s="1">
        <f t="shared" si="6"/>
        <v>76</v>
      </c>
      <c r="B76" s="3"/>
      <c r="C76" t="s">
        <v>118</v>
      </c>
      <c r="D76" s="10"/>
      <c r="E76" s="10"/>
      <c r="F76" s="10"/>
      <c r="G76" s="10"/>
      <c r="N76" s="10"/>
      <c r="O76" s="10"/>
    </row>
    <row r="77" spans="1:15" x14ac:dyDescent="0.2">
      <c r="A77" s="1">
        <f t="shared" si="6"/>
        <v>77</v>
      </c>
      <c r="B77" s="3"/>
      <c r="C77" t="s">
        <v>120</v>
      </c>
      <c r="D77" s="15">
        <f>BESF!D36</f>
        <v>1249428</v>
      </c>
      <c r="E77" s="10"/>
      <c r="F77" s="10"/>
      <c r="G77" s="10"/>
      <c r="N77" s="10"/>
      <c r="O77" s="10"/>
    </row>
    <row r="78" spans="1:15" ht="15" thickBot="1" x14ac:dyDescent="0.25">
      <c r="A78" s="1">
        <f t="shared" si="6"/>
        <v>78</v>
      </c>
      <c r="B78" s="3"/>
      <c r="C78" s="28" t="s">
        <v>122</v>
      </c>
      <c r="D78" s="18">
        <f>D75-D77</f>
        <v>2073585</v>
      </c>
      <c r="E78" s="10"/>
      <c r="F78" s="10"/>
      <c r="G78" s="10"/>
      <c r="N78" s="10"/>
      <c r="O78" s="10"/>
    </row>
    <row r="79" spans="1:15" ht="15" thickTop="1" x14ac:dyDescent="0.2">
      <c r="A79" s="1">
        <f t="shared" si="6"/>
        <v>79</v>
      </c>
      <c r="N79" s="10"/>
      <c r="O79" s="10"/>
    </row>
    <row r="80" spans="1:15" x14ac:dyDescent="0.2">
      <c r="A80" s="1">
        <f t="shared" si="6"/>
        <v>80</v>
      </c>
      <c r="N80" s="10"/>
      <c r="O80" s="10"/>
    </row>
    <row r="81" spans="1:15" x14ac:dyDescent="0.2">
      <c r="A81" s="1">
        <f t="shared" si="6"/>
        <v>81</v>
      </c>
      <c r="N81" s="10"/>
      <c r="O81" s="10"/>
    </row>
    <row r="82" spans="1:15" x14ac:dyDescent="0.2">
      <c r="A82" s="1">
        <f t="shared" si="6"/>
        <v>82</v>
      </c>
      <c r="N82" s="10"/>
      <c r="O82" s="10"/>
    </row>
    <row r="83" spans="1:15" x14ac:dyDescent="0.2">
      <c r="A83" s="1">
        <f t="shared" si="6"/>
        <v>83</v>
      </c>
      <c r="N83" s="10"/>
      <c r="O83" s="10"/>
    </row>
    <row r="84" spans="1:15" x14ac:dyDescent="0.2">
      <c r="A84" s="1">
        <f t="shared" si="6"/>
        <v>84</v>
      </c>
      <c r="N84" s="10"/>
      <c r="O84" s="10"/>
    </row>
    <row r="85" spans="1:15" x14ac:dyDescent="0.2">
      <c r="A85" s="1">
        <f t="shared" si="6"/>
        <v>85</v>
      </c>
      <c r="N85" s="10"/>
      <c r="O85" s="10"/>
    </row>
    <row r="86" spans="1:15" x14ac:dyDescent="0.2">
      <c r="A86" s="1">
        <f t="shared" si="6"/>
        <v>86</v>
      </c>
      <c r="N86" s="10"/>
      <c r="O86" s="10"/>
    </row>
    <row r="87" spans="1:15" x14ac:dyDescent="0.2">
      <c r="A87" s="1">
        <f t="shared" si="6"/>
        <v>87</v>
      </c>
      <c r="N87" s="10"/>
      <c r="O87" s="10"/>
    </row>
    <row r="88" spans="1:15" x14ac:dyDescent="0.2">
      <c r="A88" s="1">
        <f t="shared" si="6"/>
        <v>88</v>
      </c>
      <c r="N88" s="10"/>
      <c r="O88" s="10"/>
    </row>
    <row r="89" spans="1:15" x14ac:dyDescent="0.2">
      <c r="A89" s="1">
        <f t="shared" si="6"/>
        <v>89</v>
      </c>
      <c r="N89" s="10"/>
      <c r="O89" s="10"/>
    </row>
    <row r="90" spans="1:15" x14ac:dyDescent="0.2">
      <c r="A90" s="1">
        <f t="shared" si="6"/>
        <v>90</v>
      </c>
      <c r="N90" s="10"/>
      <c r="O90" s="10"/>
    </row>
    <row r="91" spans="1:15" x14ac:dyDescent="0.2">
      <c r="A91" s="1">
        <f t="shared" si="6"/>
        <v>91</v>
      </c>
      <c r="N91" s="10"/>
      <c r="O91" s="10"/>
    </row>
    <row r="92" spans="1:15" x14ac:dyDescent="0.2">
      <c r="A92" s="1">
        <f t="shared" si="6"/>
        <v>92</v>
      </c>
      <c r="N92" s="10"/>
      <c r="O92" s="10"/>
    </row>
    <row r="93" spans="1:15" x14ac:dyDescent="0.2">
      <c r="A93" s="1">
        <f t="shared" si="6"/>
        <v>93</v>
      </c>
    </row>
    <row r="94" spans="1:15" x14ac:dyDescent="0.2">
      <c r="A94" s="1">
        <f t="shared" si="6"/>
        <v>94</v>
      </c>
    </row>
    <row r="95" spans="1:15" x14ac:dyDescent="0.2">
      <c r="A95" s="1">
        <f t="shared" si="6"/>
        <v>95</v>
      </c>
    </row>
    <row r="96" spans="1:15" x14ac:dyDescent="0.2">
      <c r="A96" s="1">
        <f t="shared" si="6"/>
        <v>96</v>
      </c>
    </row>
    <row r="97" spans="1:1" x14ac:dyDescent="0.2">
      <c r="A97" s="1">
        <f t="shared" si="6"/>
        <v>97</v>
      </c>
    </row>
    <row r="98" spans="1:1" x14ac:dyDescent="0.2">
      <c r="A98" s="1">
        <f t="shared" si="6"/>
        <v>98</v>
      </c>
    </row>
    <row r="99" spans="1:1" x14ac:dyDescent="0.2">
      <c r="A99" s="1">
        <f t="shared" si="6"/>
        <v>99</v>
      </c>
    </row>
    <row r="100" spans="1:1" x14ac:dyDescent="0.2">
      <c r="A100" s="1">
        <f t="shared" si="6"/>
        <v>100</v>
      </c>
    </row>
    <row r="101" spans="1:1" x14ac:dyDescent="0.2">
      <c r="A101" s="1">
        <f t="shared" si="6"/>
        <v>101</v>
      </c>
    </row>
    <row r="102" spans="1:1" x14ac:dyDescent="0.2">
      <c r="A102" s="1">
        <f t="shared" si="6"/>
        <v>102</v>
      </c>
    </row>
    <row r="103" spans="1:1" x14ac:dyDescent="0.2">
      <c r="A103" s="1">
        <f t="shared" si="6"/>
        <v>103</v>
      </c>
    </row>
    <row r="104" spans="1:1" x14ac:dyDescent="0.2">
      <c r="A104" s="1">
        <f t="shared" si="6"/>
        <v>104</v>
      </c>
    </row>
    <row r="105" spans="1:1" x14ac:dyDescent="0.2">
      <c r="A105" s="1">
        <f t="shared" si="6"/>
        <v>105</v>
      </c>
    </row>
    <row r="106" spans="1:1" x14ac:dyDescent="0.2">
      <c r="A106" s="1">
        <f t="shared" si="6"/>
        <v>106</v>
      </c>
    </row>
    <row r="107" spans="1:1" x14ac:dyDescent="0.2">
      <c r="A107" s="1">
        <f t="shared" si="6"/>
        <v>107</v>
      </c>
    </row>
    <row r="108" spans="1:1" x14ac:dyDescent="0.2">
      <c r="A108" s="1">
        <f t="shared" si="6"/>
        <v>108</v>
      </c>
    </row>
    <row r="109" spans="1:1" x14ac:dyDescent="0.2">
      <c r="A109" s="1">
        <f t="shared" si="6"/>
        <v>109</v>
      </c>
    </row>
    <row r="110" spans="1:1" x14ac:dyDescent="0.2">
      <c r="A110" s="1">
        <f t="shared" si="6"/>
        <v>110</v>
      </c>
    </row>
    <row r="111" spans="1:1" x14ac:dyDescent="0.2">
      <c r="A111" s="1">
        <f t="shared" si="6"/>
        <v>111</v>
      </c>
    </row>
    <row r="112" spans="1:1" x14ac:dyDescent="0.2">
      <c r="A112" s="1">
        <f t="shared" si="6"/>
        <v>112</v>
      </c>
    </row>
    <row r="113" spans="1:1" x14ac:dyDescent="0.2">
      <c r="A113" s="1">
        <f t="shared" si="6"/>
        <v>113</v>
      </c>
    </row>
    <row r="114" spans="1:1" x14ac:dyDescent="0.2">
      <c r="A114" s="1">
        <f t="shared" si="6"/>
        <v>114</v>
      </c>
    </row>
    <row r="115" spans="1:1" x14ac:dyDescent="0.2">
      <c r="A115" s="1">
        <f t="shared" si="6"/>
        <v>115</v>
      </c>
    </row>
    <row r="116" spans="1:1" x14ac:dyDescent="0.2">
      <c r="A116" s="1">
        <f t="shared" si="6"/>
        <v>116</v>
      </c>
    </row>
    <row r="117" spans="1:1" x14ac:dyDescent="0.2">
      <c r="A117" s="1">
        <f t="shared" si="6"/>
        <v>117</v>
      </c>
    </row>
    <row r="118" spans="1:1" x14ac:dyDescent="0.2">
      <c r="A118" s="1">
        <f t="shared" si="6"/>
        <v>118</v>
      </c>
    </row>
    <row r="119" spans="1:1" x14ac:dyDescent="0.2">
      <c r="A119" s="1">
        <f t="shared" si="6"/>
        <v>119</v>
      </c>
    </row>
    <row r="120" spans="1:1" x14ac:dyDescent="0.2">
      <c r="A120" s="1">
        <f t="shared" si="6"/>
        <v>120</v>
      </c>
    </row>
    <row r="121" spans="1:1" x14ac:dyDescent="0.2">
      <c r="A121" s="1">
        <f t="shared" si="6"/>
        <v>121</v>
      </c>
    </row>
    <row r="122" spans="1:1" x14ac:dyDescent="0.2">
      <c r="A122" s="1">
        <f t="shared" si="6"/>
        <v>122</v>
      </c>
    </row>
    <row r="123" spans="1:1" x14ac:dyDescent="0.2">
      <c r="A123" s="1">
        <f t="shared" si="6"/>
        <v>123</v>
      </c>
    </row>
    <row r="124" spans="1:1" x14ac:dyDescent="0.2">
      <c r="A124" s="1">
        <f t="shared" si="6"/>
        <v>124</v>
      </c>
    </row>
    <row r="125" spans="1:1" x14ac:dyDescent="0.2">
      <c r="A125" s="1">
        <f t="shared" si="6"/>
        <v>125</v>
      </c>
    </row>
    <row r="126" spans="1:1" x14ac:dyDescent="0.2">
      <c r="A126" s="1">
        <f t="shared" si="6"/>
        <v>126</v>
      </c>
    </row>
    <row r="127" spans="1:1" x14ac:dyDescent="0.2">
      <c r="A127" s="1">
        <f t="shared" si="6"/>
        <v>127</v>
      </c>
    </row>
    <row r="128" spans="1:1" x14ac:dyDescent="0.2">
      <c r="A128" s="1">
        <f t="shared" si="6"/>
        <v>128</v>
      </c>
    </row>
    <row r="129" spans="1:4" x14ac:dyDescent="0.2">
      <c r="A129" s="1">
        <f t="shared" si="6"/>
        <v>129</v>
      </c>
    </row>
    <row r="130" spans="1:4" x14ac:dyDescent="0.2">
      <c r="A130" s="1">
        <f t="shared" si="6"/>
        <v>130</v>
      </c>
    </row>
    <row r="131" spans="1:4" x14ac:dyDescent="0.2">
      <c r="A131" s="1">
        <f t="shared" ref="A131:A135" si="7">A130+1</f>
        <v>131</v>
      </c>
    </row>
    <row r="132" spans="1:4" x14ac:dyDescent="0.2">
      <c r="A132" s="1">
        <f t="shared" si="7"/>
        <v>132</v>
      </c>
    </row>
    <row r="133" spans="1:4" x14ac:dyDescent="0.2">
      <c r="A133" s="1">
        <f t="shared" si="7"/>
        <v>133</v>
      </c>
    </row>
    <row r="134" spans="1:4" x14ac:dyDescent="0.2">
      <c r="A134" s="1">
        <f t="shared" si="7"/>
        <v>134</v>
      </c>
    </row>
    <row r="135" spans="1:4" x14ac:dyDescent="0.2">
      <c r="A135" s="1">
        <f t="shared" si="7"/>
        <v>135</v>
      </c>
      <c r="D135" s="10"/>
    </row>
  </sheetData>
  <mergeCells count="6">
    <mergeCell ref="J11:K11"/>
    <mergeCell ref="C3:N3"/>
    <mergeCell ref="C4:N4"/>
    <mergeCell ref="D10:G10"/>
    <mergeCell ref="H10:K10"/>
    <mergeCell ref="L10:O10"/>
  </mergeCells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65"/>
  <sheetViews>
    <sheetView zoomScale="80" zoomScaleNormal="80" workbookViewId="0">
      <selection activeCell="F72" sqref="F72"/>
    </sheetView>
  </sheetViews>
  <sheetFormatPr defaultColWidth="15.625" defaultRowHeight="14.25" x14ac:dyDescent="0.2"/>
  <cols>
    <col min="1" max="1" width="5" bestFit="1" customWidth="1"/>
    <col min="3" max="3" width="56.5" customWidth="1"/>
  </cols>
  <sheetData>
    <row r="1" spans="1:10" ht="15" x14ac:dyDescent="0.25">
      <c r="A1" s="1">
        <v>1</v>
      </c>
      <c r="J1" s="34" t="s">
        <v>176</v>
      </c>
    </row>
    <row r="2" spans="1:10" ht="15" x14ac:dyDescent="0.25">
      <c r="A2" s="1">
        <f>A1+1</f>
        <v>2</v>
      </c>
      <c r="J2" s="34" t="s">
        <v>130</v>
      </c>
    </row>
    <row r="3" spans="1:10" x14ac:dyDescent="0.2">
      <c r="A3" s="1">
        <f t="shared" ref="A3:A9" si="0">A2+1</f>
        <v>3</v>
      </c>
    </row>
    <row r="4" spans="1:10" ht="15" x14ac:dyDescent="0.25">
      <c r="A4" s="1">
        <f t="shared" si="0"/>
        <v>4</v>
      </c>
      <c r="C4" s="45" t="s">
        <v>1</v>
      </c>
      <c r="D4" s="45"/>
      <c r="E4" s="45"/>
      <c r="F4" s="45"/>
      <c r="G4" s="45"/>
      <c r="H4" s="45"/>
      <c r="I4" s="45"/>
    </row>
    <row r="5" spans="1:10" ht="15" x14ac:dyDescent="0.25">
      <c r="A5" s="1">
        <f t="shared" si="0"/>
        <v>5</v>
      </c>
      <c r="C5" s="45" t="s">
        <v>131</v>
      </c>
      <c r="D5" s="45"/>
      <c r="E5" s="45"/>
      <c r="F5" s="45"/>
      <c r="G5" s="45"/>
      <c r="H5" s="45"/>
      <c r="I5" s="45"/>
    </row>
    <row r="6" spans="1:10" ht="15" x14ac:dyDescent="0.25">
      <c r="A6" s="1">
        <f t="shared" si="0"/>
        <v>6</v>
      </c>
      <c r="C6" s="45" t="s">
        <v>177</v>
      </c>
      <c r="D6" s="45"/>
      <c r="E6" s="45"/>
      <c r="F6" s="45"/>
      <c r="G6" s="45"/>
      <c r="H6" s="45"/>
      <c r="I6" s="45"/>
    </row>
    <row r="7" spans="1:10" x14ac:dyDescent="0.2">
      <c r="A7" s="1">
        <f t="shared" si="0"/>
        <v>7</v>
      </c>
    </row>
    <row r="8" spans="1:10" x14ac:dyDescent="0.2">
      <c r="A8" s="1">
        <f t="shared" si="0"/>
        <v>8</v>
      </c>
    </row>
    <row r="9" spans="1:10" x14ac:dyDescent="0.2">
      <c r="A9" s="1">
        <f t="shared" si="0"/>
        <v>9</v>
      </c>
      <c r="D9" s="10"/>
      <c r="I9" s="11"/>
      <c r="J9" s="12"/>
    </row>
    <row r="10" spans="1:10" x14ac:dyDescent="0.2">
      <c r="A10" s="1">
        <f t="shared" ref="A10:A65" si="1">A9+1</f>
        <v>10</v>
      </c>
      <c r="B10" t="s">
        <v>132</v>
      </c>
      <c r="D10" s="21"/>
    </row>
    <row r="11" spans="1:10" x14ac:dyDescent="0.2">
      <c r="A11" s="1">
        <f t="shared" si="1"/>
        <v>11</v>
      </c>
      <c r="C11" t="s">
        <v>133</v>
      </c>
      <c r="D11" s="10">
        <f>D62</f>
        <v>1754100</v>
      </c>
      <c r="G11" s="11" t="s">
        <v>114</v>
      </c>
      <c r="H11" s="12">
        <v>1.5E-3</v>
      </c>
      <c r="I11" t="s">
        <v>115</v>
      </c>
    </row>
    <row r="12" spans="1:10" x14ac:dyDescent="0.2">
      <c r="A12" s="1">
        <f t="shared" si="1"/>
        <v>12</v>
      </c>
      <c r="C12" t="s">
        <v>71</v>
      </c>
      <c r="D12" s="15">
        <f>G62</f>
        <v>17648040</v>
      </c>
      <c r="H12" s="12">
        <v>1.1220000000000001E-2</v>
      </c>
      <c r="I12" t="s">
        <v>117</v>
      </c>
    </row>
    <row r="13" spans="1:10" x14ac:dyDescent="0.2">
      <c r="A13" s="1">
        <f t="shared" si="1"/>
        <v>13</v>
      </c>
      <c r="C13" t="s">
        <v>97</v>
      </c>
      <c r="D13" s="10">
        <f>D11+D12</f>
        <v>19402140</v>
      </c>
      <c r="H13" s="13">
        <v>8.633E-3</v>
      </c>
      <c r="I13" t="s">
        <v>119</v>
      </c>
    </row>
    <row r="14" spans="1:10" x14ac:dyDescent="0.2">
      <c r="A14" s="1">
        <f t="shared" si="1"/>
        <v>14</v>
      </c>
      <c r="C14" t="s">
        <v>98</v>
      </c>
      <c r="D14" s="10"/>
      <c r="H14" s="14">
        <v>7.0299999999999998E-3</v>
      </c>
      <c r="I14" t="s">
        <v>121</v>
      </c>
    </row>
    <row r="15" spans="1:10" x14ac:dyDescent="0.2">
      <c r="A15" s="1">
        <f t="shared" si="1"/>
        <v>15</v>
      </c>
      <c r="C15" t="s">
        <v>134</v>
      </c>
      <c r="D15" s="10">
        <f>ROUND(D26*0.125,0)</f>
        <v>0</v>
      </c>
      <c r="G15" s="11" t="s">
        <v>123</v>
      </c>
      <c r="H15" s="12">
        <v>1.6999999999999999E-3</v>
      </c>
    </row>
    <row r="16" spans="1:10" x14ac:dyDescent="0.2">
      <c r="A16" s="1">
        <f t="shared" si="1"/>
        <v>16</v>
      </c>
      <c r="C16" t="s">
        <v>101</v>
      </c>
      <c r="D16" s="10"/>
    </row>
    <row r="17" spans="1:8" x14ac:dyDescent="0.2">
      <c r="A17" s="1">
        <f t="shared" si="1"/>
        <v>17</v>
      </c>
      <c r="C17" t="s">
        <v>135</v>
      </c>
      <c r="D17" s="15">
        <f>E62</f>
        <v>164373</v>
      </c>
    </row>
    <row r="18" spans="1:8" ht="15" thickBot="1" x14ac:dyDescent="0.25">
      <c r="A18" s="1">
        <f t="shared" si="1"/>
        <v>18</v>
      </c>
      <c r="C18" t="s">
        <v>136</v>
      </c>
      <c r="D18" s="18">
        <f>D13+D15-D17</f>
        <v>19237767</v>
      </c>
    </row>
    <row r="19" spans="1:8" ht="15" thickTop="1" x14ac:dyDescent="0.2">
      <c r="A19" s="1">
        <f t="shared" si="1"/>
        <v>19</v>
      </c>
    </row>
    <row r="20" spans="1:8" x14ac:dyDescent="0.2">
      <c r="A20" s="1">
        <f t="shared" si="1"/>
        <v>20</v>
      </c>
      <c r="C20" t="s">
        <v>137</v>
      </c>
      <c r="D20" s="21">
        <v>5.9749999999999998E-2</v>
      </c>
    </row>
    <row r="21" spans="1:8" x14ac:dyDescent="0.2">
      <c r="A21" s="1">
        <f t="shared" si="1"/>
        <v>21</v>
      </c>
    </row>
    <row r="22" spans="1:8" ht="15" thickBot="1" x14ac:dyDescent="0.25">
      <c r="A22" s="1">
        <f t="shared" si="1"/>
        <v>22</v>
      </c>
      <c r="C22" t="s">
        <v>111</v>
      </c>
      <c r="D22" s="16">
        <f>ROUND(D18*D20,0)</f>
        <v>1149457</v>
      </c>
    </row>
    <row r="23" spans="1:8" ht="15" thickTop="1" x14ac:dyDescent="0.2">
      <c r="A23" s="1">
        <f t="shared" si="1"/>
        <v>23</v>
      </c>
    </row>
    <row r="24" spans="1:8" x14ac:dyDescent="0.2">
      <c r="A24" s="1">
        <f t="shared" si="1"/>
        <v>24</v>
      </c>
      <c r="B24" t="s">
        <v>138</v>
      </c>
    </row>
    <row r="25" spans="1:8" x14ac:dyDescent="0.2">
      <c r="A25" s="1">
        <f t="shared" si="1"/>
        <v>25</v>
      </c>
      <c r="C25" t="s">
        <v>139</v>
      </c>
      <c r="D25" s="10">
        <f>J62</f>
        <v>54072</v>
      </c>
      <c r="E25" t="s">
        <v>140</v>
      </c>
    </row>
    <row r="26" spans="1:8" x14ac:dyDescent="0.2">
      <c r="A26" s="1">
        <f t="shared" si="1"/>
        <v>26</v>
      </c>
      <c r="C26" t="s">
        <v>141</v>
      </c>
      <c r="D26" s="10">
        <v>0</v>
      </c>
      <c r="E26" t="s">
        <v>142</v>
      </c>
    </row>
    <row r="27" spans="1:8" x14ac:dyDescent="0.2">
      <c r="A27" s="1">
        <f t="shared" si="1"/>
        <v>27</v>
      </c>
      <c r="C27" t="s">
        <v>143</v>
      </c>
      <c r="D27" s="15">
        <f>H62+I62</f>
        <v>53947</v>
      </c>
    </row>
    <row r="28" spans="1:8" ht="15" thickBot="1" x14ac:dyDescent="0.25">
      <c r="A28" s="1">
        <f t="shared" si="1"/>
        <v>28</v>
      </c>
      <c r="C28" t="s">
        <v>144</v>
      </c>
      <c r="D28" s="18">
        <f>SUM(D25:D27)</f>
        <v>108019</v>
      </c>
    </row>
    <row r="29" spans="1:8" ht="15" thickTop="1" x14ac:dyDescent="0.2">
      <c r="A29" s="1">
        <f t="shared" si="1"/>
        <v>29</v>
      </c>
    </row>
    <row r="30" spans="1:8" x14ac:dyDescent="0.2">
      <c r="A30" s="1">
        <f t="shared" si="1"/>
        <v>30</v>
      </c>
      <c r="B30" t="s">
        <v>145</v>
      </c>
    </row>
    <row r="31" spans="1:8" x14ac:dyDescent="0.2">
      <c r="A31" s="1">
        <f t="shared" si="1"/>
        <v>31</v>
      </c>
      <c r="C31" t="s">
        <v>111</v>
      </c>
      <c r="D31" s="10">
        <f>D22</f>
        <v>1149457</v>
      </c>
    </row>
    <row r="32" spans="1:8" x14ac:dyDescent="0.2">
      <c r="A32" s="1">
        <f t="shared" si="1"/>
        <v>32</v>
      </c>
      <c r="C32" t="s">
        <v>144</v>
      </c>
      <c r="D32" s="15">
        <f>D28</f>
        <v>108019</v>
      </c>
      <c r="G32" s="29"/>
      <c r="H32" s="30"/>
    </row>
    <row r="33" spans="1:16" x14ac:dyDescent="0.2">
      <c r="A33" s="1">
        <f t="shared" si="1"/>
        <v>33</v>
      </c>
      <c r="C33" t="s">
        <v>146</v>
      </c>
      <c r="D33" s="10">
        <f>D31+D32</f>
        <v>1257476</v>
      </c>
      <c r="F33" s="29"/>
      <c r="G33" s="30"/>
    </row>
    <row r="34" spans="1:16" x14ac:dyDescent="0.2">
      <c r="A34" s="1">
        <f t="shared" si="1"/>
        <v>34</v>
      </c>
      <c r="C34" t="s">
        <v>147</v>
      </c>
      <c r="D34" s="20">
        <v>0.99360000000000004</v>
      </c>
    </row>
    <row r="35" spans="1:16" x14ac:dyDescent="0.2">
      <c r="A35" s="1">
        <f t="shared" si="1"/>
        <v>35</v>
      </c>
      <c r="C35" t="s">
        <v>148</v>
      </c>
      <c r="J35" s="10"/>
      <c r="K35" s="10"/>
      <c r="L35" s="10"/>
      <c r="M35" s="10"/>
      <c r="N35" s="10"/>
      <c r="O35" s="10"/>
      <c r="P35" s="10"/>
    </row>
    <row r="36" spans="1:16" ht="15" thickBot="1" x14ac:dyDescent="0.25">
      <c r="A36" s="1">
        <f t="shared" si="1"/>
        <v>36</v>
      </c>
      <c r="C36" t="s">
        <v>120</v>
      </c>
      <c r="D36" s="16">
        <f>ROUND(D33*D34,0)</f>
        <v>1249428</v>
      </c>
      <c r="F36" s="29"/>
      <c r="G36" s="30"/>
    </row>
    <row r="37" spans="1:16" ht="15" thickTop="1" x14ac:dyDescent="0.2">
      <c r="A37" s="1">
        <f t="shared" si="1"/>
        <v>37</v>
      </c>
    </row>
    <row r="38" spans="1:16" x14ac:dyDescent="0.2">
      <c r="A38" s="1">
        <f t="shared" si="1"/>
        <v>38</v>
      </c>
    </row>
    <row r="39" spans="1:16" x14ac:dyDescent="0.2">
      <c r="A39" s="1">
        <f t="shared" si="1"/>
        <v>39</v>
      </c>
      <c r="B39" s="26" t="s">
        <v>149</v>
      </c>
    </row>
    <row r="40" spans="1:16" x14ac:dyDescent="0.2">
      <c r="A40" s="1">
        <f t="shared" si="1"/>
        <v>40</v>
      </c>
    </row>
    <row r="41" spans="1:16" x14ac:dyDescent="0.2">
      <c r="A41" s="1">
        <f t="shared" si="1"/>
        <v>41</v>
      </c>
      <c r="B41" s="3" t="s">
        <v>61</v>
      </c>
      <c r="C41" s="3"/>
      <c r="D41" s="3" t="s">
        <v>62</v>
      </c>
      <c r="E41" s="3" t="s">
        <v>63</v>
      </c>
      <c r="F41" s="3" t="s">
        <v>64</v>
      </c>
      <c r="G41" s="3"/>
      <c r="H41" s="3" t="s">
        <v>65</v>
      </c>
      <c r="I41" s="3" t="s">
        <v>65</v>
      </c>
      <c r="J41" s="3" t="s">
        <v>70</v>
      </c>
    </row>
    <row r="42" spans="1:16" ht="15" thickBot="1" x14ac:dyDescent="0.25">
      <c r="A42" s="1">
        <f t="shared" si="1"/>
        <v>42</v>
      </c>
      <c r="B42" s="5" t="s">
        <v>67</v>
      </c>
      <c r="C42" s="5" t="s">
        <v>68</v>
      </c>
      <c r="D42" s="5" t="s">
        <v>69</v>
      </c>
      <c r="E42" s="5" t="s">
        <v>70</v>
      </c>
      <c r="F42" s="5" t="s">
        <v>69</v>
      </c>
      <c r="G42" s="5" t="s">
        <v>71</v>
      </c>
      <c r="H42" s="5" t="s">
        <v>72</v>
      </c>
      <c r="I42" s="5" t="s">
        <v>73</v>
      </c>
      <c r="J42" s="5" t="s">
        <v>150</v>
      </c>
    </row>
    <row r="43" spans="1:16" x14ac:dyDescent="0.2">
      <c r="A43" s="1">
        <f t="shared" si="1"/>
        <v>43</v>
      </c>
    </row>
    <row r="44" spans="1:16" x14ac:dyDescent="0.2">
      <c r="A44" s="1">
        <f t="shared" si="1"/>
        <v>44</v>
      </c>
      <c r="B44" s="3" t="s">
        <v>151</v>
      </c>
      <c r="C44" t="s">
        <v>152</v>
      </c>
      <c r="D44" s="10">
        <v>0</v>
      </c>
      <c r="E44" s="10">
        <v>0</v>
      </c>
      <c r="F44" s="10">
        <f t="shared" ref="F44:F51" si="2">D44-E44</f>
        <v>0</v>
      </c>
      <c r="G44" s="10">
        <v>4596029</v>
      </c>
      <c r="H44" s="10">
        <f>ROUND((G44*0.5)*$H$11,0)</f>
        <v>3447</v>
      </c>
      <c r="I44" s="10">
        <v>0</v>
      </c>
      <c r="J44" s="10">
        <v>0</v>
      </c>
    </row>
    <row r="45" spans="1:16" x14ac:dyDescent="0.2">
      <c r="A45" s="1">
        <f t="shared" si="1"/>
        <v>45</v>
      </c>
      <c r="B45" s="3" t="s">
        <v>153</v>
      </c>
      <c r="C45" t="s">
        <v>154</v>
      </c>
      <c r="D45" s="10">
        <v>0</v>
      </c>
      <c r="E45" s="10">
        <v>0</v>
      </c>
      <c r="F45" s="10">
        <f t="shared" si="2"/>
        <v>0</v>
      </c>
      <c r="G45" s="10">
        <v>0</v>
      </c>
      <c r="H45" s="10">
        <v>0</v>
      </c>
      <c r="I45" s="10">
        <v>0</v>
      </c>
      <c r="J45" s="10">
        <v>0</v>
      </c>
    </row>
    <row r="46" spans="1:16" x14ac:dyDescent="0.2">
      <c r="A46" s="1">
        <f t="shared" si="1"/>
        <v>46</v>
      </c>
      <c r="B46" s="3" t="s">
        <v>155</v>
      </c>
      <c r="C46" t="s">
        <v>156</v>
      </c>
      <c r="D46" s="10">
        <v>224529</v>
      </c>
      <c r="E46" s="10">
        <v>19028</v>
      </c>
      <c r="F46" s="10">
        <f t="shared" si="2"/>
        <v>205501</v>
      </c>
      <c r="G46" s="10">
        <v>0</v>
      </c>
      <c r="H46" s="10">
        <f>ROUND(F46*$H$11,0)</f>
        <v>308</v>
      </c>
      <c r="I46" s="10">
        <f>ROUND(F46*$H$15,0)</f>
        <v>349</v>
      </c>
      <c r="J46" s="10">
        <v>6000</v>
      </c>
    </row>
    <row r="47" spans="1:16" x14ac:dyDescent="0.2">
      <c r="A47" s="1">
        <f t="shared" si="1"/>
        <v>47</v>
      </c>
      <c r="B47" s="3" t="s">
        <v>157</v>
      </c>
      <c r="C47" t="s">
        <v>158</v>
      </c>
      <c r="D47" s="10">
        <v>0</v>
      </c>
      <c r="E47" s="10">
        <v>0</v>
      </c>
      <c r="F47" s="10">
        <f t="shared" si="2"/>
        <v>0</v>
      </c>
      <c r="G47" s="10">
        <v>4602878</v>
      </c>
      <c r="H47" s="10">
        <f>ROUND((G47*0.5)*$H$11,0)</f>
        <v>3452</v>
      </c>
      <c r="I47" s="10">
        <v>0</v>
      </c>
      <c r="J47" s="10">
        <v>0</v>
      </c>
    </row>
    <row r="48" spans="1:16" x14ac:dyDescent="0.2">
      <c r="A48" s="1">
        <f t="shared" si="1"/>
        <v>48</v>
      </c>
      <c r="B48" s="3" t="s">
        <v>159</v>
      </c>
      <c r="C48" t="s">
        <v>160</v>
      </c>
      <c r="D48" s="10">
        <v>359709</v>
      </c>
      <c r="E48" s="10">
        <v>47134</v>
      </c>
      <c r="F48" s="10">
        <f t="shared" si="2"/>
        <v>312575</v>
      </c>
      <c r="G48" s="10">
        <v>0</v>
      </c>
      <c r="H48" s="10">
        <f>ROUND(F48*$H$14,0)</f>
        <v>2197</v>
      </c>
      <c r="I48" s="10">
        <f>ROUND(F48*$H$15,0)</f>
        <v>531</v>
      </c>
      <c r="J48" s="10">
        <v>14388</v>
      </c>
    </row>
    <row r="49" spans="1:10" x14ac:dyDescent="0.2">
      <c r="A49" s="1">
        <f t="shared" si="1"/>
        <v>49</v>
      </c>
      <c r="B49" s="3" t="s">
        <v>161</v>
      </c>
      <c r="C49" t="s">
        <v>162</v>
      </c>
      <c r="D49" s="10">
        <v>325446</v>
      </c>
      <c r="E49" s="10">
        <v>29937</v>
      </c>
      <c r="F49" s="10">
        <f t="shared" si="2"/>
        <v>295509</v>
      </c>
      <c r="G49" s="10">
        <v>0</v>
      </c>
      <c r="H49" s="10">
        <f>ROUND(F49*$H$13,0)</f>
        <v>2551</v>
      </c>
      <c r="I49" s="10">
        <f>ROUND(F49*$H$15,0)</f>
        <v>502</v>
      </c>
      <c r="J49" s="10">
        <v>7680</v>
      </c>
    </row>
    <row r="50" spans="1:10" x14ac:dyDescent="0.2">
      <c r="A50" s="1">
        <f t="shared" si="1"/>
        <v>50</v>
      </c>
      <c r="B50" s="3">
        <v>27</v>
      </c>
      <c r="C50" t="s">
        <v>163</v>
      </c>
      <c r="D50" s="10">
        <v>0</v>
      </c>
      <c r="E50" s="10">
        <v>0</v>
      </c>
      <c r="F50" s="10">
        <f t="shared" si="2"/>
        <v>0</v>
      </c>
      <c r="G50" s="10">
        <v>23188</v>
      </c>
      <c r="H50" s="10">
        <f>ROUND((G50*0.5)*$H$14,0)</f>
        <v>82</v>
      </c>
      <c r="I50" s="10">
        <v>0</v>
      </c>
      <c r="J50" s="10">
        <v>0</v>
      </c>
    </row>
    <row r="51" spans="1:10" x14ac:dyDescent="0.2">
      <c r="A51" s="1">
        <f t="shared" si="1"/>
        <v>51</v>
      </c>
      <c r="B51" s="3">
        <v>28</v>
      </c>
      <c r="C51" t="s">
        <v>164</v>
      </c>
      <c r="D51" s="10">
        <v>249045</v>
      </c>
      <c r="E51" s="10">
        <v>24243</v>
      </c>
      <c r="F51" s="10">
        <f t="shared" si="2"/>
        <v>224802</v>
      </c>
      <c r="G51" s="10">
        <v>0</v>
      </c>
      <c r="H51" s="10">
        <f>ROUND(F51*$H$12,0)</f>
        <v>2522</v>
      </c>
      <c r="I51" s="10">
        <f>ROUND(F51*$H$15,0)</f>
        <v>382</v>
      </c>
      <c r="J51" s="10">
        <v>7860</v>
      </c>
    </row>
    <row r="52" spans="1:10" x14ac:dyDescent="0.2">
      <c r="A52" s="1">
        <f t="shared" si="1"/>
        <v>52</v>
      </c>
      <c r="B52" s="3">
        <v>30</v>
      </c>
      <c r="C52" t="s">
        <v>165</v>
      </c>
      <c r="D52" s="10">
        <v>0</v>
      </c>
      <c r="E52" s="10">
        <v>0</v>
      </c>
      <c r="F52" s="10">
        <f t="shared" ref="F52:F59" si="3">D52-E52</f>
        <v>0</v>
      </c>
      <c r="G52" s="10">
        <v>0</v>
      </c>
      <c r="H52" s="10">
        <v>0</v>
      </c>
      <c r="I52" s="10">
        <v>0</v>
      </c>
      <c r="J52" s="10">
        <v>0</v>
      </c>
    </row>
    <row r="53" spans="1:10" x14ac:dyDescent="0.2">
      <c r="A53" s="1">
        <f t="shared" si="1"/>
        <v>53</v>
      </c>
      <c r="B53" s="3">
        <v>31</v>
      </c>
      <c r="C53" t="s">
        <v>166</v>
      </c>
      <c r="D53" s="10">
        <v>0</v>
      </c>
      <c r="E53" s="10">
        <v>0</v>
      </c>
      <c r="F53" s="10">
        <f t="shared" si="3"/>
        <v>0</v>
      </c>
      <c r="G53" s="10">
        <v>2347626</v>
      </c>
      <c r="H53" s="10">
        <f>ROUND((G53*0.5)*$H$11,0)</f>
        <v>1761</v>
      </c>
      <c r="I53" s="10">
        <v>0</v>
      </c>
      <c r="J53" s="10">
        <v>0</v>
      </c>
    </row>
    <row r="54" spans="1:10" x14ac:dyDescent="0.2">
      <c r="A54" s="1">
        <f t="shared" si="1"/>
        <v>54</v>
      </c>
      <c r="B54" s="3">
        <v>32</v>
      </c>
      <c r="C54" t="s">
        <v>167</v>
      </c>
      <c r="D54" s="10">
        <v>0</v>
      </c>
      <c r="E54" s="10">
        <v>0</v>
      </c>
      <c r="F54" s="10">
        <f t="shared" si="3"/>
        <v>0</v>
      </c>
      <c r="G54" s="10">
        <v>0</v>
      </c>
      <c r="H54" s="10">
        <v>0</v>
      </c>
      <c r="I54" s="10">
        <v>0</v>
      </c>
      <c r="J54" s="10">
        <v>0</v>
      </c>
    </row>
    <row r="55" spans="1:10" x14ac:dyDescent="0.2">
      <c r="A55" s="1">
        <f t="shared" si="1"/>
        <v>55</v>
      </c>
      <c r="B55" s="3">
        <v>34</v>
      </c>
      <c r="C55" t="s">
        <v>168</v>
      </c>
      <c r="D55" s="10">
        <v>127547</v>
      </c>
      <c r="E55" s="10">
        <v>9276</v>
      </c>
      <c r="F55" s="10">
        <f>D55-E55</f>
        <v>118271</v>
      </c>
      <c r="G55" s="10">
        <v>0</v>
      </c>
      <c r="H55" s="10">
        <f>ROUND(F55*$H$11,0)</f>
        <v>177</v>
      </c>
      <c r="I55" s="10">
        <f>ROUND(F55*$H$15,0)</f>
        <v>201</v>
      </c>
      <c r="J55" s="10">
        <v>4008</v>
      </c>
    </row>
    <row r="56" spans="1:10" x14ac:dyDescent="0.2">
      <c r="A56" s="1">
        <f t="shared" si="1"/>
        <v>56</v>
      </c>
      <c r="B56" s="3">
        <v>34</v>
      </c>
      <c r="C56" t="s">
        <v>169</v>
      </c>
      <c r="D56" s="10">
        <v>99165</v>
      </c>
      <c r="E56" s="10">
        <v>3513</v>
      </c>
      <c r="F56" s="10">
        <f>D56-E56</f>
        <v>95652</v>
      </c>
      <c r="G56" s="10">
        <v>0</v>
      </c>
      <c r="H56" s="10">
        <f>ROUND(F56*$H$11,0)</f>
        <v>143</v>
      </c>
      <c r="I56" s="10">
        <f>ROUND(F56*$H$15,0)</f>
        <v>163</v>
      </c>
      <c r="J56" s="10">
        <v>3636</v>
      </c>
    </row>
    <row r="57" spans="1:10" x14ac:dyDescent="0.2">
      <c r="A57" s="1">
        <f t="shared" si="1"/>
        <v>57</v>
      </c>
      <c r="B57" s="3">
        <v>35</v>
      </c>
      <c r="C57" t="s">
        <v>170</v>
      </c>
      <c r="D57" s="10">
        <v>368659</v>
      </c>
      <c r="E57" s="10">
        <v>31242</v>
      </c>
      <c r="F57" s="10">
        <f>D57-E57</f>
        <v>337417</v>
      </c>
      <c r="G57" s="10">
        <v>0</v>
      </c>
      <c r="H57" s="10">
        <f>ROUND(F57*$H$11,0)</f>
        <v>506</v>
      </c>
      <c r="I57" s="10">
        <f>ROUND(F57*$H$15,0)</f>
        <v>574</v>
      </c>
      <c r="J57" s="10">
        <v>10500</v>
      </c>
    </row>
    <row r="58" spans="1:10" x14ac:dyDescent="0.2">
      <c r="A58" s="1">
        <f t="shared" si="1"/>
        <v>58</v>
      </c>
      <c r="B58" s="3">
        <v>38</v>
      </c>
      <c r="C58" t="s">
        <v>171</v>
      </c>
      <c r="D58" s="10">
        <v>0</v>
      </c>
      <c r="E58" s="10">
        <v>0</v>
      </c>
      <c r="F58" s="10">
        <f t="shared" si="3"/>
        <v>0</v>
      </c>
      <c r="G58" s="10">
        <v>0</v>
      </c>
      <c r="H58" s="10">
        <v>0</v>
      </c>
      <c r="I58" s="10">
        <v>0</v>
      </c>
      <c r="J58" s="10">
        <v>0</v>
      </c>
    </row>
    <row r="59" spans="1:10" x14ac:dyDescent="0.2">
      <c r="A59" s="1">
        <f t="shared" si="1"/>
        <v>59</v>
      </c>
      <c r="B59" s="3">
        <v>39</v>
      </c>
      <c r="C59" t="s">
        <v>172</v>
      </c>
      <c r="D59" s="10">
        <v>0</v>
      </c>
      <c r="E59" s="10">
        <v>0</v>
      </c>
      <c r="F59" s="10">
        <f t="shared" si="3"/>
        <v>0</v>
      </c>
      <c r="G59" s="10">
        <v>6077174</v>
      </c>
      <c r="H59" s="10">
        <f>ROUND((G59*0.5)*$H$12,0)</f>
        <v>34093</v>
      </c>
      <c r="I59" s="10">
        <v>0</v>
      </c>
      <c r="J59" s="10">
        <v>0</v>
      </c>
    </row>
    <row r="60" spans="1:10" x14ac:dyDescent="0.2">
      <c r="A60" s="1">
        <f t="shared" si="1"/>
        <v>60</v>
      </c>
      <c r="B60" s="3">
        <v>40</v>
      </c>
      <c r="C60" t="s">
        <v>173</v>
      </c>
      <c r="D60" s="15">
        <v>0</v>
      </c>
      <c r="E60" s="15">
        <v>0</v>
      </c>
      <c r="F60" s="15">
        <v>0</v>
      </c>
      <c r="G60" s="15">
        <v>1145</v>
      </c>
      <c r="H60" s="15">
        <f>ROUND((G60*0.5)*$H$12,0)</f>
        <v>6</v>
      </c>
      <c r="I60" s="15">
        <v>0</v>
      </c>
      <c r="J60" s="15">
        <v>0</v>
      </c>
    </row>
    <row r="61" spans="1:10" x14ac:dyDescent="0.2">
      <c r="A61" s="1">
        <f t="shared" si="1"/>
        <v>61</v>
      </c>
    </row>
    <row r="62" spans="1:10" ht="15" thickBot="1" x14ac:dyDescent="0.25">
      <c r="A62" s="1">
        <f t="shared" si="1"/>
        <v>62</v>
      </c>
      <c r="C62" t="s">
        <v>21</v>
      </c>
      <c r="D62" s="16">
        <f t="shared" ref="D62:J62" si="4">SUM(D44:D60)</f>
        <v>1754100</v>
      </c>
      <c r="E62" s="16">
        <f t="shared" si="4"/>
        <v>164373</v>
      </c>
      <c r="F62" s="16">
        <f t="shared" si="4"/>
        <v>1589727</v>
      </c>
      <c r="G62" s="16">
        <f t="shared" si="4"/>
        <v>17648040</v>
      </c>
      <c r="H62" s="16">
        <f t="shared" si="4"/>
        <v>51245</v>
      </c>
      <c r="I62" s="16">
        <f t="shared" si="4"/>
        <v>2702</v>
      </c>
      <c r="J62" s="16">
        <f t="shared" si="4"/>
        <v>54072</v>
      </c>
    </row>
    <row r="63" spans="1:10" ht="15" thickTop="1" x14ac:dyDescent="0.2">
      <c r="A63" s="1">
        <f t="shared" si="1"/>
        <v>63</v>
      </c>
    </row>
    <row r="64" spans="1:10" ht="15" x14ac:dyDescent="0.25">
      <c r="A64" s="1">
        <f t="shared" si="1"/>
        <v>64</v>
      </c>
      <c r="B64" s="2" t="s">
        <v>53</v>
      </c>
    </row>
    <row r="65" spans="1:2" x14ac:dyDescent="0.2">
      <c r="A65" s="1">
        <f t="shared" si="1"/>
        <v>65</v>
      </c>
      <c r="B65" t="s">
        <v>178</v>
      </c>
    </row>
  </sheetData>
  <mergeCells count="3">
    <mergeCell ref="C4:I4"/>
    <mergeCell ref="C5:I5"/>
    <mergeCell ref="C6:I6"/>
  </mergeCells>
  <pageMargins left="0.7" right="0.7" top="0.75" bottom="0.75" header="0.3" footer="0.3"/>
  <pageSetup orientation="portrait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BF1761B99A93040A03A8E42C6E42200" ma:contentTypeVersion="17" ma:contentTypeDescription="Create a new document." ma:contentTypeScope="" ma:versionID="980b554da23a07fc20832a1dd7bf2e0e">
  <xsd:schema xmlns:xsd="http://www.w3.org/2001/XMLSchema" xmlns:xs="http://www.w3.org/2001/XMLSchema" xmlns:p="http://schemas.microsoft.com/office/2006/metadata/properties" xmlns:ns2="ae06fcea-541a-49e3-952a-5eaf56d381f3" xmlns:ns3="daea435f-7073-4c60-9060-e78a3a9f8d50" targetNamespace="http://schemas.microsoft.com/office/2006/metadata/properties" ma:root="true" ma:fieldsID="8e4adc7ef244004100da516e020dff9c" ns2:_="" ns3:_="">
    <xsd:import namespace="ae06fcea-541a-49e3-952a-5eaf56d381f3"/>
    <xsd:import namespace="daea435f-7073-4c60-9060-e78a3a9f8d50"/>
    <xsd:element name="properties">
      <xsd:complexType>
        <xsd:sequence>
          <xsd:element name="documentManagement">
            <xsd:complexType>
              <xsd:all>
                <xsd:element ref="ns2:Comment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06fcea-541a-49e3-952a-5eaf56d381f3" elementFormDefault="qualified">
    <xsd:import namespace="http://schemas.microsoft.com/office/2006/documentManagement/types"/>
    <xsd:import namespace="http://schemas.microsoft.com/office/infopath/2007/PartnerControls"/>
    <xsd:element name="Comment" ma:index="3" nillable="true" ma:displayName="Comment" ma:internalName="Comment" ma:readOnly="false">
      <xsd:simpleType>
        <xsd:restriction base="dms:Text">
          <xsd:maxLength value="255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a2f345f3-6a94-45cd-9be3-ab551ccca9b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ea435f-7073-4c60-9060-e78a3a9f8d5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16" nillable="true" ma:displayName="Taxonomy Catch All Column" ma:hidden="true" ma:list="{fc3f6179-9671-476d-b47b-6bb1899845eb}" ma:internalName="TaxCatchAll" ma:readOnly="false" ma:showField="CatchAllData" ma:web="daea435f-7073-4c60-9060-e78a3a9f8d5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aea435f-7073-4c60-9060-e78a3a9f8d50" xsi:nil="true"/>
    <lcf76f155ced4ddcb4097134ff3c332f xmlns="ae06fcea-541a-49e3-952a-5eaf56d381f3">
      <Terms xmlns="http://schemas.microsoft.com/office/infopath/2007/PartnerControls"/>
    </lcf76f155ced4ddcb4097134ff3c332f>
    <Comment xmlns="ae06fcea-541a-49e3-952a-5eaf56d381f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0F0D22-B36E-4D90-B50F-182A1ED13B6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06fcea-541a-49e3-952a-5eaf56d381f3"/>
    <ds:schemaRef ds:uri="daea435f-7073-4c60-9060-e78a3a9f8d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7B1AAFF-055D-424C-99F9-50001342AC1E}">
  <ds:schemaRefs>
    <ds:schemaRef ds:uri="daea435f-7073-4c60-9060-e78a3a9f8d50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ae06fcea-541a-49e3-952a-5eaf56d381f3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AC823DA-AC4B-4FA7-A5B8-82CFB616DC7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Impacts</vt:lpstr>
      <vt:lpstr>Proposed - YE 2025</vt:lpstr>
      <vt:lpstr>Proposed - YE 2026</vt:lpstr>
      <vt:lpstr>Proposed - YE 2027</vt:lpstr>
      <vt:lpstr>Proposed - YE 2028</vt:lpstr>
      <vt:lpstr>BESF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Isaac Scott</dc:creator>
  <cp:keywords/>
  <dc:description/>
  <cp:lastModifiedBy>Jacob Watson</cp:lastModifiedBy>
  <cp:revision/>
  <dcterms:created xsi:type="dcterms:W3CDTF">2023-02-24T16:15:37Z</dcterms:created>
  <dcterms:modified xsi:type="dcterms:W3CDTF">2025-07-02T16:08:44Z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0x0101002BF1761B99A93040A03A8E42C6E42200</vt:lpwstr>
  </property>
  <property fmtid="{D5CDD505-2E9C-101B-9397-08002B2CF9AE}" pid="3" name="MediaServiceImageTags">
    <vt:lpwstr/>
  </property>
</Properties>
</file>