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34.xml" ContentType="application/vnd.openxmlformats-officedocument.spreadsheetml.externalLink+xml"/>
  <Override PartName="/xl/externalLinks/externalLink235.xml" ContentType="application/vnd.openxmlformats-officedocument.spreadsheetml.externalLink+xml"/>
  <Override PartName="/xl/externalLinks/externalLink236.xml" ContentType="application/vnd.openxmlformats-officedocument.spreadsheetml.externalLink+xml"/>
  <Override PartName="/xl/externalLinks/externalLink237.xml" ContentType="application/vnd.openxmlformats-officedocument.spreadsheetml.externalLink+xml"/>
  <Override PartName="/xl/externalLinks/externalLink238.xml" ContentType="application/vnd.openxmlformats-officedocument.spreadsheetml.externalLink+xml"/>
  <Override PartName="/xl/externalLinks/externalLink239.xml" ContentType="application/vnd.openxmlformats-officedocument.spreadsheetml.externalLink+xml"/>
  <Override PartName="/xl/externalLinks/externalLink240.xml" ContentType="application/vnd.openxmlformats-officedocument.spreadsheetml.externalLink+xml"/>
  <Override PartName="/xl/externalLinks/externalLink241.xml" ContentType="application/vnd.openxmlformats-officedocument.spreadsheetml.externalLink+xml"/>
  <Override PartName="/xl/externalLinks/externalLink242.xml" ContentType="application/vnd.openxmlformats-officedocument.spreadsheetml.externalLink+xml"/>
  <Override PartName="/xl/externalLinks/externalLink243.xml" ContentType="application/vnd.openxmlformats-officedocument.spreadsheetml.externalLink+xml"/>
  <Override PartName="/xl/externalLinks/externalLink244.xml" ContentType="application/vnd.openxmlformats-officedocument.spreadsheetml.externalLink+xml"/>
  <Override PartName="/xl/externalLinks/externalLink245.xml" ContentType="application/vnd.openxmlformats-officedocument.spreadsheetml.externalLink+xml"/>
  <Override PartName="/xl/externalLinks/externalLink246.xml" ContentType="application/vnd.openxmlformats-officedocument.spreadsheetml.externalLink+xml"/>
  <Override PartName="/xl/externalLinks/externalLink247.xml" ContentType="application/vnd.openxmlformats-officedocument.spreadsheetml.externalLink+xml"/>
  <Override PartName="/xl/externalLinks/externalLink248.xml" ContentType="application/vnd.openxmlformats-officedocument.spreadsheetml.externalLink+xml"/>
  <Override PartName="/xl/externalLinks/externalLink249.xml" ContentType="application/vnd.openxmlformats-officedocument.spreadsheetml.externalLink+xml"/>
  <Override PartName="/xl/externalLinks/externalLink250.xml" ContentType="application/vnd.openxmlformats-officedocument.spreadsheetml.externalLink+xml"/>
  <Override PartName="/xl/externalLinks/externalLink251.xml" ContentType="application/vnd.openxmlformats-officedocument.spreadsheetml.externalLink+xml"/>
  <Override PartName="/xl/externalLinks/externalLink252.xml" ContentType="application/vnd.openxmlformats-officedocument.spreadsheetml.externalLink+xml"/>
  <Override PartName="/xl/externalLinks/externalLink253.xml" ContentType="application/vnd.openxmlformats-officedocument.spreadsheetml.externalLink+xml"/>
  <Override PartName="/xl/externalLinks/externalLink254.xml" ContentType="application/vnd.openxmlformats-officedocument.spreadsheetml.externalLink+xml"/>
  <Override PartName="/xl/externalLinks/externalLink255.xml" ContentType="application/vnd.openxmlformats-officedocument.spreadsheetml.externalLink+xml"/>
  <Override PartName="/xl/externalLinks/externalLink256.xml" ContentType="application/vnd.openxmlformats-officedocument.spreadsheetml.externalLink+xml"/>
  <Override PartName="/xl/externalLinks/externalLink257.xml" ContentType="application/vnd.openxmlformats-officedocument.spreadsheetml.externalLink+xml"/>
  <Override PartName="/xl/externalLinks/externalLink258.xml" ContentType="application/vnd.openxmlformats-officedocument.spreadsheetml.externalLink+xml"/>
  <Override PartName="/xl/externalLinks/externalLink259.xml" ContentType="application/vnd.openxmlformats-officedocument.spreadsheetml.externalLink+xml"/>
  <Override PartName="/xl/externalLinks/externalLink260.xml" ContentType="application/vnd.openxmlformats-officedocument.spreadsheetml.externalLink+xml"/>
  <Override PartName="/xl/externalLinks/externalLink261.xml" ContentType="application/vnd.openxmlformats-officedocument.spreadsheetml.externalLink+xml"/>
  <Override PartName="/xl/externalLinks/externalLink262.xml" ContentType="application/vnd.openxmlformats-officedocument.spreadsheetml.externalLink+xml"/>
  <Override PartName="/xl/externalLinks/externalLink263.xml" ContentType="application/vnd.openxmlformats-officedocument.spreadsheetml.externalLink+xml"/>
  <Override PartName="/xl/externalLinks/externalLink264.xml" ContentType="application/vnd.openxmlformats-officedocument.spreadsheetml.externalLink+xml"/>
  <Override PartName="/xl/externalLinks/externalLink265.xml" ContentType="application/vnd.openxmlformats-officedocument.spreadsheetml.externalLink+xml"/>
  <Override PartName="/xl/externalLinks/externalLink266.xml" ContentType="application/vnd.openxmlformats-officedocument.spreadsheetml.externalLink+xml"/>
  <Override PartName="/xl/externalLinks/externalLink267.xml" ContentType="application/vnd.openxmlformats-officedocument.spreadsheetml.externalLink+xml"/>
  <Override PartName="/xl/externalLinks/externalLink268.xml" ContentType="application/vnd.openxmlformats-officedocument.spreadsheetml.externalLink+xml"/>
  <Override PartName="/xl/externalLinks/externalLink269.xml" ContentType="application/vnd.openxmlformats-officedocument.spreadsheetml.externalLink+xml"/>
  <Override PartName="/xl/externalLinks/externalLink270.xml" ContentType="application/vnd.openxmlformats-officedocument.spreadsheetml.externalLink+xml"/>
  <Override PartName="/xl/externalLinks/externalLink271.xml" ContentType="application/vnd.openxmlformats-officedocument.spreadsheetml.externalLink+xml"/>
  <Override PartName="/xl/externalLinks/externalLink27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sserver2\KPSC Cases\0.0 - BR 2025-00052 - ES Reviews Thru Jan 2025\Res to 1st IRs and DT Prep\0.0 Don's Rvw\"/>
    </mc:Choice>
  </mc:AlternateContent>
  <xr:revisionPtr revIDLastSave="0" documentId="13_ncr:1_{6A642CCA-0949-420A-9705-527577ED5E69}" xr6:coauthVersionLast="47" xr6:coauthVersionMax="47" xr10:uidLastSave="{00000000-0000-0000-0000-000000000000}"/>
  <bookViews>
    <workbookView xWindow="28680" yWindow="-135" windowWidth="29040" windowHeight="15840" firstSheet="2" activeTab="5" xr2:uid="{00000000-000D-0000-FFFF-FFFF00000000}"/>
  </bookViews>
  <sheets>
    <sheet name="Att(1of6)(JP-Non)" sheetId="1" r:id="rId1"/>
    <sheet name="Att(2of6)(Kenergy-Non)" sheetId="12" r:id="rId2"/>
    <sheet name="Att(3of6)(MC-Non)" sheetId="13" r:id="rId3"/>
    <sheet name="Att(4of6)(JP-Dedicated)" sheetId="2" r:id="rId4"/>
    <sheet name="Att(5of6)(Kenergy-Dedicated)" sheetId="15" r:id="rId5"/>
    <sheet name="Att(6of6)(MC-Dedicated)" sheetId="18" r:id="rId6"/>
    <sheet name="Review Periods (NOT FILED)" sheetId="17" r:id="rId7"/>
    <sheet name="Member ES Template(NOT FILED)" sheetId="6" state="hidden" r:id="rId8"/>
    <sheet name="ErrorChecks (NOT FILED)" sheetId="5"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 r:id="rId237"/>
    <externalReference r:id="rId238"/>
    <externalReference r:id="rId239"/>
    <externalReference r:id="rId240"/>
    <externalReference r:id="rId241"/>
    <externalReference r:id="rId242"/>
    <externalReference r:id="rId243"/>
    <externalReference r:id="rId244"/>
    <externalReference r:id="rId245"/>
    <externalReference r:id="rId246"/>
    <externalReference r:id="rId247"/>
    <externalReference r:id="rId248"/>
    <externalReference r:id="rId249"/>
    <externalReference r:id="rId250"/>
    <externalReference r:id="rId251"/>
    <externalReference r:id="rId252"/>
    <externalReference r:id="rId253"/>
    <externalReference r:id="rId254"/>
    <externalReference r:id="rId255"/>
    <externalReference r:id="rId256"/>
    <externalReference r:id="rId257"/>
    <externalReference r:id="rId258"/>
    <externalReference r:id="rId259"/>
    <externalReference r:id="rId260"/>
    <externalReference r:id="rId261"/>
    <externalReference r:id="rId262"/>
    <externalReference r:id="rId263"/>
    <externalReference r:id="rId264"/>
    <externalReference r:id="rId265"/>
    <externalReference r:id="rId266"/>
    <externalReference r:id="rId267"/>
    <externalReference r:id="rId268"/>
    <externalReference r:id="rId269"/>
    <externalReference r:id="rId270"/>
    <externalReference r:id="rId271"/>
    <externalReference r:id="rId272"/>
    <externalReference r:id="rId273"/>
    <externalReference r:id="rId274"/>
    <externalReference r:id="rId275"/>
    <externalReference r:id="rId276"/>
    <externalReference r:id="rId277"/>
    <externalReference r:id="rId278"/>
    <externalReference r:id="rId279"/>
    <externalReference r:id="rId280"/>
    <externalReference r:id="rId281"/>
  </externalReferences>
  <definedNames>
    <definedName name="_xlnm.Print_Area" localSheetId="0">'Att(1of6)(JP-Non)'!$A$1:$L$204</definedName>
    <definedName name="_xlnm.Print_Area" localSheetId="1">'Att(2of6)(Kenergy-Non)'!$A$1:$L$203</definedName>
    <definedName name="_xlnm.Print_Area" localSheetId="2">'Att(3of6)(MC-Non)'!$A$1:$K$204</definedName>
    <definedName name="_xlnm.Print_Area" localSheetId="3">'Att(4of6)(JP-Dedicated)'!$A$1:$J$203</definedName>
    <definedName name="_xlnm.Print_Area" localSheetId="4">'Att(5of6)(Kenergy-Dedicated)'!$A$1:$J$202</definedName>
    <definedName name="_xlnm.Print_Area" localSheetId="5">'Att(6of6)(MC-Dedicated)'!$A$1:$J$202</definedName>
    <definedName name="_xlnm.Print_Area" localSheetId="8">'ErrorChecks (NOT FILED)'!$A$1:$M$37</definedName>
    <definedName name="_xlnm.Print_Area" localSheetId="7">'Member ES Template(NOT FILED)'!$A$1:$R$30</definedName>
    <definedName name="_xlnm.Print_Area" localSheetId="6">'Review Periods (NOT FILED)'!$A$1:$U$22</definedName>
    <definedName name="_xlnm.Print_Titles" localSheetId="0">'Att(1of6)(JP-Non)'!$1:$13</definedName>
    <definedName name="_xlnm.Print_Titles" localSheetId="6">'Review Periods (NOT FILED)'!$A:$A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3" i="12" l="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183" i="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F200" i="15" l="1"/>
  <c r="H202" i="12" l="1"/>
  <c r="F202" i="12"/>
  <c r="F184" i="1" l="1"/>
  <c r="F199" i="15" l="1"/>
  <c r="F198" i="15"/>
  <c r="H201" i="12"/>
  <c r="F201" i="12"/>
  <c r="H200" i="12" l="1"/>
  <c r="F200" i="12"/>
  <c r="F199" i="2" l="1"/>
  <c r="F198" i="2" l="1"/>
  <c r="F197" i="2" l="1"/>
  <c r="F196" i="2" l="1"/>
  <c r="F195" i="2" l="1"/>
  <c r="F194" i="2" l="1"/>
  <c r="F193" i="2" l="1"/>
  <c r="F192" i="2" l="1"/>
  <c r="F191" i="2" l="1"/>
  <c r="F190" i="2" l="1"/>
  <c r="F189" i="2" l="1"/>
  <c r="F188" i="2" l="1"/>
  <c r="F187" i="2" l="1"/>
  <c r="F186" i="2" l="1"/>
  <c r="F185" i="2" l="1"/>
  <c r="F184" i="2" l="1"/>
  <c r="H201" i="1" l="1"/>
  <c r="F201" i="1"/>
  <c r="H200" i="1" l="1"/>
  <c r="F200" i="1"/>
  <c r="H199" i="1" l="1"/>
  <c r="F199" i="1"/>
  <c r="H198" i="1" l="1"/>
  <c r="F198" i="1"/>
  <c r="H197" i="1" l="1"/>
  <c r="F197" i="1"/>
  <c r="H196" i="1" l="1"/>
  <c r="F196" i="1"/>
  <c r="H195" i="1" l="1"/>
  <c r="F195" i="1"/>
  <c r="H194" i="1" l="1"/>
  <c r="F194" i="1"/>
  <c r="H193" i="1" l="1"/>
  <c r="F193" i="1"/>
  <c r="H192" i="1" l="1"/>
  <c r="F192" i="1"/>
  <c r="H191" i="1" l="1"/>
  <c r="F191" i="1"/>
  <c r="H190" i="1" l="1"/>
  <c r="F190" i="1"/>
  <c r="H189" i="1" l="1"/>
  <c r="F189" i="1"/>
  <c r="H188" i="1" l="1"/>
  <c r="F188" i="1"/>
  <c r="H187" i="1" l="1"/>
  <c r="F187" i="1"/>
  <c r="H186" i="1" l="1"/>
  <c r="F186" i="1"/>
  <c r="F197" i="15" l="1"/>
  <c r="F196" i="15"/>
  <c r="F195" i="15"/>
  <c r="F194" i="15"/>
  <c r="F193" i="15"/>
  <c r="F192" i="15"/>
  <c r="F191" i="15"/>
  <c r="F190" i="15"/>
  <c r="F189" i="15"/>
  <c r="F188" i="15"/>
  <c r="F187" i="15"/>
  <c r="F186" i="15"/>
  <c r="F185" i="15"/>
  <c r="F184" i="15"/>
  <c r="H199" i="12"/>
  <c r="F199" i="12"/>
  <c r="H198" i="12" l="1"/>
  <c r="F198" i="12"/>
  <c r="H197" i="12" l="1"/>
  <c r="F197" i="12"/>
  <c r="H196" i="12" l="1"/>
  <c r="F196" i="12"/>
  <c r="H195" i="12" l="1"/>
  <c r="F195" i="12"/>
  <c r="H194" i="12" l="1"/>
  <c r="F194" i="12"/>
  <c r="H193" i="12" l="1"/>
  <c r="F193" i="12"/>
  <c r="H192" i="12" l="1"/>
  <c r="F192" i="12"/>
  <c r="H191" i="12" l="1"/>
  <c r="F191" i="12"/>
  <c r="H190" i="12" l="1"/>
  <c r="F190" i="12"/>
  <c r="H189" i="12" l="1"/>
  <c r="F189" i="12"/>
  <c r="H188" i="12" l="1"/>
  <c r="F188" i="12"/>
  <c r="H187" i="12" l="1"/>
  <c r="F187" i="12"/>
  <c r="H186" i="12" l="1"/>
  <c r="F186" i="12"/>
  <c r="E6" i="17" l="1"/>
  <c r="B10" i="17" s="1"/>
  <c r="H184" i="18"/>
  <c r="I184" i="18" s="1"/>
  <c r="H185" i="18"/>
  <c r="I185" i="18"/>
  <c r="H186" i="18"/>
  <c r="I186" i="18"/>
  <c r="H187" i="18"/>
  <c r="I187" i="18" s="1"/>
  <c r="H188" i="18"/>
  <c r="I188" i="18"/>
  <c r="H189" i="18"/>
  <c r="I189" i="18" s="1"/>
  <c r="H190" i="18"/>
  <c r="I190" i="18"/>
  <c r="H191" i="18"/>
  <c r="I191" i="18"/>
  <c r="H192" i="18"/>
  <c r="I192" i="18" s="1"/>
  <c r="H193" i="18"/>
  <c r="I193" i="18"/>
  <c r="H194" i="18"/>
  <c r="I194" i="18" s="1"/>
  <c r="H195" i="18"/>
  <c r="I195" i="18" s="1"/>
  <c r="H196" i="18"/>
  <c r="I196" i="18" s="1"/>
  <c r="H197" i="18"/>
  <c r="I197" i="18" s="1"/>
  <c r="H198" i="18"/>
  <c r="I198" i="18" s="1"/>
  <c r="H199" i="18"/>
  <c r="I199" i="18"/>
  <c r="H200" i="18"/>
  <c r="I200" i="18"/>
  <c r="H201" i="18"/>
  <c r="I201" i="18" s="1"/>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C197" i="18"/>
  <c r="C198" i="18"/>
  <c r="C199" i="18"/>
  <c r="C201" i="18"/>
  <c r="H184" i="15"/>
  <c r="I184" i="15" s="1"/>
  <c r="H185" i="15"/>
  <c r="I185" i="15" s="1"/>
  <c r="H186" i="15"/>
  <c r="I186" i="15" s="1"/>
  <c r="H187" i="15"/>
  <c r="I187" i="15" s="1"/>
  <c r="H188" i="15"/>
  <c r="I188" i="15" s="1"/>
  <c r="H189" i="15"/>
  <c r="I189" i="15" s="1"/>
  <c r="H190" i="15"/>
  <c r="I190" i="15" s="1"/>
  <c r="H191" i="15"/>
  <c r="I191" i="15" s="1"/>
  <c r="H192" i="15"/>
  <c r="I192" i="15" s="1"/>
  <c r="H193" i="15"/>
  <c r="I193" i="15" s="1"/>
  <c r="H194" i="15"/>
  <c r="I194" i="15" s="1"/>
  <c r="H195" i="15"/>
  <c r="I195" i="15" s="1"/>
  <c r="H196" i="15"/>
  <c r="I196" i="15" s="1"/>
  <c r="H197" i="15"/>
  <c r="I197" i="15" s="1"/>
  <c r="H198" i="15"/>
  <c r="I198" i="15" s="1"/>
  <c r="H199" i="15"/>
  <c r="I199" i="15" s="1"/>
  <c r="H200" i="15"/>
  <c r="I200" i="15" s="1"/>
  <c r="H201" i="15"/>
  <c r="I201" i="15"/>
  <c r="C184" i="15"/>
  <c r="C185" i="15"/>
  <c r="C186" i="15"/>
  <c r="C187" i="15"/>
  <c r="C188" i="15"/>
  <c r="C189" i="15"/>
  <c r="C190" i="15"/>
  <c r="C191" i="15"/>
  <c r="C192" i="15"/>
  <c r="C193" i="15"/>
  <c r="C194" i="15"/>
  <c r="C195" i="15"/>
  <c r="C196" i="15"/>
  <c r="C197" i="15"/>
  <c r="C198" i="15"/>
  <c r="C199" i="15"/>
  <c r="C201" i="15"/>
  <c r="H184" i="2"/>
  <c r="I184" i="2" s="1"/>
  <c r="H185" i="2"/>
  <c r="I185" i="2" s="1"/>
  <c r="H186" i="2"/>
  <c r="I186" i="2" s="1"/>
  <c r="H187" i="2"/>
  <c r="I187" i="2" s="1"/>
  <c r="H188" i="2"/>
  <c r="I188" i="2" s="1"/>
  <c r="H189" i="2"/>
  <c r="I189" i="2" s="1"/>
  <c r="H190" i="2"/>
  <c r="I190" i="2" s="1"/>
  <c r="H191" i="2"/>
  <c r="I191" i="2" s="1"/>
  <c r="H192" i="2"/>
  <c r="I192" i="2" s="1"/>
  <c r="H193" i="2"/>
  <c r="I193" i="2" s="1"/>
  <c r="H194" i="2"/>
  <c r="I194" i="2" s="1"/>
  <c r="H195" i="2"/>
  <c r="I195" i="2" s="1"/>
  <c r="H196" i="2"/>
  <c r="I196" i="2" s="1"/>
  <c r="H197" i="2"/>
  <c r="I197" i="2" s="1"/>
  <c r="H198" i="2"/>
  <c r="I198" i="2" s="1"/>
  <c r="H199" i="2"/>
  <c r="I199" i="2" s="1"/>
  <c r="H200" i="2"/>
  <c r="I200" i="2" s="1"/>
  <c r="H201" i="2"/>
  <c r="I201" i="2" s="1"/>
  <c r="C184" i="2"/>
  <c r="C185" i="2"/>
  <c r="C186" i="2"/>
  <c r="C187" i="2"/>
  <c r="C188" i="2"/>
  <c r="C189" i="2"/>
  <c r="C190" i="2"/>
  <c r="C191" i="2"/>
  <c r="C192" i="2"/>
  <c r="C193" i="2"/>
  <c r="C194" i="2"/>
  <c r="C195" i="2"/>
  <c r="C196" i="2"/>
  <c r="C197" i="2"/>
  <c r="C198" i="2"/>
  <c r="C199" i="2"/>
  <c r="C201" i="2"/>
  <c r="C186" i="13"/>
  <c r="C187" i="13"/>
  <c r="C188" i="13"/>
  <c r="C189" i="13"/>
  <c r="C190" i="13"/>
  <c r="C191" i="13"/>
  <c r="C192" i="13"/>
  <c r="C193" i="13"/>
  <c r="C194" i="13"/>
  <c r="C195" i="13"/>
  <c r="C196" i="13"/>
  <c r="C197" i="13"/>
  <c r="C198" i="13"/>
  <c r="C199" i="13"/>
  <c r="C200" i="13"/>
  <c r="C201" i="13"/>
  <c r="C203" i="13"/>
  <c r="C186" i="12"/>
  <c r="C187" i="12"/>
  <c r="C188" i="12"/>
  <c r="C189" i="12"/>
  <c r="C190" i="12"/>
  <c r="C191" i="12"/>
  <c r="C192" i="12"/>
  <c r="C193" i="12"/>
  <c r="C194" i="12"/>
  <c r="C195" i="12"/>
  <c r="C196" i="12"/>
  <c r="C197" i="12"/>
  <c r="C198" i="12"/>
  <c r="C199" i="12"/>
  <c r="C200" i="12"/>
  <c r="C201" i="12"/>
  <c r="C203" i="12"/>
  <c r="C202" i="1"/>
  <c r="C200" i="2" s="1"/>
  <c r="C202" i="12" l="1"/>
  <c r="C202" i="13"/>
  <c r="C200" i="15"/>
  <c r="C200" i="18"/>
  <c r="F172" i="18"/>
  <c r="H142" i="18"/>
  <c r="I142" i="18" s="1"/>
  <c r="F173" i="18"/>
  <c r="F171" i="18"/>
  <c r="F170" i="18"/>
  <c r="H170" i="18" s="1"/>
  <c r="I170" i="18" s="1"/>
  <c r="F169" i="18"/>
  <c r="H202" i="18"/>
  <c r="H180" i="18"/>
  <c r="I180" i="18" s="1"/>
  <c r="H178" i="18"/>
  <c r="I178" i="18" s="1"/>
  <c r="H177" i="18"/>
  <c r="I177" i="18" s="1"/>
  <c r="H176" i="18"/>
  <c r="I176" i="18" s="1"/>
  <c r="H175" i="18"/>
  <c r="I175" i="18" s="1"/>
  <c r="C173" i="18"/>
  <c r="C172" i="18"/>
  <c r="C171" i="18"/>
  <c r="C170" i="18"/>
  <c r="C169" i="18"/>
  <c r="H168" i="18"/>
  <c r="I168" i="18" s="1"/>
  <c r="H167" i="18"/>
  <c r="I167" i="18" s="1"/>
  <c r="H163" i="18"/>
  <c r="H162" i="18"/>
  <c r="I162" i="18" s="1"/>
  <c r="H161" i="18"/>
  <c r="H160" i="18"/>
  <c r="I160" i="18" s="1"/>
  <c r="H159" i="18"/>
  <c r="I159" i="18" s="1"/>
  <c r="H154" i="18"/>
  <c r="I154" i="18" s="1"/>
  <c r="H153" i="18"/>
  <c r="I153" i="18" s="1"/>
  <c r="H152" i="18"/>
  <c r="I152" i="18" s="1"/>
  <c r="H151" i="18"/>
  <c r="I151" i="18" s="1"/>
  <c r="H150" i="18"/>
  <c r="I150" i="18" s="1"/>
  <c r="H148" i="18"/>
  <c r="I148" i="18" s="1"/>
  <c r="H146" i="18"/>
  <c r="I146" i="18" s="1"/>
  <c r="H145" i="18"/>
  <c r="I145" i="18" s="1"/>
  <c r="H144" i="18"/>
  <c r="I144" i="18" s="1"/>
  <c r="H140" i="18"/>
  <c r="I140" i="18" s="1"/>
  <c r="H139" i="18"/>
  <c r="H138" i="18"/>
  <c r="I138" i="18" s="1"/>
  <c r="H137" i="18"/>
  <c r="H136" i="18"/>
  <c r="I136" i="18" s="1"/>
  <c r="H134" i="18"/>
  <c r="I134" i="18" s="1"/>
  <c r="A134" i="18"/>
  <c r="A135" i="18" s="1"/>
  <c r="A136" i="18" s="1"/>
  <c r="A137" i="18" s="1"/>
  <c r="A138" i="18" s="1"/>
  <c r="A139" i="18" s="1"/>
  <c r="A140" i="18" s="1"/>
  <c r="A141" i="18" s="1"/>
  <c r="A142" i="18" s="1"/>
  <c r="H132" i="18"/>
  <c r="I132" i="18" s="1"/>
  <c r="H131" i="18"/>
  <c r="I131" i="18" s="1"/>
  <c r="H130" i="18"/>
  <c r="I130" i="18" s="1"/>
  <c r="H129" i="18"/>
  <c r="I129" i="18" s="1"/>
  <c r="H128" i="18"/>
  <c r="I128" i="18" s="1"/>
  <c r="H127" i="18"/>
  <c r="I127" i="18" s="1"/>
  <c r="H126" i="18"/>
  <c r="I126" i="18" s="1"/>
  <c r="H125" i="18"/>
  <c r="I125" i="18" s="1"/>
  <c r="H124" i="18"/>
  <c r="I124" i="18" s="1"/>
  <c r="H123" i="18"/>
  <c r="I123" i="18" s="1"/>
  <c r="H122" i="18"/>
  <c r="I122" i="18" s="1"/>
  <c r="H121" i="18"/>
  <c r="I121" i="18" s="1"/>
  <c r="H120" i="18"/>
  <c r="I120" i="18" s="1"/>
  <c r="H119" i="18"/>
  <c r="I119" i="18" s="1"/>
  <c r="H118" i="18"/>
  <c r="I118" i="18" s="1"/>
  <c r="H117" i="18"/>
  <c r="I117" i="18" s="1"/>
  <c r="H116" i="18"/>
  <c r="I116" i="18" s="1"/>
  <c r="H115" i="18"/>
  <c r="I115" i="18" s="1"/>
  <c r="H114" i="18"/>
  <c r="I114" i="18" s="1"/>
  <c r="H113" i="18"/>
  <c r="I113" i="18" s="1"/>
  <c r="H112" i="18"/>
  <c r="I112" i="18" s="1"/>
  <c r="H111" i="18"/>
  <c r="I111" i="18" s="1"/>
  <c r="H110" i="18"/>
  <c r="I110" i="18" s="1"/>
  <c r="H109" i="18"/>
  <c r="I109" i="18" s="1"/>
  <c r="D109" i="18"/>
  <c r="B109" i="18"/>
  <c r="B110" i="18" s="1"/>
  <c r="B111" i="18" s="1"/>
  <c r="B112" i="18" s="1"/>
  <c r="B113" i="18" s="1"/>
  <c r="B114" i="18" s="1"/>
  <c r="B115" i="18" s="1"/>
  <c r="B116" i="18" s="1"/>
  <c r="B117" i="18" s="1"/>
  <c r="B118" i="18" s="1"/>
  <c r="B119" i="18" s="1"/>
  <c r="B120" i="18" s="1"/>
  <c r="B121" i="18" s="1"/>
  <c r="B122" i="18" s="1"/>
  <c r="B123" i="18" s="1"/>
  <c r="B124" i="18" s="1"/>
  <c r="B125" i="18" s="1"/>
  <c r="B126" i="18" s="1"/>
  <c r="B127" i="18" s="1"/>
  <c r="B128" i="18" s="1"/>
  <c r="B129" i="18" s="1"/>
  <c r="B130" i="18" s="1"/>
  <c r="B131" i="18" s="1"/>
  <c r="B132" i="18" s="1"/>
  <c r="B133" i="18" s="1"/>
  <c r="B134" i="18" s="1"/>
  <c r="B135" i="18" s="1"/>
  <c r="B136" i="18" s="1"/>
  <c r="B137" i="18" s="1"/>
  <c r="B138" i="18" s="1"/>
  <c r="B139" i="18" s="1"/>
  <c r="B140" i="18" s="1"/>
  <c r="B141" i="18" s="1"/>
  <c r="H108" i="18"/>
  <c r="I108" i="18" s="1"/>
  <c r="H107" i="18"/>
  <c r="I107" i="18" s="1"/>
  <c r="H106" i="18"/>
  <c r="I106" i="18" s="1"/>
  <c r="H105" i="18"/>
  <c r="I105" i="18" s="1"/>
  <c r="H104" i="18"/>
  <c r="I104" i="18" s="1"/>
  <c r="H103" i="18"/>
  <c r="I103" i="18" s="1"/>
  <c r="H102" i="18"/>
  <c r="I102" i="18" s="1"/>
  <c r="H101" i="18"/>
  <c r="I101" i="18" s="1"/>
  <c r="H100" i="18"/>
  <c r="I100" i="18" s="1"/>
  <c r="H99" i="18"/>
  <c r="I99" i="18" s="1"/>
  <c r="H98" i="18"/>
  <c r="I98" i="18" s="1"/>
  <c r="H97" i="18"/>
  <c r="I97" i="18" s="1"/>
  <c r="H96" i="18"/>
  <c r="I96" i="18" s="1"/>
  <c r="H95" i="18"/>
  <c r="I95" i="18" s="1"/>
  <c r="H94" i="18"/>
  <c r="I94" i="18" s="1"/>
  <c r="H93" i="18"/>
  <c r="I93" i="18" s="1"/>
  <c r="H92" i="18"/>
  <c r="I92" i="18" s="1"/>
  <c r="H91" i="18"/>
  <c r="I91" i="18" s="1"/>
  <c r="H90" i="18"/>
  <c r="I90" i="18" s="1"/>
  <c r="H89" i="18"/>
  <c r="I89" i="18" s="1"/>
  <c r="H88" i="18"/>
  <c r="I88" i="18" s="1"/>
  <c r="H87" i="18"/>
  <c r="I87" i="18" s="1"/>
  <c r="H86" i="18"/>
  <c r="I86" i="18" s="1"/>
  <c r="H85" i="18"/>
  <c r="I85" i="18" s="1"/>
  <c r="H84" i="18"/>
  <c r="I84" i="18" s="1"/>
  <c r="H83" i="18"/>
  <c r="I83" i="18" s="1"/>
  <c r="H82" i="18"/>
  <c r="I82" i="18" s="1"/>
  <c r="H81" i="18"/>
  <c r="I81" i="18" s="1"/>
  <c r="H80" i="18"/>
  <c r="I80" i="18" s="1"/>
  <c r="H79" i="18"/>
  <c r="I79" i="18" s="1"/>
  <c r="H78" i="18"/>
  <c r="I78" i="18" s="1"/>
  <c r="H77" i="18"/>
  <c r="I77" i="18" s="1"/>
  <c r="H76" i="18"/>
  <c r="I76" i="18" s="1"/>
  <c r="H75" i="18"/>
  <c r="I75" i="18" s="1"/>
  <c r="H74" i="18"/>
  <c r="I74" i="18" s="1"/>
  <c r="H73" i="18"/>
  <c r="I73" i="18" s="1"/>
  <c r="H72" i="18"/>
  <c r="I72" i="18" s="1"/>
  <c r="H71" i="18"/>
  <c r="I71" i="18" s="1"/>
  <c r="H70" i="18"/>
  <c r="I70" i="18" s="1"/>
  <c r="H69" i="18"/>
  <c r="I69" i="18" s="1"/>
  <c r="H68" i="18"/>
  <c r="I68" i="18" s="1"/>
  <c r="H67" i="18"/>
  <c r="I67" i="18" s="1"/>
  <c r="H66" i="18"/>
  <c r="I66" i="18" s="1"/>
  <c r="H65" i="18"/>
  <c r="I65" i="18" s="1"/>
  <c r="H64" i="18"/>
  <c r="I64" i="18" s="1"/>
  <c r="H63" i="18"/>
  <c r="I63" i="18" s="1"/>
  <c r="H62" i="18"/>
  <c r="I62" i="18" s="1"/>
  <c r="H61" i="18"/>
  <c r="I61" i="18" s="1"/>
  <c r="H60" i="18"/>
  <c r="I60" i="18" s="1"/>
  <c r="H59" i="18"/>
  <c r="I59" i="18" s="1"/>
  <c r="H58" i="18"/>
  <c r="I58" i="18" s="1"/>
  <c r="H57" i="18"/>
  <c r="I57" i="18" s="1"/>
  <c r="H56" i="18"/>
  <c r="I56" i="18" s="1"/>
  <c r="H55" i="18"/>
  <c r="I55" i="18" s="1"/>
  <c r="H54" i="18"/>
  <c r="I54" i="18" s="1"/>
  <c r="H53" i="18"/>
  <c r="I53" i="18" s="1"/>
  <c r="H52" i="18"/>
  <c r="I52" i="18" s="1"/>
  <c r="H51" i="18"/>
  <c r="I51" i="18" s="1"/>
  <c r="H50" i="18"/>
  <c r="I50" i="18" s="1"/>
  <c r="H49" i="18"/>
  <c r="I49" i="18" s="1"/>
  <c r="H48" i="18"/>
  <c r="I48" i="18" s="1"/>
  <c r="H47" i="18"/>
  <c r="I47" i="18" s="1"/>
  <c r="H46" i="18"/>
  <c r="I46" i="18" s="1"/>
  <c r="H45" i="18"/>
  <c r="I45" i="18" s="1"/>
  <c r="H44" i="18"/>
  <c r="I44" i="18" s="1"/>
  <c r="H43" i="18"/>
  <c r="I43" i="18" s="1"/>
  <c r="H42" i="18"/>
  <c r="I42" i="18" s="1"/>
  <c r="H41" i="18"/>
  <c r="I41" i="18" s="1"/>
  <c r="H40" i="18"/>
  <c r="I40" i="18" s="1"/>
  <c r="H39" i="18"/>
  <c r="I39" i="18" s="1"/>
  <c r="H38" i="18"/>
  <c r="I38" i="18" s="1"/>
  <c r="H37" i="18"/>
  <c r="I37" i="18" s="1"/>
  <c r="H36" i="18"/>
  <c r="I36" i="18" s="1"/>
  <c r="H35" i="18"/>
  <c r="I35" i="18" s="1"/>
  <c r="H34" i="18"/>
  <c r="I34" i="18" s="1"/>
  <c r="H33" i="18"/>
  <c r="I33" i="18" s="1"/>
  <c r="H32" i="18"/>
  <c r="I32" i="18" s="1"/>
  <c r="H31" i="18"/>
  <c r="I31" i="18" s="1"/>
  <c r="H30" i="18"/>
  <c r="I30" i="18" s="1"/>
  <c r="H29" i="18"/>
  <c r="I29" i="18" s="1"/>
  <c r="H28" i="18"/>
  <c r="I28" i="18" s="1"/>
  <c r="H27" i="18"/>
  <c r="I27" i="18" s="1"/>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D13" i="18"/>
  <c r="D14" i="18" s="1"/>
  <c r="D15" i="18" s="1"/>
  <c r="D16" i="18" s="1"/>
  <c r="D17" i="18" s="1"/>
  <c r="D18" i="18" s="1"/>
  <c r="D19" i="18" s="1"/>
  <c r="D20" i="18" s="1"/>
  <c r="D21" i="18" s="1"/>
  <c r="D22" i="18" s="1"/>
  <c r="D23" i="18" s="1"/>
  <c r="D24" i="18" s="1"/>
  <c r="D25" i="18" s="1"/>
  <c r="D26" i="18" s="1"/>
  <c r="D27" i="18" s="1"/>
  <c r="D28" i="18" s="1"/>
  <c r="D29" i="18" s="1"/>
  <c r="D30" i="18" s="1"/>
  <c r="D31" i="18" s="1"/>
  <c r="D32" i="18" s="1"/>
  <c r="D33" i="18" s="1"/>
  <c r="D34" i="18" s="1"/>
  <c r="D35" i="18" s="1"/>
  <c r="D36" i="18" s="1"/>
  <c r="D37" i="18" s="1"/>
  <c r="D38" i="18" s="1"/>
  <c r="D39" i="18" s="1"/>
  <c r="D40" i="18" s="1"/>
  <c r="D41" i="18" s="1"/>
  <c r="D42" i="18" s="1"/>
  <c r="D43" i="18" s="1"/>
  <c r="D44" i="18" s="1"/>
  <c r="D45" i="18" s="1"/>
  <c r="D46" i="18" s="1"/>
  <c r="D47" i="18" s="1"/>
  <c r="D48" i="18" s="1"/>
  <c r="D49" i="18" s="1"/>
  <c r="D50" i="18" s="1"/>
  <c r="D51" i="18" s="1"/>
  <c r="D52" i="18" s="1"/>
  <c r="D53" i="18" s="1"/>
  <c r="D54" i="18" s="1"/>
  <c r="D55" i="18" s="1"/>
  <c r="D56" i="18" s="1"/>
  <c r="D57" i="18" s="1"/>
  <c r="D58" i="18" s="1"/>
  <c r="D59" i="18" s="1"/>
  <c r="D60" i="18" s="1"/>
  <c r="D61" i="18" s="1"/>
  <c r="D62" i="18" s="1"/>
  <c r="D63" i="18" s="1"/>
  <c r="D64" i="18" s="1"/>
  <c r="D65" i="18" s="1"/>
  <c r="D66" i="18" s="1"/>
  <c r="D67" i="18" s="1"/>
  <c r="D68" i="18" s="1"/>
  <c r="D69" i="18" s="1"/>
  <c r="D70" i="18" s="1"/>
  <c r="D71" i="18" s="1"/>
  <c r="D72" i="18" s="1"/>
  <c r="D73" i="18" s="1"/>
  <c r="D74" i="18" s="1"/>
  <c r="D75" i="18" s="1"/>
  <c r="D76" i="18" s="1"/>
  <c r="D77" i="18" s="1"/>
  <c r="D78" i="18" s="1"/>
  <c r="D79" i="18" s="1"/>
  <c r="D80" i="18" s="1"/>
  <c r="D81" i="18" s="1"/>
  <c r="D82" i="18" s="1"/>
  <c r="D83" i="18" s="1"/>
  <c r="D84" i="18" s="1"/>
  <c r="D85" i="18" s="1"/>
  <c r="D86" i="18" s="1"/>
  <c r="D87" i="18" s="1"/>
  <c r="D88" i="18" s="1"/>
  <c r="D89" i="18" s="1"/>
  <c r="D90" i="18" s="1"/>
  <c r="D91" i="18" s="1"/>
  <c r="D92" i="18" s="1"/>
  <c r="D93" i="18" s="1"/>
  <c r="D94" i="18" s="1"/>
  <c r="D95" i="18" s="1"/>
  <c r="D96" i="18" s="1"/>
  <c r="D97" i="18" s="1"/>
  <c r="D98" i="18" s="1"/>
  <c r="D99" i="18" s="1"/>
  <c r="D100" i="18" s="1"/>
  <c r="D101" i="18" s="1"/>
  <c r="D102" i="18" s="1"/>
  <c r="D103" i="18" s="1"/>
  <c r="D104" i="18" s="1"/>
  <c r="D105" i="18" s="1"/>
  <c r="D106" i="18" s="1"/>
  <c r="D107" i="18" s="1"/>
  <c r="H12" i="18"/>
  <c r="I12" i="18" s="1"/>
  <c r="A3" i="18"/>
  <c r="A2" i="18"/>
  <c r="A1" i="18"/>
  <c r="A143" i="18" l="1"/>
  <c r="A144" i="18" s="1"/>
  <c r="A145" i="18" s="1"/>
  <c r="A146" i="18" s="1"/>
  <c r="A147" i="18" s="1"/>
  <c r="A148" i="18" s="1"/>
  <c r="A149" i="18" s="1"/>
  <c r="A150" i="18" s="1"/>
  <c r="A151" i="18" s="1"/>
  <c r="A152" i="18" s="1"/>
  <c r="A153" i="18" s="1"/>
  <c r="A154" i="18" s="1"/>
  <c r="A155" i="18" s="1"/>
  <c r="A156" i="18" s="1"/>
  <c r="A157" i="18" s="1"/>
  <c r="A158" i="18" s="1"/>
  <c r="A159" i="18" s="1"/>
  <c r="A160" i="18" s="1"/>
  <c r="A161" i="18" s="1"/>
  <c r="A162" i="18" s="1"/>
  <c r="A163" i="18" s="1"/>
  <c r="A164" i="18" s="1"/>
  <c r="A165" i="18" s="1"/>
  <c r="A166" i="18" s="1"/>
  <c r="A167" i="18" s="1"/>
  <c r="A168" i="18" s="1"/>
  <c r="A169" i="18" s="1"/>
  <c r="A170" i="18" s="1"/>
  <c r="A171" i="18" s="1"/>
  <c r="A172" i="18" s="1"/>
  <c r="A173" i="18" s="1"/>
  <c r="A174" i="18" s="1"/>
  <c r="A175" i="18" s="1"/>
  <c r="A176" i="18" s="1"/>
  <c r="A177" i="18" s="1"/>
  <c r="A178" i="18" s="1"/>
  <c r="A179" i="18" s="1"/>
  <c r="A181" i="18" s="1"/>
  <c r="A182" i="18" s="1"/>
  <c r="A183" i="18" s="1"/>
  <c r="A184" i="18" s="1"/>
  <c r="A185" i="18" s="1"/>
  <c r="A186" i="18" s="1"/>
  <c r="A187" i="18" s="1"/>
  <c r="A188" i="18" s="1"/>
  <c r="A189" i="18" s="1"/>
  <c r="A190" i="18" s="1"/>
  <c r="A191" i="18" s="1"/>
  <c r="A192" i="18" s="1"/>
  <c r="A193" i="18" s="1"/>
  <c r="A194" i="18" s="1"/>
  <c r="A195" i="18" s="1"/>
  <c r="A196" i="18" s="1"/>
  <c r="A197" i="18" s="1"/>
  <c r="A198" i="18" s="1"/>
  <c r="A199" i="18" s="1"/>
  <c r="A200" i="18" s="1"/>
  <c r="A201" i="18" s="1"/>
  <c r="B142" i="18"/>
  <c r="B143" i="18" s="1"/>
  <c r="B144" i="18" s="1"/>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H169" i="18"/>
  <c r="I169" i="18" s="1"/>
  <c r="H173" i="18"/>
  <c r="I173" i="18" s="1"/>
  <c r="H179" i="18"/>
  <c r="I179" i="18" s="1"/>
  <c r="I161" i="18"/>
  <c r="I163" i="18"/>
  <c r="H165" i="18"/>
  <c r="I165" i="18" s="1"/>
  <c r="H171" i="18"/>
  <c r="I171" i="18" s="1"/>
  <c r="H149" i="18"/>
  <c r="I149" i="18" s="1"/>
  <c r="H157" i="18"/>
  <c r="I157" i="18" s="1"/>
  <c r="D110" i="18"/>
  <c r="H133" i="18"/>
  <c r="I133" i="18" s="1"/>
  <c r="I137" i="18"/>
  <c r="I139" i="18"/>
  <c r="H141" i="18"/>
  <c r="I141" i="18" s="1"/>
  <c r="H147" i="18"/>
  <c r="I147" i="18" s="1"/>
  <c r="H155" i="18"/>
  <c r="I155" i="18" s="1"/>
  <c r="H156" i="18"/>
  <c r="I156" i="18" s="1"/>
  <c r="H164" i="18"/>
  <c r="I164" i="18" s="1"/>
  <c r="H172" i="18"/>
  <c r="I172" i="18" s="1"/>
  <c r="H181" i="18"/>
  <c r="I181" i="18" s="1"/>
  <c r="H158" i="18"/>
  <c r="I158" i="18" s="1"/>
  <c r="H166" i="18"/>
  <c r="I166" i="18" s="1"/>
  <c r="H174" i="18"/>
  <c r="I174" i="18" s="1"/>
  <c r="H182" i="18"/>
  <c r="I182" i="18" s="1"/>
  <c r="H135" i="18"/>
  <c r="I135" i="18" s="1"/>
  <c r="H143" i="18"/>
  <c r="I143" i="18" s="1"/>
  <c r="H183" i="18"/>
  <c r="I183" i="18" s="1"/>
  <c r="D111" i="18" l="1"/>
  <c r="D112" i="18" l="1"/>
  <c r="D113" i="18" l="1"/>
  <c r="D114" i="18" l="1"/>
  <c r="D115" i="18" l="1"/>
  <c r="D116" i="18" l="1"/>
  <c r="D117" i="18" l="1"/>
  <c r="D118" i="18" l="1"/>
  <c r="D119" i="18" l="1"/>
  <c r="D120" i="18" l="1"/>
  <c r="D121" i="18" l="1"/>
  <c r="D122" i="18" l="1"/>
  <c r="D123" i="18" l="1"/>
  <c r="D124" i="18" l="1"/>
  <c r="D125" i="18" l="1"/>
  <c r="D126" i="18" l="1"/>
  <c r="D127" i="18" l="1"/>
  <c r="D128" i="18" l="1"/>
  <c r="D129" i="18" l="1"/>
  <c r="D130" i="18" l="1"/>
  <c r="D131" i="18" l="1"/>
  <c r="D132" i="18" l="1"/>
  <c r="D133" i="18" l="1"/>
  <c r="D134" i="18" l="1"/>
  <c r="D135" i="18" l="1"/>
  <c r="D136" i="18" l="1"/>
  <c r="D137" i="18" l="1"/>
  <c r="D138" i="18" l="1"/>
  <c r="D139" i="18" l="1"/>
  <c r="D140" i="18" l="1"/>
  <c r="D141" i="18" l="1"/>
  <c r="D142" i="18" s="1"/>
  <c r="D143" i="18" l="1"/>
  <c r="D144" i="18" l="1"/>
  <c r="D145" i="18" l="1"/>
  <c r="D146" i="18" l="1"/>
  <c r="D147" i="18" l="1"/>
  <c r="D148" i="18" l="1"/>
  <c r="D149" i="18" l="1"/>
  <c r="D150" i="18" l="1"/>
  <c r="D151" i="18" l="1"/>
  <c r="D152" i="18" l="1"/>
  <c r="D153" i="18" l="1"/>
  <c r="D154" i="18" l="1"/>
  <c r="D155" i="18" l="1"/>
  <c r="D156" i="18" l="1"/>
  <c r="D157" i="18" l="1"/>
  <c r="D158" i="18" l="1"/>
  <c r="D159" i="18" l="1"/>
  <c r="D160" i="18" l="1"/>
  <c r="D161" i="18" l="1"/>
  <c r="D162" i="18" l="1"/>
  <c r="D163" i="18" l="1"/>
  <c r="D164" i="18" l="1"/>
  <c r="D165" i="18" l="1"/>
  <c r="D166" i="18" l="1"/>
  <c r="D167" i="18" l="1"/>
  <c r="D168" i="18" l="1"/>
  <c r="D169" i="18" l="1"/>
  <c r="D170" i="18" l="1"/>
  <c r="E169" i="18"/>
  <c r="G169" i="18" s="1"/>
  <c r="D171" i="18" l="1"/>
  <c r="E170" i="18"/>
  <c r="G170" i="18" s="1"/>
  <c r="D172" i="18" l="1"/>
  <c r="E171" i="18"/>
  <c r="G171" i="18" s="1"/>
  <c r="E172" i="18" l="1"/>
  <c r="G172" i="18" s="1"/>
  <c r="D173" i="18"/>
  <c r="D174" i="18" l="1"/>
  <c r="E174" i="18" s="1"/>
  <c r="G174" i="18" s="1"/>
  <c r="E173" i="18"/>
  <c r="G173" i="18" s="1"/>
  <c r="D175" i="18" l="1"/>
  <c r="E175" i="18" s="1"/>
  <c r="G175" i="18" s="1"/>
  <c r="D176" i="18" l="1"/>
  <c r="E176" i="18" s="1"/>
  <c r="G176" i="18" s="1"/>
  <c r="D177" i="18" l="1"/>
  <c r="E177" i="18" s="1"/>
  <c r="G177" i="18" s="1"/>
  <c r="D178" i="18" l="1"/>
  <c r="E178" i="18" s="1"/>
  <c r="G178" i="18" s="1"/>
  <c r="D179" i="18" l="1"/>
  <c r="E179" i="18" s="1"/>
  <c r="G179" i="18" s="1"/>
  <c r="D180" i="18" l="1"/>
  <c r="E180" i="18" s="1"/>
  <c r="G180" i="18" s="1"/>
  <c r="D181" i="18" l="1"/>
  <c r="E181" i="18" s="1"/>
  <c r="G181" i="18" s="1"/>
  <c r="D182" i="18" l="1"/>
  <c r="E182" i="18" s="1"/>
  <c r="G182" i="18" s="1"/>
  <c r="D183" i="18" l="1"/>
  <c r="D184" i="18" l="1"/>
  <c r="E183" i="18"/>
  <c r="G183" i="18" s="1"/>
  <c r="H185" i="12"/>
  <c r="F185" i="12"/>
  <c r="F183" i="15"/>
  <c r="D185" i="18" l="1"/>
  <c r="E184" i="18"/>
  <c r="G184" i="18" s="1"/>
  <c r="H183" i="15"/>
  <c r="I183" i="15" s="1"/>
  <c r="A136" i="13"/>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135" i="13"/>
  <c r="A136" i="12"/>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36" i="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D186" i="18" l="1"/>
  <c r="E185" i="18"/>
  <c r="G185" i="18" s="1"/>
  <c r="C10" i="17"/>
  <c r="D10" i="17" s="1"/>
  <c r="E10" i="17" s="1"/>
  <c r="F10" i="17" s="1"/>
  <c r="G10" i="17" s="1"/>
  <c r="H10" i="17" s="1"/>
  <c r="I10" i="17" s="1"/>
  <c r="J10" i="17" s="1"/>
  <c r="K10" i="17" s="1"/>
  <c r="L10" i="17" s="1"/>
  <c r="M10" i="17" s="1"/>
  <c r="N10" i="17" s="1"/>
  <c r="O10" i="17" s="1"/>
  <c r="P10" i="17" s="1"/>
  <c r="Q10" i="17" s="1"/>
  <c r="R10" i="17" s="1"/>
  <c r="S10" i="17" s="1"/>
  <c r="B13" i="17"/>
  <c r="B12" i="17"/>
  <c r="T10" i="17" l="1"/>
  <c r="U10" i="17" s="1"/>
  <c r="D187" i="18"/>
  <c r="E186" i="18"/>
  <c r="G186" i="18" s="1"/>
  <c r="B18" i="17"/>
  <c r="C13" i="17"/>
  <c r="B19" i="17"/>
  <c r="B17" i="17"/>
  <c r="C12" i="17"/>
  <c r="D188" i="18" l="1"/>
  <c r="E187" i="18"/>
  <c r="G187" i="18" s="1"/>
  <c r="C18" i="17"/>
  <c r="C19" i="17"/>
  <c r="D13" i="17"/>
  <c r="C17" i="17"/>
  <c r="D12" i="17"/>
  <c r="D189" i="18" l="1"/>
  <c r="E188" i="18"/>
  <c r="G188" i="18" s="1"/>
  <c r="D17" i="17"/>
  <c r="E12" i="17"/>
  <c r="E13" i="17"/>
  <c r="D19" i="17"/>
  <c r="D18" i="17"/>
  <c r="D190" i="18" l="1"/>
  <c r="E189" i="18"/>
  <c r="G189" i="18" s="1"/>
  <c r="E17" i="17"/>
  <c r="F12" i="17"/>
  <c r="F13" i="17"/>
  <c r="E19" i="17"/>
  <c r="E18" i="17"/>
  <c r="D191" i="18" l="1"/>
  <c r="E190" i="18"/>
  <c r="G190" i="18" s="1"/>
  <c r="G13" i="17"/>
  <c r="F19" i="17"/>
  <c r="F18" i="17"/>
  <c r="G12" i="17"/>
  <c r="F17" i="17"/>
  <c r="D192" i="18" l="1"/>
  <c r="E191" i="18"/>
  <c r="G191" i="18" s="1"/>
  <c r="H12" i="17"/>
  <c r="G17" i="17"/>
  <c r="G19" i="17"/>
  <c r="G18" i="17"/>
  <c r="H13" i="17"/>
  <c r="D193" i="18" l="1"/>
  <c r="E192" i="18"/>
  <c r="G192" i="18" s="1"/>
  <c r="H18" i="17"/>
  <c r="H19" i="17"/>
  <c r="I13" i="17"/>
  <c r="I12" i="17"/>
  <c r="H17" i="17"/>
  <c r="D194" i="18" l="1"/>
  <c r="E193" i="18"/>
  <c r="G193" i="18" s="1"/>
  <c r="I19" i="17"/>
  <c r="I18" i="17"/>
  <c r="J13" i="17"/>
  <c r="I17" i="17"/>
  <c r="J12" i="17"/>
  <c r="D195" i="18" l="1"/>
  <c r="E194" i="18"/>
  <c r="G194" i="18" s="1"/>
  <c r="J17" i="17"/>
  <c r="K12" i="17"/>
  <c r="J18" i="17"/>
  <c r="K13" i="17"/>
  <c r="J19" i="17"/>
  <c r="D196" i="18" l="1"/>
  <c r="E195" i="18"/>
  <c r="G195" i="18" s="1"/>
  <c r="K18" i="17"/>
  <c r="L13" i="17"/>
  <c r="K19" i="17"/>
  <c r="K17" i="17"/>
  <c r="L12" i="17"/>
  <c r="D197" i="18" l="1"/>
  <c r="E196" i="18"/>
  <c r="G196" i="18" s="1"/>
  <c r="L17" i="17"/>
  <c r="M12" i="17"/>
  <c r="M13" i="17"/>
  <c r="L19" i="17"/>
  <c r="L18" i="17"/>
  <c r="D198" i="18" l="1"/>
  <c r="E197" i="18"/>
  <c r="G197" i="18" s="1"/>
  <c r="N13" i="17"/>
  <c r="M19" i="17"/>
  <c r="M18" i="17"/>
  <c r="M17" i="17"/>
  <c r="N12" i="17"/>
  <c r="D199" i="18" l="1"/>
  <c r="E198" i="18"/>
  <c r="G198" i="18" s="1"/>
  <c r="O12" i="17"/>
  <c r="N17" i="17"/>
  <c r="O13" i="17"/>
  <c r="N19" i="17"/>
  <c r="N18" i="17"/>
  <c r="D200" i="18" l="1"/>
  <c r="E199" i="18"/>
  <c r="G199" i="18" s="1"/>
  <c r="O19" i="17"/>
  <c r="O18" i="17"/>
  <c r="P13" i="17"/>
  <c r="P12" i="17"/>
  <c r="O17" i="17"/>
  <c r="D201" i="18" l="1"/>
  <c r="E201" i="18" s="1"/>
  <c r="G201" i="18" s="1"/>
  <c r="E200" i="18"/>
  <c r="G200" i="18" s="1"/>
  <c r="P18" i="17"/>
  <c r="P19" i="17"/>
  <c r="Q13" i="17"/>
  <c r="Q12" i="17"/>
  <c r="P17" i="17"/>
  <c r="Q17" i="17" l="1"/>
  <c r="R12" i="17"/>
  <c r="Q19" i="17"/>
  <c r="Q18" i="17"/>
  <c r="R13" i="17"/>
  <c r="R18" i="17" l="1"/>
  <c r="S13" i="17"/>
  <c r="T13" i="17" s="1"/>
  <c r="R19" i="17"/>
  <c r="R17" i="17"/>
  <c r="S12" i="17"/>
  <c r="T12" i="17" s="1"/>
  <c r="S17" i="17" l="1"/>
  <c r="S18" i="17"/>
  <c r="S19" i="17"/>
  <c r="F182" i="15" l="1"/>
  <c r="H182" i="15" s="1"/>
  <c r="I182" i="15" s="1"/>
  <c r="C182" i="15"/>
  <c r="C183" i="15"/>
  <c r="A134" i="2"/>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C185" i="12"/>
  <c r="T18" i="17" l="1"/>
  <c r="U13" i="17"/>
  <c r="T19" i="17"/>
  <c r="T17" i="17"/>
  <c r="U12" i="17"/>
  <c r="U17" i="17" s="1"/>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54" i="15"/>
  <c r="F153" i="15"/>
  <c r="F152" i="15"/>
  <c r="F151" i="15"/>
  <c r="F150" i="15"/>
  <c r="F149" i="15"/>
  <c r="F148" i="15"/>
  <c r="F147" i="15"/>
  <c r="H154" i="12"/>
  <c r="H153" i="12"/>
  <c r="H152" i="12"/>
  <c r="H151" i="12"/>
  <c r="H150" i="12"/>
  <c r="H149" i="12"/>
  <c r="F154" i="12"/>
  <c r="F153" i="12"/>
  <c r="U18" i="17" l="1"/>
  <c r="U19" i="17"/>
  <c r="F151" i="12"/>
  <c r="F152" i="12"/>
  <c r="F150" i="12"/>
  <c r="F149" i="12"/>
  <c r="F183" i="2" l="1"/>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l="1"/>
  <c r="F138" i="2"/>
  <c r="F137" i="2"/>
  <c r="F136" i="2"/>
  <c r="F135" i="2"/>
  <c r="F134" i="2"/>
  <c r="F133" i="2"/>
  <c r="H185" i="1" l="1"/>
  <c r="H184" i="1"/>
  <c r="H183" i="1"/>
  <c r="H182" i="1"/>
  <c r="H181" i="1"/>
  <c r="H180" i="1"/>
  <c r="H179" i="1"/>
  <c r="H178" i="1"/>
  <c r="H177" i="1"/>
  <c r="H176" i="1"/>
  <c r="H175" i="1"/>
  <c r="H174" i="1"/>
  <c r="H173" i="1"/>
  <c r="H172" i="1"/>
  <c r="H171" i="1"/>
  <c r="H170" i="1"/>
  <c r="H169" i="1"/>
  <c r="H168" i="1"/>
  <c r="F185" i="1"/>
  <c r="F183" i="1"/>
  <c r="F182" i="1"/>
  <c r="F181" i="1"/>
  <c r="F180" i="1"/>
  <c r="F179" i="1"/>
  <c r="F178" i="1"/>
  <c r="F177" i="1"/>
  <c r="F176" i="1"/>
  <c r="F175" i="1"/>
  <c r="F174" i="1"/>
  <c r="F173" i="1"/>
  <c r="F172" i="1"/>
  <c r="F171" i="1"/>
  <c r="F170" i="1"/>
  <c r="F169" i="1"/>
  <c r="F168" i="1"/>
  <c r="H167" i="1"/>
  <c r="F167" i="1"/>
  <c r="F146" i="15" l="1"/>
  <c r="F145" i="15"/>
  <c r="F144" i="15"/>
  <c r="F143" i="15"/>
  <c r="F142" i="15"/>
  <c r="F141" i="15"/>
  <c r="F140" i="15"/>
  <c r="F139" i="15"/>
  <c r="F138" i="15"/>
  <c r="F137" i="15" l="1"/>
  <c r="F136" i="15"/>
  <c r="F135" i="15"/>
  <c r="F134" i="15"/>
  <c r="F133" i="15"/>
  <c r="C176" i="15" l="1"/>
  <c r="H176" i="15"/>
  <c r="I176" i="15" s="1"/>
  <c r="C177" i="15"/>
  <c r="H177" i="15"/>
  <c r="I177" i="15" s="1"/>
  <c r="C178" i="15"/>
  <c r="H178" i="15"/>
  <c r="I178" i="15" s="1"/>
  <c r="C179" i="15"/>
  <c r="H179" i="15"/>
  <c r="I179" i="15" s="1"/>
  <c r="C180" i="15"/>
  <c r="H180" i="15"/>
  <c r="I180" i="15" s="1"/>
  <c r="C181" i="15"/>
  <c r="H181" i="15"/>
  <c r="I181" i="15" s="1"/>
  <c r="C135" i="15"/>
  <c r="H135" i="15"/>
  <c r="I135" i="15" s="1"/>
  <c r="C136" i="15"/>
  <c r="H136" i="15"/>
  <c r="I136" i="15" s="1"/>
  <c r="C137" i="15"/>
  <c r="H137" i="15"/>
  <c r="I137" i="15" s="1"/>
  <c r="C138" i="15"/>
  <c r="H138" i="15"/>
  <c r="I138" i="15" s="1"/>
  <c r="C139" i="15"/>
  <c r="H139" i="15"/>
  <c r="I139" i="15" s="1"/>
  <c r="C140" i="15"/>
  <c r="H140" i="15"/>
  <c r="I140" i="15" s="1"/>
  <c r="C141" i="15"/>
  <c r="H141" i="15"/>
  <c r="I141" i="15" s="1"/>
  <c r="C142" i="15"/>
  <c r="H142" i="15"/>
  <c r="I142" i="15" s="1"/>
  <c r="C143" i="15"/>
  <c r="H143" i="15"/>
  <c r="I143" i="15" s="1"/>
  <c r="C144" i="15"/>
  <c r="H144" i="15"/>
  <c r="I144" i="15" s="1"/>
  <c r="C145" i="15"/>
  <c r="H145" i="15"/>
  <c r="I145" i="15" s="1"/>
  <c r="C146" i="15"/>
  <c r="H146" i="15"/>
  <c r="I146" i="15" s="1"/>
  <c r="C147" i="15"/>
  <c r="H147" i="15"/>
  <c r="I147" i="15" s="1"/>
  <c r="C148" i="15"/>
  <c r="H148" i="15"/>
  <c r="I148" i="15" s="1"/>
  <c r="C149" i="15"/>
  <c r="H149" i="15"/>
  <c r="I149" i="15" s="1"/>
  <c r="C150" i="15"/>
  <c r="H150" i="15"/>
  <c r="I150" i="15" s="1"/>
  <c r="C151" i="15"/>
  <c r="H151" i="15"/>
  <c r="I151" i="15" s="1"/>
  <c r="C152" i="15"/>
  <c r="H152" i="15"/>
  <c r="I152" i="15" s="1"/>
  <c r="C153" i="15"/>
  <c r="H153" i="15"/>
  <c r="I153" i="15" s="1"/>
  <c r="C154" i="15"/>
  <c r="H154" i="15"/>
  <c r="I154" i="15" s="1"/>
  <c r="C155" i="15"/>
  <c r="H155" i="15"/>
  <c r="I155" i="15" s="1"/>
  <c r="C156" i="15"/>
  <c r="H156" i="15"/>
  <c r="I156" i="15" s="1"/>
  <c r="C157" i="15"/>
  <c r="H157" i="15"/>
  <c r="I157" i="15" s="1"/>
  <c r="C158" i="15"/>
  <c r="H158" i="15"/>
  <c r="I158" i="15" s="1"/>
  <c r="C159" i="15"/>
  <c r="H159" i="15"/>
  <c r="I159" i="15" s="1"/>
  <c r="C160" i="15"/>
  <c r="H160" i="15"/>
  <c r="I160" i="15" s="1"/>
  <c r="C161" i="15"/>
  <c r="H161" i="15"/>
  <c r="I161" i="15" s="1"/>
  <c r="C162" i="15"/>
  <c r="H162" i="15"/>
  <c r="I162" i="15" s="1"/>
  <c r="C163" i="15"/>
  <c r="H163" i="15"/>
  <c r="I163" i="15" s="1"/>
  <c r="C164" i="15"/>
  <c r="H164" i="15"/>
  <c r="I164" i="15" s="1"/>
  <c r="C165" i="15"/>
  <c r="H165" i="15"/>
  <c r="I165" i="15" s="1"/>
  <c r="C166" i="15"/>
  <c r="H166" i="15"/>
  <c r="I166" i="15" s="1"/>
  <c r="C167" i="15"/>
  <c r="H167" i="15"/>
  <c r="I167" i="15" s="1"/>
  <c r="C168" i="15"/>
  <c r="H168" i="15"/>
  <c r="I168" i="15" s="1"/>
  <c r="C169" i="15"/>
  <c r="H169" i="15"/>
  <c r="I169" i="15" s="1"/>
  <c r="C170" i="15"/>
  <c r="H170" i="15"/>
  <c r="I170" i="15" s="1"/>
  <c r="C171" i="15"/>
  <c r="H171" i="15"/>
  <c r="I171" i="15" s="1"/>
  <c r="C172" i="15"/>
  <c r="H172" i="15"/>
  <c r="I172" i="15" s="1"/>
  <c r="C173" i="15"/>
  <c r="H173" i="15"/>
  <c r="I173" i="15" s="1"/>
  <c r="C174" i="15"/>
  <c r="H174" i="15"/>
  <c r="I174" i="15" s="1"/>
  <c r="C175" i="15"/>
  <c r="H175" i="15"/>
  <c r="I175" i="15" s="1"/>
  <c r="C134" i="15"/>
  <c r="H134" i="15"/>
  <c r="I134" i="15" s="1"/>
  <c r="C175" i="2"/>
  <c r="H175" i="2"/>
  <c r="I175" i="2" s="1"/>
  <c r="C176" i="2"/>
  <c r="H176" i="2"/>
  <c r="I176" i="2" s="1"/>
  <c r="C177" i="2"/>
  <c r="H177" i="2"/>
  <c r="I177" i="2" s="1"/>
  <c r="C178" i="2"/>
  <c r="H178" i="2"/>
  <c r="I178" i="2" s="1"/>
  <c r="C179" i="2"/>
  <c r="H179" i="2"/>
  <c r="I179" i="2" s="1"/>
  <c r="C180" i="2"/>
  <c r="H180" i="2"/>
  <c r="I180" i="2" s="1"/>
  <c r="C181" i="2"/>
  <c r="H181" i="2"/>
  <c r="I181" i="2" s="1"/>
  <c r="C182" i="2"/>
  <c r="H182" i="2"/>
  <c r="I182" i="2" s="1"/>
  <c r="C183" i="2"/>
  <c r="H183" i="2"/>
  <c r="I183" i="2" s="1"/>
  <c r="C134" i="2"/>
  <c r="H134" i="2"/>
  <c r="I134" i="2" s="1"/>
  <c r="C135" i="2"/>
  <c r="H135" i="2"/>
  <c r="I135" i="2" s="1"/>
  <c r="C136" i="2"/>
  <c r="H136" i="2"/>
  <c r="I136" i="2" s="1"/>
  <c r="C137" i="2"/>
  <c r="H137" i="2"/>
  <c r="I137" i="2" s="1"/>
  <c r="C138" i="2"/>
  <c r="H138" i="2"/>
  <c r="I138" i="2" s="1"/>
  <c r="C139" i="2"/>
  <c r="H139" i="2"/>
  <c r="I139" i="2" s="1"/>
  <c r="C140" i="2"/>
  <c r="H140" i="2"/>
  <c r="I140" i="2" s="1"/>
  <c r="C141" i="2"/>
  <c r="H141" i="2"/>
  <c r="I141" i="2" s="1"/>
  <c r="C142" i="2"/>
  <c r="H142" i="2"/>
  <c r="I142" i="2" s="1"/>
  <c r="C143" i="2"/>
  <c r="H143" i="2"/>
  <c r="I143" i="2" s="1"/>
  <c r="C144" i="2"/>
  <c r="H144" i="2"/>
  <c r="I144" i="2" s="1"/>
  <c r="C145" i="2"/>
  <c r="H145" i="2"/>
  <c r="I145" i="2" s="1"/>
  <c r="C146" i="2"/>
  <c r="H146" i="2"/>
  <c r="I146" i="2" s="1"/>
  <c r="C147" i="2"/>
  <c r="H147" i="2"/>
  <c r="I147" i="2" s="1"/>
  <c r="C148" i="2"/>
  <c r="H148" i="2"/>
  <c r="I148" i="2" s="1"/>
  <c r="C149" i="2"/>
  <c r="H149" i="2"/>
  <c r="I149" i="2" s="1"/>
  <c r="C150" i="2"/>
  <c r="H150" i="2"/>
  <c r="I150" i="2" s="1"/>
  <c r="C151" i="2"/>
  <c r="H151" i="2"/>
  <c r="I151" i="2" s="1"/>
  <c r="C152" i="2"/>
  <c r="H152" i="2"/>
  <c r="I152" i="2" s="1"/>
  <c r="C153" i="2"/>
  <c r="H153" i="2"/>
  <c r="I153" i="2" s="1"/>
  <c r="C154" i="2"/>
  <c r="H154" i="2"/>
  <c r="I154" i="2" s="1"/>
  <c r="C155" i="2"/>
  <c r="H155" i="2"/>
  <c r="I155" i="2" s="1"/>
  <c r="C156" i="2"/>
  <c r="H156" i="2"/>
  <c r="I156" i="2" s="1"/>
  <c r="C157" i="2"/>
  <c r="H157" i="2"/>
  <c r="I157" i="2" s="1"/>
  <c r="C158" i="2"/>
  <c r="H158" i="2"/>
  <c r="I158" i="2" s="1"/>
  <c r="C159" i="2"/>
  <c r="H159" i="2"/>
  <c r="I159" i="2" s="1"/>
  <c r="C160" i="2"/>
  <c r="H160" i="2"/>
  <c r="I160" i="2" s="1"/>
  <c r="C161" i="2"/>
  <c r="H161" i="2"/>
  <c r="I161" i="2" s="1"/>
  <c r="C162" i="2"/>
  <c r="H162" i="2"/>
  <c r="I162" i="2" s="1"/>
  <c r="C163" i="2"/>
  <c r="H163" i="2"/>
  <c r="I163" i="2" s="1"/>
  <c r="C164" i="2"/>
  <c r="H164" i="2"/>
  <c r="I164" i="2" s="1"/>
  <c r="C165" i="2"/>
  <c r="H165" i="2"/>
  <c r="I165" i="2" s="1"/>
  <c r="C166" i="2"/>
  <c r="H166" i="2"/>
  <c r="I166" i="2" s="1"/>
  <c r="C167" i="2"/>
  <c r="H167" i="2"/>
  <c r="I167" i="2" s="1"/>
  <c r="C168" i="2"/>
  <c r="H168" i="2"/>
  <c r="I168" i="2" s="1"/>
  <c r="C169" i="2"/>
  <c r="H169" i="2"/>
  <c r="I169" i="2" s="1"/>
  <c r="C170" i="2"/>
  <c r="H170" i="2"/>
  <c r="I170" i="2" s="1"/>
  <c r="C171" i="2"/>
  <c r="H171" i="2"/>
  <c r="I171" i="2" s="1"/>
  <c r="C172" i="2"/>
  <c r="H172" i="2"/>
  <c r="I172" i="2" s="1"/>
  <c r="C173" i="2"/>
  <c r="H173" i="2"/>
  <c r="I173" i="2" s="1"/>
  <c r="C174" i="2"/>
  <c r="H174" i="2"/>
  <c r="I174" i="2" s="1"/>
  <c r="C184" i="13" l="1"/>
  <c r="C185" i="13"/>
  <c r="C171" i="13"/>
  <c r="C172" i="13"/>
  <c r="C173" i="13"/>
  <c r="C174" i="13"/>
  <c r="C175" i="13"/>
  <c r="C176" i="13"/>
  <c r="C177" i="13"/>
  <c r="C178" i="13"/>
  <c r="C179" i="13"/>
  <c r="C180" i="13"/>
  <c r="C181" i="13"/>
  <c r="C182" i="13"/>
  <c r="C183" i="13"/>
  <c r="C161" i="13"/>
  <c r="C162" i="13"/>
  <c r="C163" i="13"/>
  <c r="C164" i="13"/>
  <c r="C165" i="13"/>
  <c r="C166" i="13"/>
  <c r="C167" i="13"/>
  <c r="C168" i="13"/>
  <c r="C169" i="13"/>
  <c r="C170"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H184" i="12"/>
  <c r="H183" i="12"/>
  <c r="H182" i="12"/>
  <c r="H181" i="12"/>
  <c r="H180" i="12"/>
  <c r="H179" i="12"/>
  <c r="H178" i="12"/>
  <c r="H177" i="12"/>
  <c r="F184" i="12"/>
  <c r="F183" i="12"/>
  <c r="F182" i="12"/>
  <c r="F181" i="12"/>
  <c r="F180" i="12"/>
  <c r="F179" i="12"/>
  <c r="F178" i="12"/>
  <c r="F177" i="12"/>
  <c r="H176" i="12"/>
  <c r="H175" i="12"/>
  <c r="H174" i="12"/>
  <c r="H173" i="12"/>
  <c r="H172" i="12"/>
  <c r="H171" i="12"/>
  <c r="H170" i="12"/>
  <c r="H169" i="12"/>
  <c r="H168" i="12"/>
  <c r="H167" i="12"/>
  <c r="H166" i="12"/>
  <c r="H165" i="12"/>
  <c r="F176" i="12"/>
  <c r="F175" i="12"/>
  <c r="F174" i="12"/>
  <c r="F173" i="12"/>
  <c r="F172" i="12"/>
  <c r="F171" i="12"/>
  <c r="F170" i="12"/>
  <c r="F169" i="12"/>
  <c r="F168" i="12"/>
  <c r="F167" i="12"/>
  <c r="F166" i="12"/>
  <c r="F165" i="12"/>
  <c r="H164" i="12"/>
  <c r="F164" i="12"/>
  <c r="H163" i="12"/>
  <c r="H162" i="12"/>
  <c r="H161" i="12"/>
  <c r="H160" i="12"/>
  <c r="H159" i="12"/>
  <c r="H158" i="12"/>
  <c r="H157" i="12"/>
  <c r="H156" i="12"/>
  <c r="F163" i="12"/>
  <c r="F162" i="12"/>
  <c r="F161" i="12"/>
  <c r="F160" i="12"/>
  <c r="F159" i="12"/>
  <c r="F158" i="12"/>
  <c r="F157" i="12"/>
  <c r="F156" i="12"/>
  <c r="H148" i="12"/>
  <c r="H147" i="12"/>
  <c r="H146" i="12"/>
  <c r="H145" i="12"/>
  <c r="H144" i="12"/>
  <c r="H143" i="12"/>
  <c r="H142" i="12"/>
  <c r="H141" i="12"/>
  <c r="H140" i="12"/>
  <c r="H155" i="12"/>
  <c r="F155" i="12"/>
  <c r="F148" i="12" l="1"/>
  <c r="F147" i="12"/>
  <c r="F146" i="12"/>
  <c r="F145" i="12"/>
  <c r="F144" i="12"/>
  <c r="F143" i="12"/>
  <c r="F142" i="12"/>
  <c r="F141" i="12"/>
  <c r="H139" i="12"/>
  <c r="H138" i="12"/>
  <c r="H137" i="12"/>
  <c r="H136" i="12"/>
  <c r="F140" i="12" l="1"/>
  <c r="F139" i="12" l="1"/>
  <c r="F138" i="12"/>
  <c r="F137" i="12"/>
  <c r="F136" i="12"/>
  <c r="H135" i="12"/>
  <c r="F135" i="12"/>
  <c r="C136" i="12" l="1"/>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H166" i="1" l="1"/>
  <c r="H165" i="1"/>
  <c r="H164" i="1"/>
  <c r="H163" i="1"/>
  <c r="H162" i="1"/>
  <c r="H161" i="1"/>
  <c r="H160" i="1"/>
  <c r="H159" i="1"/>
  <c r="H158" i="1"/>
  <c r="H157" i="1"/>
  <c r="H156" i="1"/>
  <c r="H155" i="1"/>
  <c r="H154" i="1"/>
  <c r="H153" i="1"/>
  <c r="F160" i="1"/>
  <c r="F166" i="1" l="1"/>
  <c r="F165" i="1"/>
  <c r="F164" i="1"/>
  <c r="F163" i="1"/>
  <c r="F162" i="1"/>
  <c r="F161" i="1"/>
  <c r="F159" i="1"/>
  <c r="F158" i="1"/>
  <c r="F157" i="1"/>
  <c r="F156" i="1"/>
  <c r="F155" i="1"/>
  <c r="F154" i="1"/>
  <c r="F153" i="1"/>
  <c r="H152" i="1"/>
  <c r="F152" i="1"/>
  <c r="H151" i="1"/>
  <c r="F151" i="1"/>
  <c r="F150" i="1"/>
  <c r="H150" i="1"/>
  <c r="H149" i="1"/>
  <c r="F149" i="1"/>
  <c r="H148" i="1"/>
  <c r="F148" i="1"/>
  <c r="H147" i="1"/>
  <c r="F147" i="1"/>
  <c r="H146" i="1"/>
  <c r="F146" i="1"/>
  <c r="H145" i="1"/>
  <c r="F145" i="1"/>
  <c r="H144" i="1"/>
  <c r="F144" i="1"/>
  <c r="H143" i="1"/>
  <c r="F143" i="1"/>
  <c r="H142" i="1"/>
  <c r="F142" i="1"/>
  <c r="H141" i="1"/>
  <c r="F141" i="1"/>
  <c r="H140" i="1"/>
  <c r="F140" i="1"/>
  <c r="H139" i="1"/>
  <c r="F139" i="1"/>
  <c r="H138" i="1"/>
  <c r="F138" i="1"/>
  <c r="H137" i="1"/>
  <c r="F137" i="1"/>
  <c r="H136" i="1"/>
  <c r="F136" i="1"/>
  <c r="H135" i="1"/>
  <c r="F135" i="1"/>
  <c r="H133" i="15" l="1"/>
  <c r="I133" i="15" s="1"/>
  <c r="H132" i="15" l="1"/>
  <c r="I132" i="15" s="1"/>
  <c r="H131" i="15" l="1"/>
  <c r="I131" i="15" s="1"/>
  <c r="H130" i="15" l="1"/>
  <c r="I130" i="15" s="1"/>
  <c r="H129" i="15" l="1"/>
  <c r="I129" i="15" s="1"/>
  <c r="H128" i="15" l="1"/>
  <c r="I128" i="15" s="1"/>
  <c r="H127" i="15" l="1"/>
  <c r="I127" i="15" s="1"/>
  <c r="H126" i="15" l="1"/>
  <c r="I126" i="15"/>
  <c r="H125" i="15" l="1"/>
  <c r="I125" i="15" s="1"/>
  <c r="H124" i="15"/>
  <c r="I124" i="15" s="1"/>
  <c r="H123" i="15"/>
  <c r="I123" i="15" s="1"/>
  <c r="H122" i="15"/>
  <c r="I122" i="15" s="1"/>
  <c r="H121" i="15"/>
  <c r="I121" i="15" s="1"/>
  <c r="H120" i="15"/>
  <c r="I120" i="15" s="1"/>
  <c r="H119" i="15"/>
  <c r="I119" i="15" s="1"/>
  <c r="H118" i="15"/>
  <c r="I118" i="15" s="1"/>
  <c r="H117" i="15"/>
  <c r="I117" i="15" s="1"/>
  <c r="H116" i="15"/>
  <c r="I116" i="15" s="1"/>
  <c r="H115" i="15"/>
  <c r="I115" i="15" s="1"/>
  <c r="H114" i="15"/>
  <c r="I114" i="15" s="1"/>
  <c r="H113" i="15"/>
  <c r="I113" i="15" s="1"/>
  <c r="H112" i="15"/>
  <c r="I112" i="15" s="1"/>
  <c r="H111" i="15"/>
  <c r="I111" i="15" s="1"/>
  <c r="H110" i="15"/>
  <c r="I110" i="15" s="1"/>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10" i="15"/>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12" i="13"/>
  <c r="H130" i="2"/>
  <c r="I130" i="2" s="1"/>
  <c r="H131" i="2"/>
  <c r="I131" i="2" s="1"/>
  <c r="H132" i="2"/>
  <c r="I132" i="2" s="1"/>
  <c r="H133" i="2"/>
  <c r="I133" i="2" s="1"/>
  <c r="H129" i="2" l="1"/>
  <c r="I129" i="2" s="1"/>
  <c r="H128" i="2" l="1"/>
  <c r="I128" i="2" s="1"/>
  <c r="H127" i="2" l="1"/>
  <c r="I127" i="2" s="1"/>
  <c r="H126" i="2" l="1"/>
  <c r="I126" i="2" s="1"/>
  <c r="H125" i="2" l="1"/>
  <c r="I125" i="2" s="1"/>
  <c r="H124" i="2" l="1"/>
  <c r="I124" i="2"/>
  <c r="H123" i="2" l="1"/>
  <c r="I123" i="2"/>
  <c r="H122" i="2" l="1"/>
  <c r="I122" i="2"/>
  <c r="H121" i="2" l="1"/>
  <c r="I121" i="2" s="1"/>
  <c r="H120" i="2" l="1"/>
  <c r="I120" i="2" s="1"/>
  <c r="H119" i="2" l="1"/>
  <c r="I119" i="2" s="1"/>
  <c r="H118" i="2" l="1"/>
  <c r="I118" i="2"/>
  <c r="H117" i="2" l="1"/>
  <c r="I117" i="2" s="1"/>
  <c r="H116" i="2" l="1"/>
  <c r="I116" i="2"/>
  <c r="H115" i="2" l="1"/>
  <c r="I115" i="2"/>
  <c r="H114" i="2" l="1"/>
  <c r="I114" i="2" s="1"/>
  <c r="H113" i="2" l="1"/>
  <c r="I113" i="2" s="1"/>
  <c r="H112" i="2" l="1"/>
  <c r="I112" i="2"/>
  <c r="H111" i="2" l="1"/>
  <c r="I111" i="2"/>
  <c r="H110" i="2" l="1"/>
  <c r="I110" i="2"/>
  <c r="H109" i="2" l="1"/>
  <c r="C111" i="2" l="1"/>
  <c r="C112" i="2"/>
  <c r="C113" i="2"/>
  <c r="C114" i="2"/>
  <c r="C115" i="2"/>
  <c r="C116" i="2"/>
  <c r="C117" i="2"/>
  <c r="C118" i="2"/>
  <c r="C119" i="2"/>
  <c r="C120" i="2"/>
  <c r="C121" i="2"/>
  <c r="C122" i="2"/>
  <c r="C123" i="2"/>
  <c r="C124" i="2"/>
  <c r="C125" i="2"/>
  <c r="C126" i="2"/>
  <c r="C127" i="2"/>
  <c r="C128" i="2"/>
  <c r="C129" i="2"/>
  <c r="C130" i="2"/>
  <c r="C131" i="2"/>
  <c r="C132" i="2"/>
  <c r="C133" i="2"/>
  <c r="C110" i="2"/>
  <c r="G110" i="12" l="1"/>
  <c r="C113" i="12" l="1"/>
  <c r="C114" i="12"/>
  <c r="C115" i="12"/>
  <c r="C116" i="12"/>
  <c r="C117" i="12"/>
  <c r="C118" i="12"/>
  <c r="C119" i="12"/>
  <c r="C120" i="12"/>
  <c r="C121" i="12"/>
  <c r="C122" i="12"/>
  <c r="C123" i="12"/>
  <c r="C124" i="12"/>
  <c r="C125" i="12"/>
  <c r="C126" i="12"/>
  <c r="C127" i="12"/>
  <c r="C128" i="12"/>
  <c r="C129" i="12"/>
  <c r="C130" i="12"/>
  <c r="C131" i="12"/>
  <c r="C132" i="12"/>
  <c r="C133" i="12"/>
  <c r="C134" i="12"/>
  <c r="C135" i="12"/>
  <c r="C112" i="12"/>
  <c r="G110" i="1"/>
  <c r="H109" i="15" l="1"/>
  <c r="I109" i="15" s="1"/>
  <c r="H108" i="15"/>
  <c r="I108" i="15" s="1"/>
  <c r="H107" i="15"/>
  <c r="I107" i="15" s="1"/>
  <c r="H106" i="15"/>
  <c r="I106" i="15" s="1"/>
  <c r="H105" i="15"/>
  <c r="I105" i="15" s="1"/>
  <c r="H104" i="15"/>
  <c r="I104" i="15" s="1"/>
  <c r="H103" i="15"/>
  <c r="I103" i="15" s="1"/>
  <c r="H102" i="15"/>
  <c r="I102" i="15" s="1"/>
  <c r="H101" i="15"/>
  <c r="I101" i="15" s="1"/>
  <c r="H100" i="15"/>
  <c r="I100" i="15" s="1"/>
  <c r="H99" i="15"/>
  <c r="I99" i="15" s="1"/>
  <c r="H98" i="15"/>
  <c r="I98" i="15" s="1"/>
  <c r="I109" i="2"/>
  <c r="H108" i="2"/>
  <c r="I108" i="2" s="1"/>
  <c r="H107" i="2"/>
  <c r="I107" i="2" s="1"/>
  <c r="H106" i="2"/>
  <c r="I106" i="2" s="1"/>
  <c r="H105" i="2"/>
  <c r="I105" i="2" s="1"/>
  <c r="H104" i="2"/>
  <c r="I104" i="2" s="1"/>
  <c r="H103" i="2"/>
  <c r="I103" i="2" s="1"/>
  <c r="H102" i="2"/>
  <c r="I102" i="2" s="1"/>
  <c r="H101" i="2"/>
  <c r="I101" i="2" s="1"/>
  <c r="H100" i="2"/>
  <c r="I100" i="2" s="1"/>
  <c r="H99" i="2"/>
  <c r="I99" i="2" s="1"/>
  <c r="H98" i="2"/>
  <c r="I98" i="2" s="1"/>
  <c r="A3" i="12" l="1"/>
  <c r="A2" i="12"/>
  <c r="A1" i="12"/>
  <c r="A3" i="13"/>
  <c r="A2" i="13"/>
  <c r="A1" i="13"/>
  <c r="A3" i="2"/>
  <c r="A2" i="2"/>
  <c r="A1" i="2"/>
  <c r="A3" i="15"/>
  <c r="A2" i="15"/>
  <c r="A1" i="15"/>
  <c r="H97" i="15"/>
  <c r="I97" i="15" s="1"/>
  <c r="H96" i="15"/>
  <c r="I96" i="15" s="1"/>
  <c r="H95" i="15"/>
  <c r="I95" i="15" s="1"/>
  <c r="H94" i="15"/>
  <c r="I94" i="15" s="1"/>
  <c r="H93" i="15"/>
  <c r="I93" i="15" s="1"/>
  <c r="H92" i="15"/>
  <c r="I92" i="15" s="1"/>
  <c r="H91" i="15"/>
  <c r="I91" i="15" s="1"/>
  <c r="B109" i="15"/>
  <c r="B110" i="15" s="1"/>
  <c r="B111" i="15" s="1"/>
  <c r="B112" i="15" s="1"/>
  <c r="B113" i="15" s="1"/>
  <c r="B114" i="15" s="1"/>
  <c r="B115" i="15" s="1"/>
  <c r="B116" i="15" s="1"/>
  <c r="B117" i="15" s="1"/>
  <c r="B118" i="15" s="1"/>
  <c r="B119" i="15" s="1"/>
  <c r="B120" i="15" s="1"/>
  <c r="B121" i="15" s="1"/>
  <c r="B122" i="15" s="1"/>
  <c r="B123" i="15" s="1"/>
  <c r="B124" i="15" s="1"/>
  <c r="B125" i="15" s="1"/>
  <c r="B126" i="15" s="1"/>
  <c r="B127" i="15" s="1"/>
  <c r="B128" i="15" s="1"/>
  <c r="B129" i="15" s="1"/>
  <c r="B130" i="15" s="1"/>
  <c r="B131" i="15" s="1"/>
  <c r="B132" i="15" s="1"/>
  <c r="B133" i="15" s="1"/>
  <c r="B134" i="15" s="1"/>
  <c r="B135" i="15" s="1"/>
  <c r="B136" i="15" s="1"/>
  <c r="B137" i="15" s="1"/>
  <c r="B138" i="15" s="1"/>
  <c r="B139" i="15" s="1"/>
  <c r="B140" i="15" s="1"/>
  <c r="B141" i="15" s="1"/>
  <c r="B142" i="15" s="1"/>
  <c r="B143" i="15" s="1"/>
  <c r="B144" i="15" s="1"/>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H90" i="15"/>
  <c r="I90" i="15" s="1"/>
  <c r="H89" i="15"/>
  <c r="I89" i="15" s="1"/>
  <c r="H88" i="15"/>
  <c r="I88" i="15" s="1"/>
  <c r="H87" i="15"/>
  <c r="I87" i="15" s="1"/>
  <c r="H86" i="15"/>
  <c r="I86" i="15" s="1"/>
  <c r="H85" i="15"/>
  <c r="I85" i="15" s="1"/>
  <c r="H84" i="15"/>
  <c r="I84" i="15" s="1"/>
  <c r="H83" i="15"/>
  <c r="I83" i="15" s="1"/>
  <c r="H82" i="15"/>
  <c r="I82" i="15" s="1"/>
  <c r="H81" i="15"/>
  <c r="I81" i="15" s="1"/>
  <c r="H80" i="15"/>
  <c r="I80" i="15" s="1"/>
  <c r="H79" i="15"/>
  <c r="I79" i="15" s="1"/>
  <c r="H78" i="15"/>
  <c r="I78" i="15" s="1"/>
  <c r="H77" i="15"/>
  <c r="I77" i="15" s="1"/>
  <c r="H76" i="15"/>
  <c r="I76" i="15" s="1"/>
  <c r="H75" i="15"/>
  <c r="I75" i="15" s="1"/>
  <c r="H74" i="15"/>
  <c r="I74" i="15" s="1"/>
  <c r="H73" i="15"/>
  <c r="I73" i="15" s="1"/>
  <c r="H72" i="15"/>
  <c r="I72" i="15" s="1"/>
  <c r="H71" i="15"/>
  <c r="I71" i="15" s="1"/>
  <c r="H70" i="15"/>
  <c r="I70" i="15" s="1"/>
  <c r="H69" i="15"/>
  <c r="I69" i="15" s="1"/>
  <c r="H68" i="15"/>
  <c r="I68" i="15" s="1"/>
  <c r="H67" i="15"/>
  <c r="I67" i="15" s="1"/>
  <c r="H66" i="15"/>
  <c r="I66" i="15" s="1"/>
  <c r="H65" i="15"/>
  <c r="I65" i="15" s="1"/>
  <c r="H64" i="15"/>
  <c r="I64" i="15" s="1"/>
  <c r="H63" i="15"/>
  <c r="I63" i="15" s="1"/>
  <c r="H62" i="15"/>
  <c r="I62" i="15" s="1"/>
  <c r="H61" i="15"/>
  <c r="I61" i="15" s="1"/>
  <c r="H60" i="15"/>
  <c r="I60" i="15" s="1"/>
  <c r="H59" i="15"/>
  <c r="I59" i="15" s="1"/>
  <c r="H58" i="15"/>
  <c r="I58" i="15" s="1"/>
  <c r="H57" i="15"/>
  <c r="I57" i="15" s="1"/>
  <c r="H56" i="15"/>
  <c r="I56" i="15" s="1"/>
  <c r="H55" i="15"/>
  <c r="I55" i="15" s="1"/>
  <c r="H54" i="15"/>
  <c r="I54" i="15" s="1"/>
  <c r="H53" i="15"/>
  <c r="I53" i="15" s="1"/>
  <c r="H52" i="15"/>
  <c r="I52" i="15" s="1"/>
  <c r="H51" i="15"/>
  <c r="I51" i="15" s="1"/>
  <c r="H50" i="15"/>
  <c r="I50" i="15" s="1"/>
  <c r="H49" i="15"/>
  <c r="I49" i="15" s="1"/>
  <c r="H48" i="15"/>
  <c r="I48" i="15" s="1"/>
  <c r="H47" i="15"/>
  <c r="I47" i="15" s="1"/>
  <c r="H46" i="15"/>
  <c r="I46" i="15" s="1"/>
  <c r="H45" i="15"/>
  <c r="I45" i="15" s="1"/>
  <c r="H44" i="15"/>
  <c r="I44" i="15" s="1"/>
  <c r="H43" i="15"/>
  <c r="I43" i="15" s="1"/>
  <c r="H42" i="15"/>
  <c r="I42" i="15" s="1"/>
  <c r="H41" i="15"/>
  <c r="I41" i="15" s="1"/>
  <c r="H40" i="15"/>
  <c r="I40" i="15" s="1"/>
  <c r="H39" i="15"/>
  <c r="I39" i="15" s="1"/>
  <c r="H38" i="15"/>
  <c r="I38" i="15" s="1"/>
  <c r="H37" i="15"/>
  <c r="I37" i="15" s="1"/>
  <c r="H36" i="15"/>
  <c r="I36" i="15" s="1"/>
  <c r="H35" i="15"/>
  <c r="I35" i="15" s="1"/>
  <c r="H34" i="15"/>
  <c r="I34" i="15" s="1"/>
  <c r="H33" i="15"/>
  <c r="I33" i="15" s="1"/>
  <c r="H32" i="15"/>
  <c r="I32" i="15" s="1"/>
  <c r="H31" i="15"/>
  <c r="I31" i="15" s="1"/>
  <c r="H30" i="15"/>
  <c r="I30" i="15" s="1"/>
  <c r="H29" i="15"/>
  <c r="I29" i="15" s="1"/>
  <c r="H28" i="15"/>
  <c r="I28" i="15" s="1"/>
  <c r="H27" i="15"/>
  <c r="I27" i="15" s="1"/>
  <c r="H26" i="15"/>
  <c r="I26" i="15" s="1"/>
  <c r="H25" i="15"/>
  <c r="I25" i="15" s="1"/>
  <c r="H24" i="15"/>
  <c r="I24" i="15" s="1"/>
  <c r="H23" i="15"/>
  <c r="I23" i="15" s="1"/>
  <c r="H22" i="15"/>
  <c r="I22" i="15" s="1"/>
  <c r="H21" i="15"/>
  <c r="I21" i="15" s="1"/>
  <c r="H20" i="15"/>
  <c r="I20" i="15" s="1"/>
  <c r="H19" i="15"/>
  <c r="I19" i="15" s="1"/>
  <c r="H18" i="15"/>
  <c r="I18" i="15" s="1"/>
  <c r="H17" i="15"/>
  <c r="I17" i="15" s="1"/>
  <c r="H16" i="15"/>
  <c r="I16" i="15" s="1"/>
  <c r="H15" i="15"/>
  <c r="I15" i="15" s="1"/>
  <c r="H14" i="15"/>
  <c r="I14" i="15" s="1"/>
  <c r="H13" i="15"/>
  <c r="I13" i="15" s="1"/>
  <c r="D13" i="15"/>
  <c r="D14" i="15" s="1"/>
  <c r="D15" i="15" s="1"/>
  <c r="D16" i="15" s="1"/>
  <c r="D17" i="15" s="1"/>
  <c r="D18" i="15" s="1"/>
  <c r="D19" i="15" s="1"/>
  <c r="D20" i="15" s="1"/>
  <c r="D21" i="15" s="1"/>
  <c r="D22" i="15" s="1"/>
  <c r="D23" i="15" s="1"/>
  <c r="D24" i="15" s="1"/>
  <c r="D25" i="15" s="1"/>
  <c r="D26" i="15" s="1"/>
  <c r="D27" i="15" s="1"/>
  <c r="D28" i="15" s="1"/>
  <c r="D29" i="15" s="1"/>
  <c r="D30" i="15" s="1"/>
  <c r="D31" i="15" s="1"/>
  <c r="D32" i="15" s="1"/>
  <c r="D33" i="15" s="1"/>
  <c r="D34" i="15" s="1"/>
  <c r="D35" i="15" s="1"/>
  <c r="D36" i="15" s="1"/>
  <c r="D37" i="15" s="1"/>
  <c r="D38" i="15" s="1"/>
  <c r="D39" i="15" s="1"/>
  <c r="D40" i="15" s="1"/>
  <c r="D41" i="15" s="1"/>
  <c r="D42" i="15" s="1"/>
  <c r="D43" i="15" s="1"/>
  <c r="D44" i="15" s="1"/>
  <c r="D45" i="15" s="1"/>
  <c r="D46" i="15" s="1"/>
  <c r="D47" i="15" s="1"/>
  <c r="D48" i="15" s="1"/>
  <c r="D49" i="15" s="1"/>
  <c r="D50" i="15" s="1"/>
  <c r="D51" i="15" s="1"/>
  <c r="D52" i="15" s="1"/>
  <c r="D53" i="15" s="1"/>
  <c r="D54" i="15" s="1"/>
  <c r="D55" i="15" s="1"/>
  <c r="D56" i="15" s="1"/>
  <c r="D57" i="15" s="1"/>
  <c r="D58" i="15" s="1"/>
  <c r="D59" i="15" s="1"/>
  <c r="D60" i="15" s="1"/>
  <c r="D61" i="15" s="1"/>
  <c r="D62" i="15" s="1"/>
  <c r="D63" i="15" s="1"/>
  <c r="D64" i="15" s="1"/>
  <c r="D65" i="15" s="1"/>
  <c r="D66" i="15" s="1"/>
  <c r="D67" i="15" s="1"/>
  <c r="D68" i="15" s="1"/>
  <c r="D69" i="15" s="1"/>
  <c r="D70" i="15" s="1"/>
  <c r="D71" i="15" s="1"/>
  <c r="D72" i="15" s="1"/>
  <c r="D73" i="15" s="1"/>
  <c r="D74" i="15" s="1"/>
  <c r="D75" i="15" s="1"/>
  <c r="D76" i="15" s="1"/>
  <c r="D77" i="15" s="1"/>
  <c r="D78" i="15" s="1"/>
  <c r="D79" i="15" s="1"/>
  <c r="D80" i="15" s="1"/>
  <c r="D81" i="15" s="1"/>
  <c r="D82" i="15" s="1"/>
  <c r="D83" i="15" s="1"/>
  <c r="D84" i="15" s="1"/>
  <c r="D85" i="15" s="1"/>
  <c r="D86" i="15" s="1"/>
  <c r="D87" i="15" s="1"/>
  <c r="D88" i="15" s="1"/>
  <c r="D89" i="15" s="1"/>
  <c r="D90" i="15" s="1"/>
  <c r="H12" i="15"/>
  <c r="I12" i="15" s="1"/>
  <c r="A134" i="15"/>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B111" i="13"/>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I56" i="13"/>
  <c r="J56" i="13" s="1"/>
  <c r="K57" i="13" s="1"/>
  <c r="I57" i="13" s="1"/>
  <c r="J57" i="13" s="1"/>
  <c r="K58" i="13" s="1"/>
  <c r="I58" i="13" s="1"/>
  <c r="J58" i="13" s="1"/>
  <c r="K59" i="13" s="1"/>
  <c r="I59" i="13" s="1"/>
  <c r="J59" i="13" s="1"/>
  <c r="K60" i="13" s="1"/>
  <c r="I60" i="13" s="1"/>
  <c r="J60" i="13" s="1"/>
  <c r="K61" i="13" s="1"/>
  <c r="I61" i="13" s="1"/>
  <c r="J61" i="13" s="1"/>
  <c r="K62" i="13" s="1"/>
  <c r="I62" i="13" s="1"/>
  <c r="J62" i="13" s="1"/>
  <c r="K63" i="13" s="1"/>
  <c r="I63" i="13" s="1"/>
  <c r="J63" i="13" s="1"/>
  <c r="K64" i="13" s="1"/>
  <c r="I64" i="13" s="1"/>
  <c r="J64" i="13" s="1"/>
  <c r="K65" i="13" s="1"/>
  <c r="I65" i="13" s="1"/>
  <c r="J65" i="13" s="1"/>
  <c r="K66" i="13" s="1"/>
  <c r="I66" i="13" s="1"/>
  <c r="J66" i="13" s="1"/>
  <c r="K67" i="13" s="1"/>
  <c r="I67" i="13" s="1"/>
  <c r="J67" i="13" s="1"/>
  <c r="K68" i="13" s="1"/>
  <c r="I68" i="13" s="1"/>
  <c r="J68" i="13" s="1"/>
  <c r="K69" i="13" s="1"/>
  <c r="I69" i="13" s="1"/>
  <c r="J69" i="13" s="1"/>
  <c r="K70" i="13" s="1"/>
  <c r="I70" i="13" s="1"/>
  <c r="J70" i="13" s="1"/>
  <c r="K71" i="13" s="1"/>
  <c r="I71" i="13" s="1"/>
  <c r="J71" i="13" s="1"/>
  <c r="K72" i="13" s="1"/>
  <c r="I72" i="13" s="1"/>
  <c r="J72" i="13" s="1"/>
  <c r="K73" i="13" s="1"/>
  <c r="I73" i="13" s="1"/>
  <c r="J73" i="13" s="1"/>
  <c r="K74" i="13" s="1"/>
  <c r="I74" i="13" s="1"/>
  <c r="J74" i="13" s="1"/>
  <c r="K75" i="13" s="1"/>
  <c r="I75" i="13" s="1"/>
  <c r="J75" i="13" s="1"/>
  <c r="K76" i="13" s="1"/>
  <c r="I76" i="13" s="1"/>
  <c r="J76" i="13" s="1"/>
  <c r="K77" i="13" s="1"/>
  <c r="I77" i="13" s="1"/>
  <c r="J77" i="13" s="1"/>
  <c r="K78" i="13" s="1"/>
  <c r="I78" i="13" s="1"/>
  <c r="J78" i="13" s="1"/>
  <c r="K79" i="13" s="1"/>
  <c r="I79" i="13" s="1"/>
  <c r="J79" i="13" s="1"/>
  <c r="K80" i="13" s="1"/>
  <c r="I80" i="13" s="1"/>
  <c r="J80" i="13" s="1"/>
  <c r="K81" i="13" s="1"/>
  <c r="I81" i="13" s="1"/>
  <c r="J81" i="13" s="1"/>
  <c r="K82" i="13" s="1"/>
  <c r="I82" i="13" s="1"/>
  <c r="J82" i="13" s="1"/>
  <c r="K83" i="13" s="1"/>
  <c r="I83" i="13" s="1"/>
  <c r="J83" i="13" s="1"/>
  <c r="K84" i="13" s="1"/>
  <c r="I84" i="13" s="1"/>
  <c r="J84" i="13" s="1"/>
  <c r="K85" i="13" s="1"/>
  <c r="I85" i="13" s="1"/>
  <c r="J85" i="13" s="1"/>
  <c r="K86" i="13" s="1"/>
  <c r="I86" i="13" s="1"/>
  <c r="J86" i="13" s="1"/>
  <c r="K87" i="13" s="1"/>
  <c r="I87" i="13" s="1"/>
  <c r="J87" i="13" s="1"/>
  <c r="K88" i="13" s="1"/>
  <c r="I88" i="13" s="1"/>
  <c r="J88" i="13" s="1"/>
  <c r="K89" i="13" s="1"/>
  <c r="I89" i="13" s="1"/>
  <c r="J89" i="13" s="1"/>
  <c r="K90" i="13" s="1"/>
  <c r="I90" i="13" s="1"/>
  <c r="J90" i="13" s="1"/>
  <c r="K91" i="13" s="1"/>
  <c r="I91" i="13" s="1"/>
  <c r="J91" i="13" s="1"/>
  <c r="K92" i="13" s="1"/>
  <c r="I92" i="13" s="1"/>
  <c r="J92" i="13" s="1"/>
  <c r="K93" i="13" s="1"/>
  <c r="I93" i="13" s="1"/>
  <c r="J93" i="13" s="1"/>
  <c r="K94" i="13" s="1"/>
  <c r="I94" i="13" s="1"/>
  <c r="J94" i="13" s="1"/>
  <c r="K95" i="13" s="1"/>
  <c r="I95" i="13" s="1"/>
  <c r="J95" i="13" s="1"/>
  <c r="K96" i="13" s="1"/>
  <c r="I96" i="13" s="1"/>
  <c r="J96" i="13" s="1"/>
  <c r="K97" i="13" s="1"/>
  <c r="I97" i="13" s="1"/>
  <c r="J97" i="13" s="1"/>
  <c r="K98" i="13" s="1"/>
  <c r="I98" i="13" s="1"/>
  <c r="J98" i="13" s="1"/>
  <c r="K99" i="13" s="1"/>
  <c r="I99" i="13" s="1"/>
  <c r="J99" i="13" s="1"/>
  <c r="K100" i="13" s="1"/>
  <c r="I100" i="13" s="1"/>
  <c r="J100" i="13" s="1"/>
  <c r="K101" i="13" s="1"/>
  <c r="I101" i="13" s="1"/>
  <c r="J101" i="13" s="1"/>
  <c r="K102" i="13" s="1"/>
  <c r="I102" i="13" s="1"/>
  <c r="J102" i="13" s="1"/>
  <c r="K103" i="13" s="1"/>
  <c r="I103" i="13" s="1"/>
  <c r="J103" i="13" s="1"/>
  <c r="K104" i="13" s="1"/>
  <c r="I104" i="13" s="1"/>
  <c r="J104" i="13" s="1"/>
  <c r="K105" i="13" s="1"/>
  <c r="I105" i="13" s="1"/>
  <c r="J105" i="13" s="1"/>
  <c r="K106" i="13" s="1"/>
  <c r="I106" i="13" s="1"/>
  <c r="J106" i="13" s="1"/>
  <c r="K107" i="13" s="1"/>
  <c r="I107" i="13" s="1"/>
  <c r="J107" i="13" s="1"/>
  <c r="K108" i="13" s="1"/>
  <c r="I108" i="13" s="1"/>
  <c r="J108" i="13" s="1"/>
  <c r="K109" i="13" s="1"/>
  <c r="I109" i="13" s="1"/>
  <c r="J109" i="13" s="1"/>
  <c r="K110" i="13" s="1"/>
  <c r="I110" i="13" s="1"/>
  <c r="J110" i="13" s="1"/>
  <c r="K111" i="13" s="1"/>
  <c r="I111" i="13" s="1"/>
  <c r="J111" i="13" s="1"/>
  <c r="K112" i="13" s="1"/>
  <c r="I112" i="13" s="1"/>
  <c r="J112" i="13" s="1"/>
  <c r="K113" i="13" s="1"/>
  <c r="I113" i="13" s="1"/>
  <c r="J113" i="13" s="1"/>
  <c r="K114" i="13" s="1"/>
  <c r="I114" i="13" s="1"/>
  <c r="J114" i="13" s="1"/>
  <c r="K115" i="13" s="1"/>
  <c r="I115" i="13" s="1"/>
  <c r="J115" i="13" s="1"/>
  <c r="K116" i="13" s="1"/>
  <c r="I116" i="13" s="1"/>
  <c r="J116" i="13" s="1"/>
  <c r="K117" i="13" s="1"/>
  <c r="I117" i="13" s="1"/>
  <c r="J117" i="13" s="1"/>
  <c r="K118" i="13" s="1"/>
  <c r="I118" i="13" s="1"/>
  <c r="J118" i="13" s="1"/>
  <c r="K119" i="13" s="1"/>
  <c r="I119" i="13" s="1"/>
  <c r="J119" i="13" s="1"/>
  <c r="K120" i="13" s="1"/>
  <c r="I120" i="13" s="1"/>
  <c r="J120" i="13" s="1"/>
  <c r="K121" i="13" s="1"/>
  <c r="I121" i="13" s="1"/>
  <c r="J121" i="13" s="1"/>
  <c r="K122" i="13" s="1"/>
  <c r="I122" i="13" s="1"/>
  <c r="J122" i="13" s="1"/>
  <c r="K123" i="13" s="1"/>
  <c r="I123" i="13" s="1"/>
  <c r="J123" i="13" s="1"/>
  <c r="K124" i="13" s="1"/>
  <c r="I124" i="13" s="1"/>
  <c r="J124" i="13" s="1"/>
  <c r="K125" i="13" s="1"/>
  <c r="I125" i="13" s="1"/>
  <c r="J125" i="13" s="1"/>
  <c r="K126" i="13" s="1"/>
  <c r="I126" i="13" s="1"/>
  <c r="J126" i="13" s="1"/>
  <c r="K127" i="13" s="1"/>
  <c r="I127" i="13" s="1"/>
  <c r="J127" i="13" s="1"/>
  <c r="K128" i="13" s="1"/>
  <c r="I128" i="13" s="1"/>
  <c r="J128" i="13" s="1"/>
  <c r="K129" i="13" s="1"/>
  <c r="I129" i="13" s="1"/>
  <c r="J129" i="13" s="1"/>
  <c r="K130" i="13" s="1"/>
  <c r="I130" i="13" s="1"/>
  <c r="J130" i="13" s="1"/>
  <c r="K131" i="13" s="1"/>
  <c r="I131" i="13" s="1"/>
  <c r="J131" i="13" s="1"/>
  <c r="K132" i="13" s="1"/>
  <c r="I132" i="13" s="1"/>
  <c r="J132" i="13" s="1"/>
  <c r="K133" i="13" s="1"/>
  <c r="I133" i="13" s="1"/>
  <c r="J133" i="13" s="1"/>
  <c r="K134" i="13" s="1"/>
  <c r="I134" i="13" s="1"/>
  <c r="J134" i="13" s="1"/>
  <c r="K135" i="13" s="1"/>
  <c r="I135" i="13" s="1"/>
  <c r="J135" i="13" s="1"/>
  <c r="K136" i="13" s="1"/>
  <c r="I136" i="13" s="1"/>
  <c r="J136" i="13" s="1"/>
  <c r="K137" i="13" s="1"/>
  <c r="I137" i="13" s="1"/>
  <c r="J137" i="13" s="1"/>
  <c r="K138" i="13" s="1"/>
  <c r="I138" i="13" s="1"/>
  <c r="J138" i="13" s="1"/>
  <c r="K139" i="13" s="1"/>
  <c r="I139" i="13" s="1"/>
  <c r="J139" i="13" s="1"/>
  <c r="K140" i="13" s="1"/>
  <c r="I140" i="13" s="1"/>
  <c r="J140" i="13" s="1"/>
  <c r="K141" i="13" s="1"/>
  <c r="I141" i="13" s="1"/>
  <c r="J141" i="13" s="1"/>
  <c r="K142" i="13" s="1"/>
  <c r="I142" i="13" s="1"/>
  <c r="J142" i="13" s="1"/>
  <c r="K143" i="13" s="1"/>
  <c r="I143" i="13" s="1"/>
  <c r="J143" i="13" s="1"/>
  <c r="K144" i="13" s="1"/>
  <c r="I144" i="13" s="1"/>
  <c r="J144" i="13" s="1"/>
  <c r="K145" i="13" s="1"/>
  <c r="I145" i="13" s="1"/>
  <c r="J145" i="13" s="1"/>
  <c r="K146" i="13" s="1"/>
  <c r="I146" i="13" s="1"/>
  <c r="J146" i="13" s="1"/>
  <c r="K147" i="13" s="1"/>
  <c r="I147" i="13" s="1"/>
  <c r="J147" i="13" s="1"/>
  <c r="K148" i="13" s="1"/>
  <c r="I148" i="13" s="1"/>
  <c r="J148" i="13" s="1"/>
  <c r="K149" i="13" s="1"/>
  <c r="I149" i="13" s="1"/>
  <c r="J149" i="13" s="1"/>
  <c r="K150" i="13" s="1"/>
  <c r="I150" i="13" s="1"/>
  <c r="J150" i="13" s="1"/>
  <c r="K151" i="13" s="1"/>
  <c r="I151" i="13" s="1"/>
  <c r="J151" i="13" s="1"/>
  <c r="K152" i="13" s="1"/>
  <c r="I152" i="13" s="1"/>
  <c r="J152" i="13" s="1"/>
  <c r="K153" i="13" s="1"/>
  <c r="I153" i="13" s="1"/>
  <c r="J153" i="13" s="1"/>
  <c r="K154" i="13" s="1"/>
  <c r="I154" i="13" s="1"/>
  <c r="J154" i="13" s="1"/>
  <c r="K155" i="13" s="1"/>
  <c r="I155" i="13" s="1"/>
  <c r="J155" i="13" s="1"/>
  <c r="K156" i="13" s="1"/>
  <c r="I156" i="13" s="1"/>
  <c r="J156" i="13" s="1"/>
  <c r="K157" i="13" s="1"/>
  <c r="I157" i="13" s="1"/>
  <c r="J157" i="13" s="1"/>
  <c r="K158" i="13" s="1"/>
  <c r="I158" i="13" s="1"/>
  <c r="J158" i="13" s="1"/>
  <c r="K159" i="13" s="1"/>
  <c r="I159" i="13" s="1"/>
  <c r="J159" i="13" s="1"/>
  <c r="K160" i="13" s="1"/>
  <c r="I160" i="13" s="1"/>
  <c r="J160" i="13" s="1"/>
  <c r="K161" i="13" s="1"/>
  <c r="I161" i="13" s="1"/>
  <c r="J161" i="13" s="1"/>
  <c r="K162" i="13" s="1"/>
  <c r="I162" i="13" s="1"/>
  <c r="J162" i="13" s="1"/>
  <c r="K163" i="13" s="1"/>
  <c r="I163" i="13" s="1"/>
  <c r="J163" i="13" s="1"/>
  <c r="K164" i="13" s="1"/>
  <c r="I164" i="13" s="1"/>
  <c r="J164" i="13" s="1"/>
  <c r="K165" i="13" s="1"/>
  <c r="I165" i="13" s="1"/>
  <c r="J165" i="13" s="1"/>
  <c r="K166" i="13" s="1"/>
  <c r="I166" i="13" s="1"/>
  <c r="J166" i="13" s="1"/>
  <c r="K167" i="13" s="1"/>
  <c r="I167" i="13" s="1"/>
  <c r="J167" i="13" s="1"/>
  <c r="K168" i="13" s="1"/>
  <c r="I168" i="13" s="1"/>
  <c r="J168" i="13" s="1"/>
  <c r="K169" i="13" s="1"/>
  <c r="I169" i="13" s="1"/>
  <c r="J169" i="13" s="1"/>
  <c r="K170" i="13" s="1"/>
  <c r="I170" i="13" s="1"/>
  <c r="J170" i="13" s="1"/>
  <c r="K171" i="13" s="1"/>
  <c r="I171" i="13" s="1"/>
  <c r="J171" i="13" s="1"/>
  <c r="K172" i="13" s="1"/>
  <c r="I172" i="13" s="1"/>
  <c r="J172" i="13" s="1"/>
  <c r="K173" i="13" s="1"/>
  <c r="I173" i="13" s="1"/>
  <c r="J173" i="13" s="1"/>
  <c r="K174" i="13" s="1"/>
  <c r="I174" i="13" s="1"/>
  <c r="J174" i="13" s="1"/>
  <c r="K175" i="13" s="1"/>
  <c r="I175" i="13" s="1"/>
  <c r="J175" i="13" s="1"/>
  <c r="K176" i="13" s="1"/>
  <c r="I176" i="13" s="1"/>
  <c r="J176" i="13" s="1"/>
  <c r="K177" i="13" s="1"/>
  <c r="I177" i="13" s="1"/>
  <c r="J177" i="13" s="1"/>
  <c r="K178" i="13" s="1"/>
  <c r="I178" i="13" s="1"/>
  <c r="J178" i="13" s="1"/>
  <c r="K179" i="13" s="1"/>
  <c r="I179" i="13" s="1"/>
  <c r="J179" i="13" s="1"/>
  <c r="K180" i="13" s="1"/>
  <c r="I180" i="13" s="1"/>
  <c r="J180" i="13" s="1"/>
  <c r="K181" i="13" s="1"/>
  <c r="I181" i="13" s="1"/>
  <c r="J181" i="13" s="1"/>
  <c r="K182" i="13" s="1"/>
  <c r="I182" i="13" s="1"/>
  <c r="J182" i="13" s="1"/>
  <c r="K183" i="13" s="1"/>
  <c r="I183" i="13" s="1"/>
  <c r="J183" i="13" s="1"/>
  <c r="K184" i="13" s="1"/>
  <c r="I184" i="13" s="1"/>
  <c r="J184" i="13" s="1"/>
  <c r="K185" i="13" s="1"/>
  <c r="I185" i="13" s="1"/>
  <c r="J185" i="13" s="1"/>
  <c r="K186" i="13" s="1"/>
  <c r="I186" i="13" s="1"/>
  <c r="J186" i="13" s="1"/>
  <c r="K187" i="13" s="1"/>
  <c r="I187" i="13" s="1"/>
  <c r="J187" i="13" s="1"/>
  <c r="K188" i="13" s="1"/>
  <c r="I188" i="13" s="1"/>
  <c r="J188" i="13" s="1"/>
  <c r="K189" i="13" s="1"/>
  <c r="I189" i="13" s="1"/>
  <c r="J189" i="13" s="1"/>
  <c r="K190" i="13" s="1"/>
  <c r="I190" i="13" s="1"/>
  <c r="J190" i="13" s="1"/>
  <c r="K191" i="13" s="1"/>
  <c r="I191" i="13" s="1"/>
  <c r="J191" i="13" s="1"/>
  <c r="K192" i="13" s="1"/>
  <c r="I192" i="13" s="1"/>
  <c r="J192" i="13" s="1"/>
  <c r="K193" i="13" s="1"/>
  <c r="I193" i="13" s="1"/>
  <c r="J193" i="13" s="1"/>
  <c r="K194" i="13" s="1"/>
  <c r="I194" i="13" s="1"/>
  <c r="J194" i="13" s="1"/>
  <c r="K195" i="13" s="1"/>
  <c r="I195" i="13" s="1"/>
  <c r="J195" i="13" s="1"/>
  <c r="K196" i="13" s="1"/>
  <c r="I196" i="13" s="1"/>
  <c r="J196" i="13" s="1"/>
  <c r="K197" i="13" s="1"/>
  <c r="I197" i="13" s="1"/>
  <c r="J197" i="13" s="1"/>
  <c r="K198" i="13" s="1"/>
  <c r="I198" i="13" s="1"/>
  <c r="J198" i="13" s="1"/>
  <c r="K199" i="13" s="1"/>
  <c r="I199" i="13" s="1"/>
  <c r="J199" i="13" s="1"/>
  <c r="K200" i="13" s="1"/>
  <c r="I200" i="13" s="1"/>
  <c r="J200" i="13" s="1"/>
  <c r="K201" i="13" s="1"/>
  <c r="I201" i="13" s="1"/>
  <c r="J201" i="13" s="1"/>
  <c r="D15" i="13"/>
  <c r="D16" i="13" s="1"/>
  <c r="D17" i="13" s="1"/>
  <c r="D18" i="13" s="1"/>
  <c r="D19" i="13" s="1"/>
  <c r="D20" i="13" s="1"/>
  <c r="D21" i="13" s="1"/>
  <c r="D22" i="13" s="1"/>
  <c r="D23" i="13" s="1"/>
  <c r="D24" i="13" s="1"/>
  <c r="D25" i="13" s="1"/>
  <c r="D26" i="13" s="1"/>
  <c r="D27" i="13" s="1"/>
  <c r="D28" i="13" s="1"/>
  <c r="D29" i="13" s="1"/>
  <c r="D30" i="13" s="1"/>
  <c r="D31" i="13" s="1"/>
  <c r="D32" i="13" s="1"/>
  <c r="D33" i="13" s="1"/>
  <c r="D34" i="13" s="1"/>
  <c r="D35" i="13" s="1"/>
  <c r="D36" i="13" s="1"/>
  <c r="D37" i="13" s="1"/>
  <c r="D38" i="13" s="1"/>
  <c r="D39" i="13" s="1"/>
  <c r="D40" i="13" s="1"/>
  <c r="D41" i="13" s="1"/>
  <c r="D42" i="13" s="1"/>
  <c r="D43" i="13" s="1"/>
  <c r="D44" i="13" s="1"/>
  <c r="D45" i="13" s="1"/>
  <c r="D46" i="13" s="1"/>
  <c r="D47" i="13" s="1"/>
  <c r="D48" i="13" s="1"/>
  <c r="D49" i="13" s="1"/>
  <c r="D50" i="13" s="1"/>
  <c r="D51" i="13" s="1"/>
  <c r="D52" i="13" s="1"/>
  <c r="D53" i="13" s="1"/>
  <c r="D54" i="13" s="1"/>
  <c r="D55" i="13" s="1"/>
  <c r="D56" i="13" s="1"/>
  <c r="D57" i="13" s="1"/>
  <c r="D58" i="13" s="1"/>
  <c r="D59" i="13" s="1"/>
  <c r="D60" i="13" s="1"/>
  <c r="D61" i="13" s="1"/>
  <c r="D62" i="13" s="1"/>
  <c r="D63" i="13" s="1"/>
  <c r="D64" i="13" s="1"/>
  <c r="D65" i="13" s="1"/>
  <c r="D66" i="13" s="1"/>
  <c r="D67" i="13" s="1"/>
  <c r="D68" i="13" s="1"/>
  <c r="D69" i="13" s="1"/>
  <c r="D70" i="13" s="1"/>
  <c r="D71" i="13" s="1"/>
  <c r="D72" i="13" s="1"/>
  <c r="D73" i="13" s="1"/>
  <c r="D74" i="13" s="1"/>
  <c r="D75" i="13" s="1"/>
  <c r="D76" i="13" s="1"/>
  <c r="D77" i="13" s="1"/>
  <c r="D78" i="13" s="1"/>
  <c r="D79" i="13" s="1"/>
  <c r="D80" i="13" s="1"/>
  <c r="D81" i="13" s="1"/>
  <c r="D82" i="13" s="1"/>
  <c r="D83" i="13" s="1"/>
  <c r="D84" i="13" s="1"/>
  <c r="D85" i="13" s="1"/>
  <c r="D86" i="13" s="1"/>
  <c r="D87" i="13" s="1"/>
  <c r="D88" i="13" s="1"/>
  <c r="D89" i="13" s="1"/>
  <c r="D90" i="13" s="1"/>
  <c r="D91" i="13" s="1"/>
  <c r="D92" i="13" s="1"/>
  <c r="D93" i="13" s="1"/>
  <c r="D94" i="13" s="1"/>
  <c r="D95" i="13" s="1"/>
  <c r="D96" i="13" s="1"/>
  <c r="D97" i="13" s="1"/>
  <c r="D98" i="13" s="1"/>
  <c r="D99" i="13" s="1"/>
  <c r="D100" i="13" s="1"/>
  <c r="D101" i="13" s="1"/>
  <c r="D102" i="13" s="1"/>
  <c r="D103" i="13" s="1"/>
  <c r="D104" i="13" s="1"/>
  <c r="D105" i="13" s="1"/>
  <c r="D106" i="13" s="1"/>
  <c r="D107" i="13" s="1"/>
  <c r="D108" i="13" s="1"/>
  <c r="D109" i="13" s="1"/>
  <c r="D111" i="13" s="1"/>
  <c r="D112" i="13" s="1"/>
  <c r="D113" i="13" s="1"/>
  <c r="D114" i="13" s="1"/>
  <c r="D115" i="13" s="1"/>
  <c r="D116" i="13" s="1"/>
  <c r="D117" i="13" s="1"/>
  <c r="D118" i="13" s="1"/>
  <c r="D119" i="13" s="1"/>
  <c r="D120" i="13" s="1"/>
  <c r="D121" i="13" s="1"/>
  <c r="D122" i="13" s="1"/>
  <c r="D123" i="13" s="1"/>
  <c r="D124" i="13" s="1"/>
  <c r="D125" i="13" s="1"/>
  <c r="D126" i="13" s="1"/>
  <c r="D127" i="13" s="1"/>
  <c r="D128" i="13" s="1"/>
  <c r="D129" i="13" s="1"/>
  <c r="D130" i="13" s="1"/>
  <c r="D131" i="13" s="1"/>
  <c r="D132" i="13" s="1"/>
  <c r="D133" i="13" s="1"/>
  <c r="D134" i="13" s="1"/>
  <c r="D135" i="13" s="1"/>
  <c r="D136" i="13" s="1"/>
  <c r="D137" i="13" s="1"/>
  <c r="D138" i="13" s="1"/>
  <c r="D139" i="13" s="1"/>
  <c r="D140" i="13" s="1"/>
  <c r="D141" i="13" s="1"/>
  <c r="D142" i="13" s="1"/>
  <c r="D143" i="13" s="1"/>
  <c r="D144" i="13" s="1"/>
  <c r="D145" i="13" s="1"/>
  <c r="D146" i="13" s="1"/>
  <c r="D147" i="13" s="1"/>
  <c r="D148" i="13" s="1"/>
  <c r="D149" i="13" s="1"/>
  <c r="D150" i="13" s="1"/>
  <c r="D151" i="13" s="1"/>
  <c r="D152" i="13" s="1"/>
  <c r="D153" i="13" s="1"/>
  <c r="D154" i="13" s="1"/>
  <c r="D155" i="13" s="1"/>
  <c r="D156" i="13" s="1"/>
  <c r="D157" i="13" s="1"/>
  <c r="D158" i="13" s="1"/>
  <c r="D159" i="13" s="1"/>
  <c r="D160" i="13" s="1"/>
  <c r="D161" i="13" s="1"/>
  <c r="D162" i="13" s="1"/>
  <c r="D163" i="13" s="1"/>
  <c r="D164" i="13" s="1"/>
  <c r="D165" i="13" s="1"/>
  <c r="D166" i="13" s="1"/>
  <c r="D167" i="13" s="1"/>
  <c r="D168" i="13" s="1"/>
  <c r="D169" i="13" s="1"/>
  <c r="D170" i="13" s="1"/>
  <c r="D171" i="13" s="1"/>
  <c r="D172" i="13" s="1"/>
  <c r="D173" i="13" s="1"/>
  <c r="D174" i="13" s="1"/>
  <c r="D175" i="13" s="1"/>
  <c r="D176" i="13" s="1"/>
  <c r="D177" i="13" s="1"/>
  <c r="D178" i="13" s="1"/>
  <c r="D179" i="13" s="1"/>
  <c r="D180" i="13" s="1"/>
  <c r="D181" i="13" s="1"/>
  <c r="D182" i="13" s="1"/>
  <c r="D183" i="13" s="1"/>
  <c r="D184" i="13" s="1"/>
  <c r="D185" i="13" s="1"/>
  <c r="D186" i="13" s="1"/>
  <c r="D187" i="13" s="1"/>
  <c r="D188" i="13" s="1"/>
  <c r="D189" i="13" s="1"/>
  <c r="D190" i="13" s="1"/>
  <c r="D191" i="13" s="1"/>
  <c r="D192" i="13" s="1"/>
  <c r="D193" i="13" s="1"/>
  <c r="D194" i="13" s="1"/>
  <c r="D195" i="13" s="1"/>
  <c r="D196" i="13" s="1"/>
  <c r="D197" i="13" s="1"/>
  <c r="D198" i="13" s="1"/>
  <c r="D199" i="13" s="1"/>
  <c r="D200" i="13" s="1"/>
  <c r="D201" i="13" s="1"/>
  <c r="D202" i="13" s="1"/>
  <c r="D203" i="13" s="1"/>
  <c r="J14" i="13"/>
  <c r="K15" i="13" s="1"/>
  <c r="I15" i="13" s="1"/>
  <c r="J15" i="13" s="1"/>
  <c r="K16" i="13" s="1"/>
  <c r="I16" i="13" s="1"/>
  <c r="J16" i="13" s="1"/>
  <c r="K17" i="13" s="1"/>
  <c r="I17" i="13" s="1"/>
  <c r="J17" i="13" s="1"/>
  <c r="K18" i="13" s="1"/>
  <c r="I18" i="13" s="1"/>
  <c r="J18" i="13" s="1"/>
  <c r="K19" i="13" s="1"/>
  <c r="I19" i="13" s="1"/>
  <c r="J19" i="13" s="1"/>
  <c r="K20" i="13" s="1"/>
  <c r="I20" i="13" s="1"/>
  <c r="J20" i="13" s="1"/>
  <c r="K21" i="13" s="1"/>
  <c r="I21" i="13" s="1"/>
  <c r="J21" i="13" s="1"/>
  <c r="K22" i="13" s="1"/>
  <c r="I22" i="13" s="1"/>
  <c r="J22" i="13" s="1"/>
  <c r="K23" i="13" s="1"/>
  <c r="I23" i="13" s="1"/>
  <c r="J23" i="13" s="1"/>
  <c r="K24" i="13" s="1"/>
  <c r="I24" i="13" s="1"/>
  <c r="J24" i="13" s="1"/>
  <c r="K25" i="13" s="1"/>
  <c r="I25" i="13" s="1"/>
  <c r="J25" i="13" s="1"/>
  <c r="K26" i="13" s="1"/>
  <c r="I26" i="13" s="1"/>
  <c r="J26" i="13" s="1"/>
  <c r="K27" i="13" s="1"/>
  <c r="I27" i="13" s="1"/>
  <c r="J27" i="13" s="1"/>
  <c r="K28" i="13" s="1"/>
  <c r="I28" i="13" s="1"/>
  <c r="J28" i="13" s="1"/>
  <c r="K29" i="13" s="1"/>
  <c r="I29" i="13" s="1"/>
  <c r="J29" i="13" s="1"/>
  <c r="K30" i="13" s="1"/>
  <c r="I30" i="13" s="1"/>
  <c r="J30" i="13" s="1"/>
  <c r="K31" i="13" s="1"/>
  <c r="I31" i="13" s="1"/>
  <c r="J31" i="13" s="1"/>
  <c r="K32" i="13" s="1"/>
  <c r="I32" i="13" s="1"/>
  <c r="J32" i="13" s="1"/>
  <c r="K33" i="13" s="1"/>
  <c r="I33" i="13" s="1"/>
  <c r="J33" i="13" s="1"/>
  <c r="K34" i="13" s="1"/>
  <c r="I34" i="13" s="1"/>
  <c r="J34" i="13" s="1"/>
  <c r="K35" i="13" s="1"/>
  <c r="I35" i="13" s="1"/>
  <c r="J35" i="13" s="1"/>
  <c r="K36" i="13" s="1"/>
  <c r="I36" i="13" s="1"/>
  <c r="J36" i="13" s="1"/>
  <c r="K37" i="13" s="1"/>
  <c r="I37" i="13" s="1"/>
  <c r="J37" i="13" s="1"/>
  <c r="K38" i="13" s="1"/>
  <c r="I38" i="13" s="1"/>
  <c r="J38" i="13" s="1"/>
  <c r="K39" i="13" s="1"/>
  <c r="I39" i="13" s="1"/>
  <c r="J39" i="13" s="1"/>
  <c r="K40" i="13" s="1"/>
  <c r="I40" i="13" s="1"/>
  <c r="J40" i="13" s="1"/>
  <c r="K41" i="13" s="1"/>
  <c r="I41" i="13" s="1"/>
  <c r="J41" i="13" s="1"/>
  <c r="K42" i="13" s="1"/>
  <c r="I42" i="13" s="1"/>
  <c r="J42" i="13" s="1"/>
  <c r="K43" i="13" s="1"/>
  <c r="I43" i="13" s="1"/>
  <c r="J43" i="13" s="1"/>
  <c r="K44" i="13" s="1"/>
  <c r="I44" i="13" s="1"/>
  <c r="J44" i="13" s="1"/>
  <c r="K45" i="13" s="1"/>
  <c r="I45" i="13" s="1"/>
  <c r="J45" i="13" s="1"/>
  <c r="K46" i="13" s="1"/>
  <c r="I46" i="13" s="1"/>
  <c r="J46" i="13" s="1"/>
  <c r="K47" i="13" s="1"/>
  <c r="I47" i="13" s="1"/>
  <c r="J47" i="13" s="1"/>
  <c r="K48" i="13" s="1"/>
  <c r="I48" i="13" s="1"/>
  <c r="J48" i="13" s="1"/>
  <c r="K49" i="13" s="1"/>
  <c r="I49" i="13" s="1"/>
  <c r="J49" i="13" s="1"/>
  <c r="K50" i="13" s="1"/>
  <c r="I50" i="13" s="1"/>
  <c r="J50" i="13" s="1"/>
  <c r="K51" i="13" s="1"/>
  <c r="I51" i="13" s="1"/>
  <c r="J51" i="13" s="1"/>
  <c r="K52" i="13" s="1"/>
  <c r="I52" i="13" s="1"/>
  <c r="J52" i="13" s="1"/>
  <c r="K53" i="13" s="1"/>
  <c r="I53" i="13" s="1"/>
  <c r="J53" i="13" s="1"/>
  <c r="K54" i="13" s="1"/>
  <c r="I54" i="13" s="1"/>
  <c r="J54" i="13" s="1"/>
  <c r="K55" i="13" s="1"/>
  <c r="I55" i="13" s="1"/>
  <c r="J55" i="13" s="1"/>
  <c r="B111" i="12"/>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I60" i="12"/>
  <c r="J60" i="12" s="1"/>
  <c r="K62" i="12" s="1"/>
  <c r="I62" i="12" s="1"/>
  <c r="J62" i="12" s="1"/>
  <c r="K64" i="12" s="1"/>
  <c r="I64" i="12" s="1"/>
  <c r="J64" i="12" s="1"/>
  <c r="K66" i="12" s="1"/>
  <c r="I66" i="12" s="1"/>
  <c r="J66" i="12" s="1"/>
  <c r="K68" i="12" s="1"/>
  <c r="I68" i="12" s="1"/>
  <c r="J68" i="12" s="1"/>
  <c r="K70" i="12" s="1"/>
  <c r="I70" i="12" s="1"/>
  <c r="J70" i="12" s="1"/>
  <c r="K72" i="12" s="1"/>
  <c r="I72" i="12" s="1"/>
  <c r="J72" i="12" s="1"/>
  <c r="K74" i="12" s="1"/>
  <c r="I74" i="12" s="1"/>
  <c r="J74" i="12" s="1"/>
  <c r="K76" i="12" s="1"/>
  <c r="I76" i="12" s="1"/>
  <c r="J76" i="12" s="1"/>
  <c r="K78" i="12" s="1"/>
  <c r="I78" i="12" s="1"/>
  <c r="J78" i="12" s="1"/>
  <c r="K80" i="12" s="1"/>
  <c r="I80" i="12" s="1"/>
  <c r="J80" i="12" s="1"/>
  <c r="K82" i="12" s="1"/>
  <c r="I82" i="12" s="1"/>
  <c r="J82" i="12" s="1"/>
  <c r="K84" i="12" s="1"/>
  <c r="I84" i="12" s="1"/>
  <c r="J84" i="12" s="1"/>
  <c r="K86" i="12" s="1"/>
  <c r="I86" i="12" s="1"/>
  <c r="J86" i="12" s="1"/>
  <c r="K88" i="12" s="1"/>
  <c r="I88" i="12" s="1"/>
  <c r="J88" i="12" s="1"/>
  <c r="K90" i="12" s="1"/>
  <c r="I90" i="12" s="1"/>
  <c r="J90" i="12" s="1"/>
  <c r="K92" i="12" s="1"/>
  <c r="I92" i="12" s="1"/>
  <c r="J92" i="12" s="1"/>
  <c r="K94" i="12" s="1"/>
  <c r="I94" i="12" s="1"/>
  <c r="J94" i="12" s="1"/>
  <c r="K96" i="12" s="1"/>
  <c r="I96" i="12" s="1"/>
  <c r="J96" i="12" s="1"/>
  <c r="K98" i="12" s="1"/>
  <c r="I98" i="12" s="1"/>
  <c r="J98" i="12" s="1"/>
  <c r="K100" i="12" s="1"/>
  <c r="I100" i="12" s="1"/>
  <c r="J100" i="12" s="1"/>
  <c r="K102" i="12" s="1"/>
  <c r="I102" i="12" s="1"/>
  <c r="J102" i="12" s="1"/>
  <c r="K104" i="12" s="1"/>
  <c r="I104" i="12" s="1"/>
  <c r="J104" i="12" s="1"/>
  <c r="K106" i="12" s="1"/>
  <c r="I106" i="12" s="1"/>
  <c r="J106" i="12" s="1"/>
  <c r="K108" i="12" s="1"/>
  <c r="I108" i="12" s="1"/>
  <c r="J108" i="12" s="1"/>
  <c r="K110" i="12" s="1"/>
  <c r="I110" i="12" s="1"/>
  <c r="J110" i="12" s="1"/>
  <c r="K112" i="12" s="1"/>
  <c r="I112" i="12" s="1"/>
  <c r="J112" i="12" s="1"/>
  <c r="K114" i="12" s="1"/>
  <c r="I114" i="12" s="1"/>
  <c r="J114" i="12" s="1"/>
  <c r="K116" i="12" s="1"/>
  <c r="I116" i="12" s="1"/>
  <c r="J116" i="12" s="1"/>
  <c r="K118" i="12" s="1"/>
  <c r="I118" i="12" s="1"/>
  <c r="J118" i="12" s="1"/>
  <c r="K120" i="12" s="1"/>
  <c r="I120" i="12" s="1"/>
  <c r="J120" i="12" s="1"/>
  <c r="K122" i="12" s="1"/>
  <c r="I122" i="12" s="1"/>
  <c r="J122" i="12" s="1"/>
  <c r="K124" i="12" s="1"/>
  <c r="I124" i="12" s="1"/>
  <c r="J124" i="12" s="1"/>
  <c r="K126" i="12" s="1"/>
  <c r="I126" i="12" s="1"/>
  <c r="J126" i="12" s="1"/>
  <c r="K128" i="12" s="1"/>
  <c r="I128" i="12" s="1"/>
  <c r="J128" i="12" s="1"/>
  <c r="K130" i="12" s="1"/>
  <c r="I130" i="12" s="1"/>
  <c r="J130" i="12" s="1"/>
  <c r="K132" i="12" s="1"/>
  <c r="I132" i="12" s="1"/>
  <c r="J132" i="12" s="1"/>
  <c r="K134" i="12" s="1"/>
  <c r="I134" i="12" s="1"/>
  <c r="J134" i="12" s="1"/>
  <c r="K136" i="12" s="1"/>
  <c r="I136" i="12" s="1"/>
  <c r="J136" i="12" s="1"/>
  <c r="K138" i="12" s="1"/>
  <c r="I138" i="12" s="1"/>
  <c r="J138" i="12" s="1"/>
  <c r="K140" i="12" s="1"/>
  <c r="I140" i="12" s="1"/>
  <c r="J140" i="12" s="1"/>
  <c r="K142" i="12" s="1"/>
  <c r="I142" i="12" s="1"/>
  <c r="J142" i="12" s="1"/>
  <c r="K144" i="12" s="1"/>
  <c r="I144" i="12" s="1"/>
  <c r="J144" i="12" s="1"/>
  <c r="K146" i="12" s="1"/>
  <c r="I146" i="12" s="1"/>
  <c r="J146" i="12" s="1"/>
  <c r="K148" i="12" s="1"/>
  <c r="I148" i="12" s="1"/>
  <c r="J148" i="12" s="1"/>
  <c r="K150" i="12" s="1"/>
  <c r="I150" i="12" s="1"/>
  <c r="J150" i="12" s="1"/>
  <c r="K152" i="12" s="1"/>
  <c r="I152" i="12" s="1"/>
  <c r="J152" i="12" s="1"/>
  <c r="K154" i="12" s="1"/>
  <c r="I154" i="12" s="1"/>
  <c r="J154" i="12" s="1"/>
  <c r="K156" i="12" s="1"/>
  <c r="I156" i="12" s="1"/>
  <c r="J156" i="12" s="1"/>
  <c r="K158" i="12" s="1"/>
  <c r="I158" i="12" s="1"/>
  <c r="J158" i="12" s="1"/>
  <c r="K160" i="12" s="1"/>
  <c r="I160" i="12" s="1"/>
  <c r="J160" i="12" s="1"/>
  <c r="K162" i="12" s="1"/>
  <c r="I162" i="12" s="1"/>
  <c r="J162" i="12" s="1"/>
  <c r="K164" i="12" s="1"/>
  <c r="I164" i="12" s="1"/>
  <c r="J164" i="12" s="1"/>
  <c r="K166" i="12" s="1"/>
  <c r="I166" i="12" s="1"/>
  <c r="J166" i="12" s="1"/>
  <c r="K168" i="12" s="1"/>
  <c r="I168" i="12" s="1"/>
  <c r="J168" i="12" s="1"/>
  <c r="K170" i="12" s="1"/>
  <c r="I170" i="12" s="1"/>
  <c r="J170" i="12" s="1"/>
  <c r="K172" i="12" s="1"/>
  <c r="I172" i="12" s="1"/>
  <c r="J172" i="12" s="1"/>
  <c r="K174" i="12" s="1"/>
  <c r="I174" i="12" s="1"/>
  <c r="J174" i="12" s="1"/>
  <c r="K176" i="12" s="1"/>
  <c r="I176" i="12" s="1"/>
  <c r="J176" i="12" s="1"/>
  <c r="K178" i="12" s="1"/>
  <c r="I178" i="12" s="1"/>
  <c r="I59" i="12"/>
  <c r="J59" i="12" s="1"/>
  <c r="K61" i="12" s="1"/>
  <c r="I61" i="12" s="1"/>
  <c r="J61" i="12" s="1"/>
  <c r="K63" i="12" s="1"/>
  <c r="I63" i="12" s="1"/>
  <c r="J63" i="12" s="1"/>
  <c r="K65" i="12" s="1"/>
  <c r="I65" i="12" s="1"/>
  <c r="J65" i="12" s="1"/>
  <c r="K67" i="12" s="1"/>
  <c r="I67" i="12" s="1"/>
  <c r="J67" i="12" s="1"/>
  <c r="K69" i="12" s="1"/>
  <c r="I69" i="12" s="1"/>
  <c r="J69" i="12" s="1"/>
  <c r="K71" i="12" s="1"/>
  <c r="I71" i="12" s="1"/>
  <c r="J71" i="12" s="1"/>
  <c r="K73" i="12" s="1"/>
  <c r="I73" i="12" s="1"/>
  <c r="J73" i="12" s="1"/>
  <c r="K75" i="12" s="1"/>
  <c r="I75" i="12" s="1"/>
  <c r="J75" i="12" s="1"/>
  <c r="K77" i="12" s="1"/>
  <c r="I77" i="12" s="1"/>
  <c r="J77" i="12" s="1"/>
  <c r="K79" i="12" s="1"/>
  <c r="I79" i="12" s="1"/>
  <c r="J79" i="12" s="1"/>
  <c r="K81" i="12" s="1"/>
  <c r="I81" i="12" s="1"/>
  <c r="J81" i="12" s="1"/>
  <c r="K83" i="12" s="1"/>
  <c r="I83" i="12" s="1"/>
  <c r="J83" i="12" s="1"/>
  <c r="K85" i="12" s="1"/>
  <c r="I85" i="12" s="1"/>
  <c r="J85" i="12" s="1"/>
  <c r="K87" i="12" s="1"/>
  <c r="I87" i="12" s="1"/>
  <c r="J87" i="12" s="1"/>
  <c r="K89" i="12" s="1"/>
  <c r="I89" i="12" s="1"/>
  <c r="J89" i="12" s="1"/>
  <c r="K91" i="12" s="1"/>
  <c r="I91" i="12" s="1"/>
  <c r="J91" i="12" s="1"/>
  <c r="K93" i="12" s="1"/>
  <c r="I93" i="12" s="1"/>
  <c r="J93" i="12" s="1"/>
  <c r="K95" i="12" s="1"/>
  <c r="I95" i="12" s="1"/>
  <c r="J95" i="12" s="1"/>
  <c r="K97" i="12" s="1"/>
  <c r="I97" i="12" s="1"/>
  <c r="J97" i="12" s="1"/>
  <c r="K99" i="12" s="1"/>
  <c r="I99" i="12" s="1"/>
  <c r="J99" i="12" s="1"/>
  <c r="K101" i="12" s="1"/>
  <c r="I101" i="12" s="1"/>
  <c r="J101" i="12" s="1"/>
  <c r="K103" i="12" s="1"/>
  <c r="I103" i="12" s="1"/>
  <c r="J103" i="12" s="1"/>
  <c r="K105" i="12" s="1"/>
  <c r="I105" i="12" s="1"/>
  <c r="J105" i="12" s="1"/>
  <c r="K107" i="12" s="1"/>
  <c r="I107" i="12" s="1"/>
  <c r="J107" i="12" s="1"/>
  <c r="K109" i="12" s="1"/>
  <c r="I109" i="12" s="1"/>
  <c r="J109" i="12" s="1"/>
  <c r="K111" i="12" s="1"/>
  <c r="I111" i="12" s="1"/>
  <c r="J111" i="12" s="1"/>
  <c r="K113" i="12" s="1"/>
  <c r="I113" i="12" s="1"/>
  <c r="J113" i="12" s="1"/>
  <c r="K115" i="12" s="1"/>
  <c r="I115" i="12" s="1"/>
  <c r="J115" i="12" s="1"/>
  <c r="K117" i="12" s="1"/>
  <c r="I117" i="12" s="1"/>
  <c r="J117" i="12" s="1"/>
  <c r="K119" i="12" s="1"/>
  <c r="I119" i="12" s="1"/>
  <c r="J119" i="12" s="1"/>
  <c r="K121" i="12" s="1"/>
  <c r="I121" i="12" s="1"/>
  <c r="J121" i="12" s="1"/>
  <c r="K123" i="12" s="1"/>
  <c r="I123" i="12" s="1"/>
  <c r="J123" i="12" s="1"/>
  <c r="K125" i="12" s="1"/>
  <c r="I125" i="12" s="1"/>
  <c r="J125" i="12" s="1"/>
  <c r="K127" i="12" s="1"/>
  <c r="I127" i="12" s="1"/>
  <c r="J127" i="12" s="1"/>
  <c r="K129" i="12" s="1"/>
  <c r="I129" i="12" s="1"/>
  <c r="J129" i="12" s="1"/>
  <c r="K131" i="12" s="1"/>
  <c r="I131" i="12" s="1"/>
  <c r="J131" i="12" s="1"/>
  <c r="K133" i="12" s="1"/>
  <c r="I133" i="12" s="1"/>
  <c r="J133" i="12" s="1"/>
  <c r="K135" i="12" s="1"/>
  <c r="I135" i="12" s="1"/>
  <c r="J135" i="12" s="1"/>
  <c r="K137" i="12" s="1"/>
  <c r="I137" i="12" s="1"/>
  <c r="J137" i="12" s="1"/>
  <c r="K139" i="12" s="1"/>
  <c r="I139" i="12" s="1"/>
  <c r="J139" i="12" s="1"/>
  <c r="K141" i="12" s="1"/>
  <c r="I141" i="12" s="1"/>
  <c r="J141" i="12" s="1"/>
  <c r="K143" i="12" s="1"/>
  <c r="I143" i="12" s="1"/>
  <c r="J143" i="12" s="1"/>
  <c r="K145" i="12" s="1"/>
  <c r="I145" i="12" s="1"/>
  <c r="J145" i="12" s="1"/>
  <c r="K147" i="12" s="1"/>
  <c r="I147" i="12" s="1"/>
  <c r="J147" i="12" s="1"/>
  <c r="K149" i="12" s="1"/>
  <c r="I149" i="12" s="1"/>
  <c r="J149" i="12" s="1"/>
  <c r="K151" i="12" s="1"/>
  <c r="I151" i="12" s="1"/>
  <c r="J151" i="12" s="1"/>
  <c r="K153" i="12" s="1"/>
  <c r="I153" i="12" s="1"/>
  <c r="J153" i="12" s="1"/>
  <c r="K155" i="12" s="1"/>
  <c r="I155" i="12" s="1"/>
  <c r="J155" i="12" s="1"/>
  <c r="K157" i="12" s="1"/>
  <c r="I157" i="12" s="1"/>
  <c r="J157" i="12" s="1"/>
  <c r="K159" i="12" s="1"/>
  <c r="I159" i="12" s="1"/>
  <c r="J159" i="12" s="1"/>
  <c r="K161" i="12" s="1"/>
  <c r="I161" i="12" s="1"/>
  <c r="J161" i="12" s="1"/>
  <c r="K163" i="12" s="1"/>
  <c r="I163" i="12" s="1"/>
  <c r="J163" i="12" s="1"/>
  <c r="K165" i="12" s="1"/>
  <c r="I165" i="12" s="1"/>
  <c r="J165" i="12" s="1"/>
  <c r="K167" i="12" s="1"/>
  <c r="I167" i="12" s="1"/>
  <c r="J167" i="12" s="1"/>
  <c r="K169" i="12" s="1"/>
  <c r="I169" i="12" s="1"/>
  <c r="J169" i="12" s="1"/>
  <c r="K171" i="12" s="1"/>
  <c r="I171" i="12" s="1"/>
  <c r="J171" i="12" s="1"/>
  <c r="K173" i="12" s="1"/>
  <c r="I173" i="12" s="1"/>
  <c r="J173" i="12" s="1"/>
  <c r="K175" i="12" s="1"/>
  <c r="I175" i="12" s="1"/>
  <c r="J175" i="12" s="1"/>
  <c r="K177" i="12" s="1"/>
  <c r="I177" i="12" s="1"/>
  <c r="J177" i="12" s="1"/>
  <c r="K179" i="12" s="1"/>
  <c r="I179" i="12" s="1"/>
  <c r="J179" i="12" s="1"/>
  <c r="K181" i="12" s="1"/>
  <c r="I181" i="12" s="1"/>
  <c r="J181" i="12" s="1"/>
  <c r="K183" i="12" s="1"/>
  <c r="I183" i="12" s="1"/>
  <c r="J15" i="12"/>
  <c r="K17" i="12" s="1"/>
  <c r="I17" i="12" s="1"/>
  <c r="J17" i="12" s="1"/>
  <c r="K19" i="12" s="1"/>
  <c r="I19" i="12" s="1"/>
  <c r="J19" i="12" s="1"/>
  <c r="K21" i="12" s="1"/>
  <c r="I21" i="12" s="1"/>
  <c r="J21" i="12" s="1"/>
  <c r="K23" i="12" s="1"/>
  <c r="I23" i="12" s="1"/>
  <c r="J23" i="12" s="1"/>
  <c r="K25" i="12" s="1"/>
  <c r="I25" i="12" s="1"/>
  <c r="J25" i="12" s="1"/>
  <c r="K27" i="12" s="1"/>
  <c r="I27" i="12" s="1"/>
  <c r="J27" i="12" s="1"/>
  <c r="K29" i="12" s="1"/>
  <c r="I29" i="12" s="1"/>
  <c r="J29" i="12" s="1"/>
  <c r="K31" i="12" s="1"/>
  <c r="I31" i="12" s="1"/>
  <c r="J31" i="12" s="1"/>
  <c r="K33" i="12" s="1"/>
  <c r="I33" i="12" s="1"/>
  <c r="J33" i="12" s="1"/>
  <c r="K35" i="12" s="1"/>
  <c r="I35" i="12" s="1"/>
  <c r="J35" i="12" s="1"/>
  <c r="K37" i="12" s="1"/>
  <c r="I37" i="12" s="1"/>
  <c r="J37" i="12" s="1"/>
  <c r="K39" i="12" s="1"/>
  <c r="I39" i="12" s="1"/>
  <c r="J39" i="12" s="1"/>
  <c r="K41" i="12" s="1"/>
  <c r="I41" i="12" s="1"/>
  <c r="J41" i="12" s="1"/>
  <c r="K43" i="12" s="1"/>
  <c r="I43" i="12" s="1"/>
  <c r="J43" i="12" s="1"/>
  <c r="K45" i="12" s="1"/>
  <c r="I45" i="12" s="1"/>
  <c r="J45" i="12" s="1"/>
  <c r="K47" i="12" s="1"/>
  <c r="I47" i="12" s="1"/>
  <c r="J47" i="12" s="1"/>
  <c r="K49" i="12" s="1"/>
  <c r="I49" i="12" s="1"/>
  <c r="J49" i="12" s="1"/>
  <c r="K51" i="12" s="1"/>
  <c r="I51" i="12" s="1"/>
  <c r="J51" i="12" s="1"/>
  <c r="K53" i="12" s="1"/>
  <c r="I53" i="12" s="1"/>
  <c r="J53" i="12" s="1"/>
  <c r="K55" i="12" s="1"/>
  <c r="I55" i="12" s="1"/>
  <c r="J55" i="12" s="1"/>
  <c r="K57" i="12" s="1"/>
  <c r="I57" i="12" s="1"/>
  <c r="J57" i="12" s="1"/>
  <c r="D15" i="12"/>
  <c r="D16" i="12" s="1"/>
  <c r="D17" i="12" s="1"/>
  <c r="D18" i="12" s="1"/>
  <c r="D19" i="12" s="1"/>
  <c r="D20" i="12" s="1"/>
  <c r="D21" i="12" s="1"/>
  <c r="D22" i="12" s="1"/>
  <c r="D23" i="12" s="1"/>
  <c r="D24" i="12" s="1"/>
  <c r="D25" i="12" s="1"/>
  <c r="D26" i="12" s="1"/>
  <c r="D27" i="12" s="1"/>
  <c r="D28" i="12" s="1"/>
  <c r="D29" i="12" s="1"/>
  <c r="D30" i="12" s="1"/>
  <c r="D31" i="12" s="1"/>
  <c r="D32" i="12" s="1"/>
  <c r="D33" i="12" s="1"/>
  <c r="D34" i="12" s="1"/>
  <c r="D35" i="12" s="1"/>
  <c r="D36" i="12" s="1"/>
  <c r="D37" i="12" s="1"/>
  <c r="D38" i="12" s="1"/>
  <c r="D39" i="12" s="1"/>
  <c r="D40" i="12" s="1"/>
  <c r="D41" i="12" s="1"/>
  <c r="D42" i="12" s="1"/>
  <c r="D43" i="12" s="1"/>
  <c r="D44" i="12" s="1"/>
  <c r="D45" i="12" s="1"/>
  <c r="D46" i="12" s="1"/>
  <c r="D47" i="12" s="1"/>
  <c r="D48" i="12" s="1"/>
  <c r="D49" i="12" s="1"/>
  <c r="D50" i="12" s="1"/>
  <c r="D51" i="12" s="1"/>
  <c r="D52" i="12" s="1"/>
  <c r="D53" i="12" s="1"/>
  <c r="D54" i="12" s="1"/>
  <c r="D55" i="12" s="1"/>
  <c r="D56" i="12" s="1"/>
  <c r="D57" i="12" s="1"/>
  <c r="D58" i="12" s="1"/>
  <c r="D59" i="12" s="1"/>
  <c r="D60" i="12" s="1"/>
  <c r="D61" i="12" s="1"/>
  <c r="D62" i="12" s="1"/>
  <c r="D63" i="12" s="1"/>
  <c r="D64" i="12" s="1"/>
  <c r="D65" i="12" s="1"/>
  <c r="D66" i="12" s="1"/>
  <c r="D67" i="12" s="1"/>
  <c r="D68" i="12" s="1"/>
  <c r="D69" i="12" s="1"/>
  <c r="D70" i="12" s="1"/>
  <c r="D71" i="12" s="1"/>
  <c r="D72" i="12" s="1"/>
  <c r="D73" i="12" s="1"/>
  <c r="D74" i="12" s="1"/>
  <c r="D75" i="12" s="1"/>
  <c r="D76" i="12" s="1"/>
  <c r="D77" i="12" s="1"/>
  <c r="D78" i="12" s="1"/>
  <c r="D79" i="12" s="1"/>
  <c r="D80" i="12" s="1"/>
  <c r="D81" i="12" s="1"/>
  <c r="D82" i="12" s="1"/>
  <c r="D83" i="12" s="1"/>
  <c r="D84" i="12" s="1"/>
  <c r="D85" i="12" s="1"/>
  <c r="D86" i="12" s="1"/>
  <c r="D87" i="12" s="1"/>
  <c r="D88" i="12" s="1"/>
  <c r="D89" i="12" s="1"/>
  <c r="D90" i="12" s="1"/>
  <c r="D91" i="12" s="1"/>
  <c r="D92" i="12" s="1"/>
  <c r="D93" i="12" s="1"/>
  <c r="D94" i="12" s="1"/>
  <c r="D95" i="12" s="1"/>
  <c r="D96" i="12" s="1"/>
  <c r="D97" i="12" s="1"/>
  <c r="D98" i="12" s="1"/>
  <c r="D99" i="12" s="1"/>
  <c r="D100" i="12" s="1"/>
  <c r="D101" i="12" s="1"/>
  <c r="D102" i="12" s="1"/>
  <c r="D103" i="12" s="1"/>
  <c r="D104" i="12" s="1"/>
  <c r="D105" i="12" s="1"/>
  <c r="D106" i="12" s="1"/>
  <c r="D107" i="12" s="1"/>
  <c r="D108" i="12" s="1"/>
  <c r="D109" i="12" s="1"/>
  <c r="D111" i="12" s="1"/>
  <c r="D112" i="12" s="1"/>
  <c r="D113" i="12" s="1"/>
  <c r="D114" i="12" s="1"/>
  <c r="D115" i="12" s="1"/>
  <c r="D116" i="12" s="1"/>
  <c r="D117" i="12" s="1"/>
  <c r="D118" i="12" s="1"/>
  <c r="D119" i="12" s="1"/>
  <c r="D120" i="12" s="1"/>
  <c r="D121" i="12" s="1"/>
  <c r="D122" i="12" s="1"/>
  <c r="D123" i="12" s="1"/>
  <c r="D124" i="12" s="1"/>
  <c r="D125" i="12" s="1"/>
  <c r="D126" i="12" s="1"/>
  <c r="D127" i="12" s="1"/>
  <c r="D128" i="12" s="1"/>
  <c r="D129" i="12" s="1"/>
  <c r="D130" i="12" s="1"/>
  <c r="D131" i="12" s="1"/>
  <c r="D132" i="12" s="1"/>
  <c r="D133" i="12" s="1"/>
  <c r="D134" i="12" s="1"/>
  <c r="D135" i="12" s="1"/>
  <c r="D136" i="12" s="1"/>
  <c r="D137" i="12" s="1"/>
  <c r="D138" i="12" s="1"/>
  <c r="D139" i="12" s="1"/>
  <c r="D140" i="12" s="1"/>
  <c r="D141" i="12" s="1"/>
  <c r="D142" i="12" s="1"/>
  <c r="D143" i="12" s="1"/>
  <c r="D144" i="12" s="1"/>
  <c r="D145" i="12" s="1"/>
  <c r="D146" i="12" s="1"/>
  <c r="D147" i="12" s="1"/>
  <c r="D148" i="12" s="1"/>
  <c r="D149" i="12" s="1"/>
  <c r="D150" i="12" s="1"/>
  <c r="D151" i="12" s="1"/>
  <c r="D152" i="12" s="1"/>
  <c r="D153" i="12" s="1"/>
  <c r="D154" i="12" s="1"/>
  <c r="D155" i="12" s="1"/>
  <c r="D156" i="12" s="1"/>
  <c r="D157" i="12" s="1"/>
  <c r="D158" i="12" s="1"/>
  <c r="D159" i="12" s="1"/>
  <c r="D160" i="12" s="1"/>
  <c r="D161" i="12" s="1"/>
  <c r="D162" i="12" s="1"/>
  <c r="D163" i="12" s="1"/>
  <c r="D164" i="12" s="1"/>
  <c r="D165" i="12" s="1"/>
  <c r="D166" i="12" s="1"/>
  <c r="D167" i="12" s="1"/>
  <c r="D168" i="12" s="1"/>
  <c r="D169" i="12" s="1"/>
  <c r="D170" i="12" s="1"/>
  <c r="D171" i="12" s="1"/>
  <c r="D172" i="12" s="1"/>
  <c r="D173" i="12" s="1"/>
  <c r="D174" i="12" s="1"/>
  <c r="D175" i="12" s="1"/>
  <c r="D176" i="12" s="1"/>
  <c r="D177" i="12" s="1"/>
  <c r="D178" i="12" s="1"/>
  <c r="D179" i="12" s="1"/>
  <c r="D180" i="12" s="1"/>
  <c r="D181" i="12" s="1"/>
  <c r="D182" i="12" s="1"/>
  <c r="D183" i="12" s="1"/>
  <c r="D184" i="12" s="1"/>
  <c r="D185" i="12" s="1"/>
  <c r="D186" i="12" s="1"/>
  <c r="D187" i="12" s="1"/>
  <c r="D188" i="12" s="1"/>
  <c r="D189" i="12" s="1"/>
  <c r="D190" i="12" s="1"/>
  <c r="D191" i="12" s="1"/>
  <c r="D192" i="12" s="1"/>
  <c r="D193" i="12" s="1"/>
  <c r="D194" i="12" s="1"/>
  <c r="D195" i="12" s="1"/>
  <c r="D196" i="12" s="1"/>
  <c r="D197" i="12" s="1"/>
  <c r="D198" i="12" s="1"/>
  <c r="D199" i="12" s="1"/>
  <c r="D200" i="12" s="1"/>
  <c r="D201" i="12" s="1"/>
  <c r="D202" i="12" s="1"/>
  <c r="D203" i="12" s="1"/>
  <c r="J14" i="12"/>
  <c r="K16" i="12" s="1"/>
  <c r="I16" i="12" s="1"/>
  <c r="J16" i="12" s="1"/>
  <c r="K18" i="12" s="1"/>
  <c r="I18" i="12" s="1"/>
  <c r="J18" i="12" s="1"/>
  <c r="K20" i="12" s="1"/>
  <c r="I20" i="12" s="1"/>
  <c r="J20" i="12" s="1"/>
  <c r="K22" i="12" s="1"/>
  <c r="I22" i="12" s="1"/>
  <c r="J22" i="12" s="1"/>
  <c r="K24" i="12" s="1"/>
  <c r="I24" i="12" s="1"/>
  <c r="J24" i="12" s="1"/>
  <c r="K26" i="12" s="1"/>
  <c r="I26" i="12" s="1"/>
  <c r="J26" i="12" s="1"/>
  <c r="K28" i="12" s="1"/>
  <c r="I28" i="12" s="1"/>
  <c r="J28" i="12" s="1"/>
  <c r="K30" i="12" s="1"/>
  <c r="I30" i="12" s="1"/>
  <c r="J30" i="12" s="1"/>
  <c r="K32" i="12" s="1"/>
  <c r="I32" i="12" s="1"/>
  <c r="J32" i="12" s="1"/>
  <c r="K34" i="12" s="1"/>
  <c r="I34" i="12" s="1"/>
  <c r="J34" i="12" s="1"/>
  <c r="K36" i="12" s="1"/>
  <c r="I36" i="12" s="1"/>
  <c r="J36" i="12" s="1"/>
  <c r="K38" i="12" s="1"/>
  <c r="I38" i="12" s="1"/>
  <c r="J38" i="12" s="1"/>
  <c r="K40" i="12" s="1"/>
  <c r="I40" i="12" s="1"/>
  <c r="J40" i="12" s="1"/>
  <c r="K42" i="12" s="1"/>
  <c r="I42" i="12" s="1"/>
  <c r="J42" i="12" s="1"/>
  <c r="K44" i="12" s="1"/>
  <c r="I44" i="12" s="1"/>
  <c r="J44" i="12" s="1"/>
  <c r="K46" i="12" s="1"/>
  <c r="I46" i="12" s="1"/>
  <c r="J46" i="12" s="1"/>
  <c r="K48" i="12" s="1"/>
  <c r="I48" i="12" s="1"/>
  <c r="J48" i="12" s="1"/>
  <c r="K50" i="12" s="1"/>
  <c r="I50" i="12" s="1"/>
  <c r="J50" i="12" s="1"/>
  <c r="K52" i="12" s="1"/>
  <c r="I52" i="12" s="1"/>
  <c r="J52" i="12" s="1"/>
  <c r="K54" i="12" s="1"/>
  <c r="I54" i="12" s="1"/>
  <c r="J54" i="12" s="1"/>
  <c r="K56" i="12" s="1"/>
  <c r="I56" i="12" s="1"/>
  <c r="J56" i="12" s="1"/>
  <c r="K58" i="12" s="1"/>
  <c r="I58" i="12" s="1"/>
  <c r="J58" i="12" s="1"/>
  <c r="K202" i="13" l="1"/>
  <c r="I202" i="13" s="1"/>
  <c r="J202" i="13" s="1"/>
  <c r="K203" i="13" s="1"/>
  <c r="I203" i="13" s="1"/>
  <c r="J203" i="13" s="1"/>
  <c r="J183" i="12"/>
  <c r="K185" i="12" s="1"/>
  <c r="I185" i="12" s="1"/>
  <c r="J185" i="12" s="1"/>
  <c r="K187" i="12" s="1"/>
  <c r="I187" i="12" s="1"/>
  <c r="J187" i="12" s="1"/>
  <c r="K189" i="12" s="1"/>
  <c r="I189" i="12" s="1"/>
  <c r="J189" i="12" s="1"/>
  <c r="K191" i="12" s="1"/>
  <c r="I191" i="12" s="1"/>
  <c r="J191" i="12" s="1"/>
  <c r="K193" i="12" s="1"/>
  <c r="I193" i="12" s="1"/>
  <c r="J193" i="12" s="1"/>
  <c r="K195" i="12" s="1"/>
  <c r="I195" i="12" s="1"/>
  <c r="J195" i="12" s="1"/>
  <c r="K197" i="12" s="1"/>
  <c r="I197" i="12" s="1"/>
  <c r="J197" i="12" s="1"/>
  <c r="K199" i="12" s="1"/>
  <c r="I199" i="12" s="1"/>
  <c r="J199" i="12" s="1"/>
  <c r="K201" i="12" s="1"/>
  <c r="I201" i="12" s="1"/>
  <c r="J201" i="12" s="1"/>
  <c r="K203" i="12" s="1"/>
  <c r="I203" i="12" s="1"/>
  <c r="J203" i="12" s="1"/>
  <c r="J178" i="12"/>
  <c r="K180" i="12" s="1"/>
  <c r="I180" i="12" s="1"/>
  <c r="J180" i="12" s="1"/>
  <c r="K182" i="12" s="1"/>
  <c r="I182" i="12" s="1"/>
  <c r="J182" i="12" s="1"/>
  <c r="K184" i="12" s="1"/>
  <c r="I184" i="12" s="1"/>
  <c r="J184" i="12" s="1"/>
  <c r="K186" i="12" s="1"/>
  <c r="I186" i="12" s="1"/>
  <c r="J186" i="12" s="1"/>
  <c r="K188" i="12" s="1"/>
  <c r="I188" i="12" s="1"/>
  <c r="J188" i="12" s="1"/>
  <c r="K190" i="12" s="1"/>
  <c r="I190" i="12" s="1"/>
  <c r="J190" i="12" s="1"/>
  <c r="K192" i="12" s="1"/>
  <c r="I192" i="12" s="1"/>
  <c r="J192" i="12" s="1"/>
  <c r="D91" i="15"/>
  <c r="K194" i="12" l="1"/>
  <c r="I194" i="12" s="1"/>
  <c r="J194" i="12" s="1"/>
  <c r="K196" i="12" s="1"/>
  <c r="I196" i="12" s="1"/>
  <c r="J196" i="12" s="1"/>
  <c r="K198" i="12" s="1"/>
  <c r="I198" i="12" s="1"/>
  <c r="J198" i="12" s="1"/>
  <c r="K200" i="12" s="1"/>
  <c r="I200" i="12" s="1"/>
  <c r="J200" i="12" s="1"/>
  <c r="K202" i="12" s="1"/>
  <c r="I202" i="12" s="1"/>
  <c r="J202" i="12" s="1"/>
  <c r="D92" i="15"/>
  <c r="D93" i="15" l="1"/>
  <c r="D94" i="15" l="1"/>
  <c r="D95" i="15" l="1"/>
  <c r="D96" i="15" l="1"/>
  <c r="D97" i="15" l="1"/>
  <c r="D98" i="15" l="1"/>
  <c r="D99" i="15" l="1"/>
  <c r="D100" i="15" l="1"/>
  <c r="D101" i="15" l="1"/>
  <c r="D102" i="15" l="1"/>
  <c r="D103" i="15" l="1"/>
  <c r="D104" i="15" l="1"/>
  <c r="D105" i="15" l="1"/>
  <c r="D106" i="15" l="1"/>
  <c r="D107" i="15" l="1"/>
  <c r="E111" i="12" l="1"/>
  <c r="G111" i="12" l="1"/>
  <c r="E112" i="12"/>
  <c r="D109" i="15"/>
  <c r="G108" i="15"/>
  <c r="E109" i="15" l="1"/>
  <c r="G109" i="15" s="1"/>
  <c r="D110" i="15"/>
  <c r="E113" i="12"/>
  <c r="G112" i="12"/>
  <c r="E110" i="15" l="1"/>
  <c r="G110" i="15" s="1"/>
  <c r="D111" i="15"/>
  <c r="E114" i="12"/>
  <c r="G113" i="12"/>
  <c r="D112" i="15" l="1"/>
  <c r="E111" i="15"/>
  <c r="G111" i="15" s="1"/>
  <c r="E115" i="12"/>
  <c r="G114" i="12"/>
  <c r="E112" i="15" l="1"/>
  <c r="G112" i="15" s="1"/>
  <c r="D113" i="15"/>
  <c r="E116" i="12"/>
  <c r="G115" i="12"/>
  <c r="E111" i="13"/>
  <c r="D114" i="15" l="1"/>
  <c r="E113" i="15"/>
  <c r="G113" i="15" s="1"/>
  <c r="G111" i="13"/>
  <c r="E112" i="13"/>
  <c r="E117" i="12"/>
  <c r="G116" i="12"/>
  <c r="E114" i="15" l="1"/>
  <c r="G114" i="15" s="1"/>
  <c r="D115" i="15"/>
  <c r="E113" i="13"/>
  <c r="G112" i="13"/>
  <c r="E118" i="12"/>
  <c r="G117" i="12"/>
  <c r="D116" i="15" l="1"/>
  <c r="E115" i="15"/>
  <c r="G115" i="15" s="1"/>
  <c r="E114" i="13"/>
  <c r="G113" i="13"/>
  <c r="E119" i="12"/>
  <c r="G118" i="12"/>
  <c r="H93" i="2"/>
  <c r="E116" i="15" l="1"/>
  <c r="G116" i="15" s="1"/>
  <c r="D117" i="15"/>
  <c r="E115" i="13"/>
  <c r="G114" i="13"/>
  <c r="E120" i="12"/>
  <c r="G119" i="12"/>
  <c r="B109" i="2"/>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E117" i="15" l="1"/>
  <c r="G117" i="15" s="1"/>
  <c r="D118" i="15"/>
  <c r="E116" i="13"/>
  <c r="G115" i="13"/>
  <c r="E121" i="12"/>
  <c r="G120" i="12"/>
  <c r="B111" i="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D119" i="15" l="1"/>
  <c r="E118" i="15"/>
  <c r="G118" i="15" s="1"/>
  <c r="E117" i="13"/>
  <c r="G116" i="13"/>
  <c r="E122" i="12"/>
  <c r="G121" i="12"/>
  <c r="H92" i="2"/>
  <c r="I92" i="2" s="1"/>
  <c r="I93" i="2"/>
  <c r="H94" i="2"/>
  <c r="I94" i="2" s="1"/>
  <c r="H95" i="2"/>
  <c r="I95" i="2" s="1"/>
  <c r="H96" i="2"/>
  <c r="I96" i="2" s="1"/>
  <c r="H97" i="2"/>
  <c r="I97" i="2" s="1"/>
  <c r="D120" i="15" l="1"/>
  <c r="E119" i="15"/>
  <c r="G119" i="15" s="1"/>
  <c r="E118" i="13"/>
  <c r="G117" i="13"/>
  <c r="E123" i="12"/>
  <c r="G122" i="12"/>
  <c r="H91" i="2"/>
  <c r="I91" i="2" s="1"/>
  <c r="E120" i="15" l="1"/>
  <c r="G120" i="15" s="1"/>
  <c r="D121" i="15"/>
  <c r="E119" i="13"/>
  <c r="G118" i="13"/>
  <c r="E124" i="12"/>
  <c r="G123" i="12"/>
  <c r="H80" i="2"/>
  <c r="H81" i="2"/>
  <c r="H82" i="2"/>
  <c r="H83" i="2"/>
  <c r="H84" i="2"/>
  <c r="H85" i="2"/>
  <c r="H86" i="2"/>
  <c r="H87" i="2"/>
  <c r="H88" i="2"/>
  <c r="I88" i="2" s="1"/>
  <c r="H89" i="2"/>
  <c r="I89" i="2" s="1"/>
  <c r="H90" i="2"/>
  <c r="I90" i="2" s="1"/>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13" i="2"/>
  <c r="H12" i="2"/>
  <c r="E121" i="15" l="1"/>
  <c r="G121" i="15" s="1"/>
  <c r="D122" i="15"/>
  <c r="E120" i="13"/>
  <c r="G119" i="13"/>
  <c r="E125" i="12"/>
  <c r="G124" i="12"/>
  <c r="H82" i="1"/>
  <c r="E122" i="15" l="1"/>
  <c r="G122" i="15" s="1"/>
  <c r="D123" i="15"/>
  <c r="E121" i="13"/>
  <c r="G120" i="13"/>
  <c r="E126" i="12"/>
  <c r="G125" i="12"/>
  <c r="D124" i="15" l="1"/>
  <c r="E123" i="15"/>
  <c r="G123" i="15" s="1"/>
  <c r="E122" i="13"/>
  <c r="G121" i="13"/>
  <c r="E127" i="12"/>
  <c r="G126" i="12"/>
  <c r="V17" i="6"/>
  <c r="W14" i="6"/>
  <c r="V14" i="6"/>
  <c r="X8" i="6"/>
  <c r="W8" i="6"/>
  <c r="V8" i="6"/>
  <c r="E124" i="15" l="1"/>
  <c r="G124" i="15" s="1"/>
  <c r="D125" i="15"/>
  <c r="E123" i="13"/>
  <c r="G122" i="13"/>
  <c r="E128" i="12"/>
  <c r="G127" i="1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D13" i="2"/>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15" i="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E125" i="15" l="1"/>
  <c r="G125" i="15" s="1"/>
  <c r="D126" i="15"/>
  <c r="E124" i="13"/>
  <c r="G123" i="13"/>
  <c r="E129" i="12"/>
  <c r="G128" i="12"/>
  <c r="D90" i="2"/>
  <c r="D58" i="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190" i="1" s="1"/>
  <c r="D191" i="1" s="1"/>
  <c r="D192" i="1" s="1"/>
  <c r="D193" i="1" s="1"/>
  <c r="D194" i="1" s="1"/>
  <c r="D195" i="1" s="1"/>
  <c r="D196" i="1" s="1"/>
  <c r="D197" i="1" s="1"/>
  <c r="D198" i="1" s="1"/>
  <c r="D199" i="1" s="1"/>
  <c r="D200" i="1" s="1"/>
  <c r="D201" i="1" s="1"/>
  <c r="D202" i="1" s="1"/>
  <c r="D203" i="1" s="1"/>
  <c r="I51" i="2"/>
  <c r="I50" i="2"/>
  <c r="I49" i="2"/>
  <c r="I48" i="2"/>
  <c r="I47" i="2"/>
  <c r="I46" i="2"/>
  <c r="I45" i="2"/>
  <c r="I44" i="2"/>
  <c r="I43" i="2"/>
  <c r="I42" i="2"/>
  <c r="I41" i="2"/>
  <c r="I40" i="2"/>
  <c r="E126" i="15" l="1"/>
  <c r="G126" i="15" s="1"/>
  <c r="D127" i="15"/>
  <c r="E125" i="13"/>
  <c r="G124" i="13"/>
  <c r="E130" i="12"/>
  <c r="G129" i="12"/>
  <c r="D91" i="2"/>
  <c r="K27" i="6"/>
  <c r="P25" i="6"/>
  <c r="P19" i="6"/>
  <c r="P14" i="6"/>
  <c r="K6" i="6"/>
  <c r="G24" i="6"/>
  <c r="G28" i="6" s="1"/>
  <c r="B18" i="6"/>
  <c r="B6" i="6"/>
  <c r="G14" i="6"/>
  <c r="P20" i="6" s="1"/>
  <c r="G12" i="6"/>
  <c r="J14" i="1"/>
  <c r="I15" i="1" s="1"/>
  <c r="D128" i="15" l="1"/>
  <c r="E127" i="15"/>
  <c r="G127" i="15" s="1"/>
  <c r="E126" i="13"/>
  <c r="G125" i="13"/>
  <c r="E131" i="12"/>
  <c r="G130" i="12"/>
  <c r="D92" i="2"/>
  <c r="K17" i="1"/>
  <c r="G29" i="6"/>
  <c r="P12" i="6" s="1"/>
  <c r="P26" i="6" s="1"/>
  <c r="P27" i="6" s="1"/>
  <c r="J15" i="1"/>
  <c r="E36" i="5"/>
  <c r="F36" i="5" s="1"/>
  <c r="E35" i="5"/>
  <c r="F35" i="5" s="1"/>
  <c r="E34" i="5"/>
  <c r="F34" i="5" s="1"/>
  <c r="E33" i="5"/>
  <c r="F33" i="5" s="1"/>
  <c r="E32" i="5"/>
  <c r="E31" i="5"/>
  <c r="E30" i="5"/>
  <c r="E29" i="5"/>
  <c r="L36" i="5"/>
  <c r="M36" i="5" s="1"/>
  <c r="L35" i="5"/>
  <c r="M35" i="5" s="1"/>
  <c r="L34" i="5"/>
  <c r="M34" i="5" s="1"/>
  <c r="L33" i="5"/>
  <c r="M33" i="5" s="1"/>
  <c r="I39" i="2"/>
  <c r="I38" i="2"/>
  <c r="I37" i="2"/>
  <c r="I36" i="2"/>
  <c r="I35" i="2"/>
  <c r="I34" i="2"/>
  <c r="I33" i="2"/>
  <c r="E128" i="15" l="1"/>
  <c r="G128" i="15" s="1"/>
  <c r="D129" i="15"/>
  <c r="E127" i="13"/>
  <c r="G126" i="13"/>
  <c r="E132" i="12"/>
  <c r="G131" i="12"/>
  <c r="E111" i="1"/>
  <c r="D93" i="2"/>
  <c r="P36" i="6"/>
  <c r="P33" i="6"/>
  <c r="P34" i="6"/>
  <c r="P32" i="6"/>
  <c r="P30" i="6"/>
  <c r="R30" i="6" s="1"/>
  <c r="P35" i="6"/>
  <c r="P31" i="6"/>
  <c r="R31" i="6" s="1"/>
  <c r="I16" i="1"/>
  <c r="J16" i="1" s="1"/>
  <c r="K19" i="1" s="1"/>
  <c r="I19" i="1" s="1"/>
  <c r="J19" i="1" s="1"/>
  <c r="K18" i="1"/>
  <c r="I17" i="1"/>
  <c r="J17" i="1" s="1"/>
  <c r="K20" i="1" s="1"/>
  <c r="L15" i="5"/>
  <c r="M15" i="5" s="1"/>
  <c r="L14" i="5"/>
  <c r="M14" i="5" s="1"/>
  <c r="L13" i="5"/>
  <c r="M13" i="5" s="1"/>
  <c r="L12" i="5"/>
  <c r="M12" i="5" s="1"/>
  <c r="L11" i="5"/>
  <c r="M11" i="5" s="1"/>
  <c r="L10" i="5"/>
  <c r="M10" i="5" s="1"/>
  <c r="L9" i="5"/>
  <c r="M9" i="5" s="1"/>
  <c r="D130" i="15" l="1"/>
  <c r="E129" i="15"/>
  <c r="G129" i="15" s="1"/>
  <c r="E128" i="13"/>
  <c r="G127" i="13"/>
  <c r="E133" i="12"/>
  <c r="G132" i="12"/>
  <c r="G111" i="1"/>
  <c r="E112" i="1"/>
  <c r="D94" i="2"/>
  <c r="I18" i="1"/>
  <c r="J18" i="1" s="1"/>
  <c r="K21" i="1" s="1"/>
  <c r="I20" i="1"/>
  <c r="J20" i="1" s="1"/>
  <c r="K22" i="1"/>
  <c r="L16" i="5"/>
  <c r="M16" i="5" s="1"/>
  <c r="E18" i="5"/>
  <c r="D131" i="15" l="1"/>
  <c r="E130" i="15"/>
  <c r="G130" i="15" s="1"/>
  <c r="E129" i="13"/>
  <c r="G128" i="13"/>
  <c r="E134" i="12"/>
  <c r="G133" i="12"/>
  <c r="G112" i="1"/>
  <c r="E113" i="1"/>
  <c r="D95" i="2"/>
  <c r="I21" i="1"/>
  <c r="J21" i="1" s="1"/>
  <c r="K23" i="1"/>
  <c r="F32" i="5"/>
  <c r="F31" i="5"/>
  <c r="F30" i="5"/>
  <c r="E28" i="5"/>
  <c r="F28" i="5" s="1"/>
  <c r="E27" i="5"/>
  <c r="F27" i="5" s="1"/>
  <c r="E26" i="5"/>
  <c r="F26" i="5" s="1"/>
  <c r="E25" i="5"/>
  <c r="F25" i="5" s="1"/>
  <c r="E24" i="5"/>
  <c r="F24" i="5" s="1"/>
  <c r="E23" i="5"/>
  <c r="F23" i="5" s="1"/>
  <c r="E22" i="5"/>
  <c r="F22" i="5" s="1"/>
  <c r="E21" i="5"/>
  <c r="F21" i="5" s="1"/>
  <c r="E20" i="5"/>
  <c r="F20" i="5" s="1"/>
  <c r="E19" i="5"/>
  <c r="F19" i="5" s="1"/>
  <c r="E17" i="5"/>
  <c r="F17" i="5" s="1"/>
  <c r="E16" i="5"/>
  <c r="F16" i="5" s="1"/>
  <c r="E15" i="5"/>
  <c r="F15" i="5" s="1"/>
  <c r="E14" i="5"/>
  <c r="F14" i="5" s="1"/>
  <c r="E13" i="5"/>
  <c r="F13" i="5" s="1"/>
  <c r="E12" i="5"/>
  <c r="F12" i="5" s="1"/>
  <c r="E11" i="5"/>
  <c r="F11" i="5" s="1"/>
  <c r="E10" i="5"/>
  <c r="F10" i="5" s="1"/>
  <c r="E9" i="5"/>
  <c r="F9" i="5" s="1"/>
  <c r="L32" i="5"/>
  <c r="M32" i="5" s="1"/>
  <c r="L31" i="5"/>
  <c r="M31" i="5" s="1"/>
  <c r="L30" i="5"/>
  <c r="M30" i="5" s="1"/>
  <c r="L29" i="5"/>
  <c r="M29" i="5" s="1"/>
  <c r="L28" i="5"/>
  <c r="M28" i="5" s="1"/>
  <c r="L27" i="5"/>
  <c r="M27" i="5" s="1"/>
  <c r="L26" i="5"/>
  <c r="M26" i="5" s="1"/>
  <c r="L25" i="5"/>
  <c r="M25" i="5" s="1"/>
  <c r="L24" i="5"/>
  <c r="M24" i="5" s="1"/>
  <c r="L23" i="5"/>
  <c r="M23" i="5" s="1"/>
  <c r="L22" i="5"/>
  <c r="M22" i="5" s="1"/>
  <c r="L21" i="5"/>
  <c r="M21" i="5" s="1"/>
  <c r="L20" i="5"/>
  <c r="M20" i="5" s="1"/>
  <c r="L19" i="5"/>
  <c r="M19" i="5" s="1"/>
  <c r="L18" i="5"/>
  <c r="M18" i="5" s="1"/>
  <c r="L17" i="5"/>
  <c r="M17" i="5" s="1"/>
  <c r="F29" i="5"/>
  <c r="F18" i="5"/>
  <c r="D132" i="15" l="1"/>
  <c r="E131" i="15"/>
  <c r="G131" i="15" s="1"/>
  <c r="E130" i="13"/>
  <c r="G129" i="13"/>
  <c r="E135" i="12"/>
  <c r="G134" i="12"/>
  <c r="E114" i="1"/>
  <c r="G113" i="1"/>
  <c r="D96" i="2"/>
  <c r="I22" i="1"/>
  <c r="J22" i="1" s="1"/>
  <c r="K24" i="1"/>
  <c r="G135" i="12" l="1"/>
  <c r="E136" i="12"/>
  <c r="E132" i="15"/>
  <c r="G132" i="15" s="1"/>
  <c r="D133" i="15"/>
  <c r="E131" i="13"/>
  <c r="G130" i="13"/>
  <c r="E115" i="1"/>
  <c r="G114" i="1"/>
  <c r="D97" i="2"/>
  <c r="I23" i="1"/>
  <c r="J23" i="1" s="1"/>
  <c r="K25" i="1"/>
  <c r="D7" i="5"/>
  <c r="B8" i="5"/>
  <c r="D8" i="5" s="1"/>
  <c r="G136" i="12" l="1"/>
  <c r="E137" i="12"/>
  <c r="E133" i="15"/>
  <c r="G133" i="15" s="1"/>
  <c r="D134" i="15"/>
  <c r="E132" i="13"/>
  <c r="G131" i="13"/>
  <c r="E116" i="1"/>
  <c r="G115" i="1"/>
  <c r="D98" i="2"/>
  <c r="B9" i="5"/>
  <c r="D9" i="5" s="1"/>
  <c r="I24" i="1"/>
  <c r="J24" i="1" s="1"/>
  <c r="K26" i="1"/>
  <c r="I20" i="2"/>
  <c r="I21" i="2"/>
  <c r="I32" i="2"/>
  <c r="I31" i="2"/>
  <c r="I30" i="2"/>
  <c r="I29" i="2"/>
  <c r="I28" i="2"/>
  <c r="I27" i="2"/>
  <c r="I26" i="2"/>
  <c r="I25" i="2"/>
  <c r="I24" i="2"/>
  <c r="I23" i="2"/>
  <c r="I22" i="2"/>
  <c r="I19" i="2"/>
  <c r="I18" i="2"/>
  <c r="I17" i="2"/>
  <c r="I16" i="2"/>
  <c r="I15" i="2"/>
  <c r="I14" i="2"/>
  <c r="I13" i="2"/>
  <c r="I12" i="2"/>
  <c r="G137" i="12" l="1"/>
  <c r="E138" i="12"/>
  <c r="E134" i="15"/>
  <c r="G134" i="15" s="1"/>
  <c r="D135" i="15"/>
  <c r="E133" i="13"/>
  <c r="G132" i="13"/>
  <c r="E117" i="1"/>
  <c r="G116" i="1"/>
  <c r="H9" i="5"/>
  <c r="B10" i="5"/>
  <c r="J10" i="5" s="1"/>
  <c r="D99" i="2"/>
  <c r="J9" i="5"/>
  <c r="I25" i="1"/>
  <c r="J25" i="1" s="1"/>
  <c r="K27" i="1"/>
  <c r="D10" i="5" l="1"/>
  <c r="B11" i="5"/>
  <c r="H10" i="5"/>
  <c r="G138" i="12"/>
  <c r="E139" i="12"/>
  <c r="E135" i="15"/>
  <c r="G135" i="15" s="1"/>
  <c r="D136" i="15"/>
  <c r="E134" i="13"/>
  <c r="G133" i="13"/>
  <c r="E118" i="1"/>
  <c r="G117" i="1"/>
  <c r="D100" i="2"/>
  <c r="I26" i="1"/>
  <c r="J26" i="1" s="1"/>
  <c r="K28" i="1"/>
  <c r="B12" i="5"/>
  <c r="H11" i="5"/>
  <c r="J11" i="5"/>
  <c r="D11" i="5"/>
  <c r="G139" i="12" l="1"/>
  <c r="E140" i="12"/>
  <c r="D137" i="15"/>
  <c r="E136" i="15"/>
  <c r="G136" i="15" s="1"/>
  <c r="E135" i="13"/>
  <c r="G134" i="13"/>
  <c r="E119" i="1"/>
  <c r="G118" i="1"/>
  <c r="D101" i="2"/>
  <c r="I27" i="1"/>
  <c r="J27" i="1" s="1"/>
  <c r="K29" i="1"/>
  <c r="B13" i="5"/>
  <c r="J12" i="5"/>
  <c r="H12" i="5"/>
  <c r="D12" i="5"/>
  <c r="G135" i="13" l="1"/>
  <c r="E136" i="13"/>
  <c r="G140" i="12"/>
  <c r="E141" i="12"/>
  <c r="E137" i="15"/>
  <c r="G137" i="15" s="1"/>
  <c r="D138" i="15"/>
  <c r="E120" i="1"/>
  <c r="G119" i="1"/>
  <c r="D102" i="2"/>
  <c r="I28" i="1"/>
  <c r="J28" i="1" s="1"/>
  <c r="K30" i="1"/>
  <c r="B14" i="5"/>
  <c r="H13" i="5"/>
  <c r="J13" i="5"/>
  <c r="D13" i="5"/>
  <c r="E137" i="13" l="1"/>
  <c r="G136" i="13"/>
  <c r="E142" i="12"/>
  <c r="G141" i="12"/>
  <c r="E138" i="15"/>
  <c r="G138" i="15" s="1"/>
  <c r="D139" i="15"/>
  <c r="E121" i="1"/>
  <c r="G120" i="1"/>
  <c r="D103" i="2"/>
  <c r="I29" i="1"/>
  <c r="J29" i="1" s="1"/>
  <c r="K31" i="1"/>
  <c r="B15" i="5"/>
  <c r="J14" i="5"/>
  <c r="H14" i="5"/>
  <c r="D14" i="5"/>
  <c r="G137" i="13" l="1"/>
  <c r="E138" i="13"/>
  <c r="E143" i="12"/>
  <c r="G142" i="12"/>
  <c r="E139" i="15"/>
  <c r="G139" i="15" s="1"/>
  <c r="D140" i="15"/>
  <c r="E122" i="1"/>
  <c r="G121" i="1"/>
  <c r="D104" i="2"/>
  <c r="I30" i="1"/>
  <c r="J30" i="1" s="1"/>
  <c r="K32" i="1"/>
  <c r="B16" i="5"/>
  <c r="H15" i="5"/>
  <c r="J15" i="5"/>
  <c r="D15" i="5"/>
  <c r="E139" i="13" l="1"/>
  <c r="G138" i="13"/>
  <c r="G143" i="12"/>
  <c r="E144" i="12"/>
  <c r="D141" i="15"/>
  <c r="E140" i="15"/>
  <c r="G140" i="15" s="1"/>
  <c r="E123" i="1"/>
  <c r="G122" i="1"/>
  <c r="D105" i="2"/>
  <c r="I31" i="1"/>
  <c r="J31" i="1" s="1"/>
  <c r="K33" i="1"/>
  <c r="B17" i="5"/>
  <c r="J16" i="5"/>
  <c r="H16" i="5"/>
  <c r="D16" i="5"/>
  <c r="G139" i="13" l="1"/>
  <c r="E140" i="13"/>
  <c r="G144" i="12"/>
  <c r="E145" i="12"/>
  <c r="D142" i="15"/>
  <c r="E141" i="15"/>
  <c r="G141" i="15" s="1"/>
  <c r="E124" i="1"/>
  <c r="G123" i="1"/>
  <c r="D106" i="2"/>
  <c r="I32" i="1"/>
  <c r="J32" i="1" s="1"/>
  <c r="K34" i="1"/>
  <c r="B18" i="5"/>
  <c r="H17" i="5"/>
  <c r="J17" i="5"/>
  <c r="D17" i="5"/>
  <c r="G140" i="13" l="1"/>
  <c r="E141" i="13"/>
  <c r="E146" i="12"/>
  <c r="G145" i="12"/>
  <c r="D143" i="15"/>
  <c r="E142" i="15"/>
  <c r="G142" i="15" s="1"/>
  <c r="E125" i="1"/>
  <c r="G124" i="1"/>
  <c r="D107" i="2"/>
  <c r="I33" i="1"/>
  <c r="J33" i="1" s="1"/>
  <c r="K35" i="1"/>
  <c r="B19" i="5"/>
  <c r="J18" i="5"/>
  <c r="H18" i="5"/>
  <c r="D18" i="5"/>
  <c r="E142" i="13" l="1"/>
  <c r="G141" i="13"/>
  <c r="G146" i="12"/>
  <c r="E147" i="12"/>
  <c r="D144" i="15"/>
  <c r="E143" i="15"/>
  <c r="G143" i="15" s="1"/>
  <c r="E126" i="1"/>
  <c r="G125" i="1"/>
  <c r="I34" i="1"/>
  <c r="J34" i="1" s="1"/>
  <c r="K36" i="1"/>
  <c r="J19" i="5"/>
  <c r="H19" i="5"/>
  <c r="B20" i="5"/>
  <c r="D19" i="5"/>
  <c r="G142" i="13" l="1"/>
  <c r="E143" i="13"/>
  <c r="E148" i="12"/>
  <c r="G147" i="12"/>
  <c r="D145" i="15"/>
  <c r="E144" i="15"/>
  <c r="G144" i="15" s="1"/>
  <c r="E127" i="1"/>
  <c r="G126" i="1"/>
  <c r="G108" i="2"/>
  <c r="D109" i="2"/>
  <c r="I35" i="1"/>
  <c r="J35" i="1" s="1"/>
  <c r="K37" i="1"/>
  <c r="B21" i="5"/>
  <c r="H20" i="5"/>
  <c r="J20" i="5"/>
  <c r="D20" i="5"/>
  <c r="E144" i="13" l="1"/>
  <c r="G143" i="13"/>
  <c r="E149" i="12"/>
  <c r="G148" i="12"/>
  <c r="E145" i="15"/>
  <c r="G145" i="15" s="1"/>
  <c r="D146" i="15"/>
  <c r="E109" i="2"/>
  <c r="G109" i="2" s="1"/>
  <c r="D110" i="2"/>
  <c r="E128" i="1"/>
  <c r="G127" i="1"/>
  <c r="I36" i="1"/>
  <c r="J36" i="1" s="1"/>
  <c r="K38" i="1"/>
  <c r="B22" i="5"/>
  <c r="J21" i="5"/>
  <c r="H21" i="5"/>
  <c r="D21" i="5"/>
  <c r="E145" i="13" l="1"/>
  <c r="G144" i="13"/>
  <c r="G149" i="12"/>
  <c r="E150" i="12"/>
  <c r="E146" i="15"/>
  <c r="G146" i="15" s="1"/>
  <c r="D147" i="15"/>
  <c r="D111" i="2"/>
  <c r="E110" i="2"/>
  <c r="G110" i="2" s="1"/>
  <c r="E129" i="1"/>
  <c r="G128" i="1"/>
  <c r="I37" i="1"/>
  <c r="J37" i="1" s="1"/>
  <c r="K39" i="1"/>
  <c r="B23" i="5"/>
  <c r="J22" i="5"/>
  <c r="H22" i="5"/>
  <c r="D22" i="5"/>
  <c r="G145" i="13" l="1"/>
  <c r="E146" i="13"/>
  <c r="E151" i="12"/>
  <c r="G150" i="12"/>
  <c r="D148" i="15"/>
  <c r="E147" i="15"/>
  <c r="G147" i="15" s="1"/>
  <c r="E111" i="2"/>
  <c r="G111" i="2" s="1"/>
  <c r="D112" i="2"/>
  <c r="E130" i="1"/>
  <c r="G129" i="1"/>
  <c r="I38" i="1"/>
  <c r="J38" i="1" s="1"/>
  <c r="K40" i="1"/>
  <c r="B24" i="5"/>
  <c r="J23" i="5"/>
  <c r="H23" i="5"/>
  <c r="D23" i="5"/>
  <c r="E147" i="13" l="1"/>
  <c r="G146" i="13"/>
  <c r="G151" i="12"/>
  <c r="E152" i="12"/>
  <c r="D149" i="15"/>
  <c r="E148" i="15"/>
  <c r="G148" i="15" s="1"/>
  <c r="D113" i="2"/>
  <c r="E112" i="2"/>
  <c r="G112" i="2" s="1"/>
  <c r="E131" i="1"/>
  <c r="G130" i="1"/>
  <c r="I39" i="1"/>
  <c r="J39" i="1" s="1"/>
  <c r="K42" i="1" s="1"/>
  <c r="I42" i="1" s="1"/>
  <c r="J42" i="1" s="1"/>
  <c r="K45" i="1" s="1"/>
  <c r="K41" i="1"/>
  <c r="B25" i="5"/>
  <c r="H24" i="5"/>
  <c r="J24" i="5"/>
  <c r="D24" i="5"/>
  <c r="G147" i="13" l="1"/>
  <c r="E148" i="13"/>
  <c r="G152" i="12"/>
  <c r="E153" i="12"/>
  <c r="D150" i="15"/>
  <c r="E149" i="15"/>
  <c r="G149" i="15" s="1"/>
  <c r="D114" i="2"/>
  <c r="E113" i="2"/>
  <c r="G113" i="2" s="1"/>
  <c r="E132" i="1"/>
  <c r="G131" i="1"/>
  <c r="I40" i="1"/>
  <c r="J40" i="1" s="1"/>
  <c r="K43" i="1" s="1"/>
  <c r="I43" i="1" s="1"/>
  <c r="J43" i="1" s="1"/>
  <c r="K46" i="1" s="1"/>
  <c r="I41" i="1"/>
  <c r="J41" i="1" s="1"/>
  <c r="K44" i="1" s="1"/>
  <c r="I44" i="1" s="1"/>
  <c r="J44" i="1" s="1"/>
  <c r="K47" i="1" s="1"/>
  <c r="B26" i="5"/>
  <c r="H25" i="5"/>
  <c r="J25" i="5"/>
  <c r="D25" i="5"/>
  <c r="G148" i="13" l="1"/>
  <c r="E149" i="13"/>
  <c r="E154" i="12"/>
  <c r="G153" i="12"/>
  <c r="D151" i="15"/>
  <c r="E150" i="15"/>
  <c r="G150" i="15" s="1"/>
  <c r="D115" i="2"/>
  <c r="E114" i="2"/>
  <c r="G114" i="2" s="1"/>
  <c r="E133" i="1"/>
  <c r="G132" i="1"/>
  <c r="I46" i="1"/>
  <c r="J46" i="1" s="1"/>
  <c r="I47" i="1"/>
  <c r="J47" i="1" s="1"/>
  <c r="K50" i="1" s="1"/>
  <c r="I50" i="1" s="1"/>
  <c r="J50" i="1" s="1"/>
  <c r="I53" i="1" s="1"/>
  <c r="J53" i="1" s="1"/>
  <c r="K56" i="1" s="1"/>
  <c r="I45" i="1"/>
  <c r="J45" i="1" s="1"/>
  <c r="K48" i="1" s="1"/>
  <c r="B27" i="5"/>
  <c r="J26" i="5"/>
  <c r="H26" i="5"/>
  <c r="D26" i="5"/>
  <c r="E150" i="13" l="1"/>
  <c r="G149" i="13"/>
  <c r="E155" i="12"/>
  <c r="G154" i="12"/>
  <c r="D152" i="15"/>
  <c r="E151" i="15"/>
  <c r="G151" i="15" s="1"/>
  <c r="E115" i="2"/>
  <c r="G115" i="2" s="1"/>
  <c r="D116" i="2"/>
  <c r="E134" i="1"/>
  <c r="G133" i="1"/>
  <c r="I56" i="1"/>
  <c r="J56" i="1" s="1"/>
  <c r="K49" i="1"/>
  <c r="I49" i="1" s="1"/>
  <c r="J49" i="1" s="1"/>
  <c r="K52" i="1" s="1"/>
  <c r="I52" i="1" s="1"/>
  <c r="J52" i="1" s="1"/>
  <c r="I55" i="1" s="1"/>
  <c r="J55" i="1" s="1"/>
  <c r="K58" i="1" s="1"/>
  <c r="I48" i="1"/>
  <c r="J48" i="1" s="1"/>
  <c r="K51" i="1" s="1"/>
  <c r="I51" i="1" s="1"/>
  <c r="J51" i="1" s="1"/>
  <c r="I54" i="1" s="1"/>
  <c r="J54" i="1" s="1"/>
  <c r="K57" i="1" s="1"/>
  <c r="B28" i="5"/>
  <c r="J27" i="5"/>
  <c r="H27" i="5"/>
  <c r="D27" i="5"/>
  <c r="G150" i="13" l="1"/>
  <c r="E151" i="13"/>
  <c r="E156" i="12"/>
  <c r="G155" i="12"/>
  <c r="D153" i="15"/>
  <c r="E152" i="15"/>
  <c r="G152" i="15" s="1"/>
  <c r="E116" i="2"/>
  <c r="G116" i="2" s="1"/>
  <c r="D117" i="2"/>
  <c r="E135" i="1"/>
  <c r="G134" i="1"/>
  <c r="K59" i="1"/>
  <c r="I59" i="1" s="1"/>
  <c r="J59" i="1" s="1"/>
  <c r="I57" i="1"/>
  <c r="J57" i="1" s="1"/>
  <c r="K60" i="1" s="1"/>
  <c r="I58" i="1"/>
  <c r="J58" i="1" s="1"/>
  <c r="B29" i="5"/>
  <c r="H28" i="5"/>
  <c r="J28" i="5"/>
  <c r="D28" i="5"/>
  <c r="E152" i="13" l="1"/>
  <c r="G151" i="13"/>
  <c r="E157" i="12"/>
  <c r="G156" i="12"/>
  <c r="E153" i="15"/>
  <c r="G153" i="15" s="1"/>
  <c r="D154" i="15"/>
  <c r="G135" i="1"/>
  <c r="E136" i="1"/>
  <c r="D118" i="2"/>
  <c r="E117" i="2"/>
  <c r="G117" i="2" s="1"/>
  <c r="K61" i="1"/>
  <c r="I61" i="1" s="1"/>
  <c r="J61" i="1" s="1"/>
  <c r="K64" i="1" s="1"/>
  <c r="I64" i="1" s="1"/>
  <c r="J64" i="1" s="1"/>
  <c r="K62" i="1"/>
  <c r="I62" i="1" s="1"/>
  <c r="J62" i="1" s="1"/>
  <c r="K65" i="1" s="1"/>
  <c r="I65" i="1" s="1"/>
  <c r="J65" i="1" s="1"/>
  <c r="K68" i="1" s="1"/>
  <c r="I68" i="1" s="1"/>
  <c r="J68" i="1" s="1"/>
  <c r="K71" i="1" s="1"/>
  <c r="I71" i="1" s="1"/>
  <c r="J71" i="1" s="1"/>
  <c r="I60" i="1"/>
  <c r="J60" i="1" s="1"/>
  <c r="B30" i="5"/>
  <c r="J29" i="5"/>
  <c r="H29" i="5"/>
  <c r="D29" i="5"/>
  <c r="G152" i="13" l="1"/>
  <c r="E153" i="13"/>
  <c r="E158" i="12"/>
  <c r="G157" i="12"/>
  <c r="E154" i="15"/>
  <c r="G154" i="15" s="1"/>
  <c r="D155" i="15"/>
  <c r="G136" i="1"/>
  <c r="E137" i="1"/>
  <c r="D119" i="2"/>
  <c r="E118" i="2"/>
  <c r="G118" i="2" s="1"/>
  <c r="K63" i="1"/>
  <c r="I63" i="1" s="1"/>
  <c r="J63" i="1" s="1"/>
  <c r="K66" i="1" s="1"/>
  <c r="I66" i="1" s="1"/>
  <c r="J66" i="1" s="1"/>
  <c r="K69" i="1" s="1"/>
  <c r="I69" i="1" s="1"/>
  <c r="J69" i="1" s="1"/>
  <c r="K72" i="1" s="1"/>
  <c r="I72" i="1" s="1"/>
  <c r="J72" i="1" s="1"/>
  <c r="K75" i="1" s="1"/>
  <c r="K67" i="1"/>
  <c r="I67" i="1" s="1"/>
  <c r="J67" i="1" s="1"/>
  <c r="K70" i="1" s="1"/>
  <c r="I70" i="1" s="1"/>
  <c r="J70" i="1" s="1"/>
  <c r="K74" i="1"/>
  <c r="I74" i="1" s="1"/>
  <c r="J74" i="1" s="1"/>
  <c r="B31" i="5"/>
  <c r="J30" i="5"/>
  <c r="H30" i="5"/>
  <c r="D30" i="5"/>
  <c r="G153" i="13" l="1"/>
  <c r="E154" i="13"/>
  <c r="E159" i="12"/>
  <c r="G158" i="12"/>
  <c r="D156" i="15"/>
  <c r="E155" i="15"/>
  <c r="G155" i="15" s="1"/>
  <c r="G137" i="1"/>
  <c r="E138" i="1"/>
  <c r="E119" i="2"/>
  <c r="G119" i="2" s="1"/>
  <c r="D120" i="2"/>
  <c r="I75" i="1"/>
  <c r="J75" i="1" s="1"/>
  <c r="K77" i="1"/>
  <c r="I77" i="1" s="1"/>
  <c r="J77" i="1" s="1"/>
  <c r="K73" i="1"/>
  <c r="I73" i="1" s="1"/>
  <c r="J73" i="1" s="1"/>
  <c r="K76" i="1" s="1"/>
  <c r="B32" i="5"/>
  <c r="B33" i="5" s="1"/>
  <c r="J31" i="5"/>
  <c r="H31" i="5"/>
  <c r="D31" i="5"/>
  <c r="E155" i="13" l="1"/>
  <c r="G154" i="13"/>
  <c r="E160" i="12"/>
  <c r="G159" i="12"/>
  <c r="D157" i="15"/>
  <c r="E156" i="15"/>
  <c r="G156" i="15" s="1"/>
  <c r="G138" i="1"/>
  <c r="E139" i="1"/>
  <c r="E120" i="2"/>
  <c r="G120" i="2" s="1"/>
  <c r="D121" i="2"/>
  <c r="J33" i="5"/>
  <c r="H33" i="5"/>
  <c r="B34" i="5"/>
  <c r="D33" i="5"/>
  <c r="K80" i="1"/>
  <c r="I80" i="1" s="1"/>
  <c r="J80" i="1" s="1"/>
  <c r="I76" i="1"/>
  <c r="J76" i="1" s="1"/>
  <c r="K78" i="1"/>
  <c r="I78" i="1" s="1"/>
  <c r="J78" i="1" s="1"/>
  <c r="H32" i="5"/>
  <c r="J32" i="5"/>
  <c r="D32" i="5"/>
  <c r="G155" i="13" l="1"/>
  <c r="E156" i="13"/>
  <c r="E161" i="12"/>
  <c r="G160" i="12"/>
  <c r="D158" i="15"/>
  <c r="E157" i="15"/>
  <c r="G157" i="15" s="1"/>
  <c r="E140" i="1"/>
  <c r="G139" i="1"/>
  <c r="E121" i="2"/>
  <c r="G121" i="2" s="1"/>
  <c r="D122" i="2"/>
  <c r="D34" i="5"/>
  <c r="B35" i="5"/>
  <c r="H34" i="5"/>
  <c r="J34" i="5"/>
  <c r="K79" i="1"/>
  <c r="I79" i="1" s="1"/>
  <c r="J79" i="1" s="1"/>
  <c r="K81" i="1"/>
  <c r="I81" i="1" s="1"/>
  <c r="J81" i="1" s="1"/>
  <c r="K83" i="1"/>
  <c r="I83" i="1" s="1"/>
  <c r="J83" i="1" s="1"/>
  <c r="E157" i="13" l="1"/>
  <c r="G156" i="13"/>
  <c r="E162" i="12"/>
  <c r="G161" i="12"/>
  <c r="D159" i="15"/>
  <c r="E158" i="15"/>
  <c r="G158" i="15" s="1"/>
  <c r="E141" i="1"/>
  <c r="G140" i="1"/>
  <c r="D123" i="2"/>
  <c r="E122" i="2"/>
  <c r="G122" i="2" s="1"/>
  <c r="J35" i="5"/>
  <c r="D35" i="5"/>
  <c r="H35" i="5"/>
  <c r="B36" i="5"/>
  <c r="K82" i="1"/>
  <c r="I82" i="1" s="1"/>
  <c r="J82" i="1" s="1"/>
  <c r="K86" i="1"/>
  <c r="I86" i="1" s="1"/>
  <c r="J86" i="1" s="1"/>
  <c r="K84" i="1"/>
  <c r="I84" i="1" s="1"/>
  <c r="J84" i="1" s="1"/>
  <c r="E158" i="13" l="1"/>
  <c r="G157" i="13"/>
  <c r="E163" i="12"/>
  <c r="G162" i="12"/>
  <c r="D160" i="15"/>
  <c r="E159" i="15"/>
  <c r="G159" i="15" s="1"/>
  <c r="E142" i="1"/>
  <c r="G141" i="1"/>
  <c r="E123" i="2"/>
  <c r="G123" i="2" s="1"/>
  <c r="D124" i="2"/>
  <c r="J36" i="5"/>
  <c r="D36" i="5"/>
  <c r="H36" i="5"/>
  <c r="K89" i="1"/>
  <c r="I89" i="1" s="1"/>
  <c r="J89" i="1" s="1"/>
  <c r="K92" i="1" s="1"/>
  <c r="I92" i="1" s="1"/>
  <c r="J92" i="1" s="1"/>
  <c r="K95" i="1" s="1"/>
  <c r="K87" i="1"/>
  <c r="I87" i="1" s="1"/>
  <c r="J87" i="1" s="1"/>
  <c r="K90" i="1" s="1"/>
  <c r="I90" i="1" s="1"/>
  <c r="J90" i="1" s="1"/>
  <c r="K93" i="1" s="1"/>
  <c r="I93" i="1" s="1"/>
  <c r="K85" i="1"/>
  <c r="I85" i="1" s="1"/>
  <c r="J85" i="1" s="1"/>
  <c r="G158" i="13" l="1"/>
  <c r="E159" i="13"/>
  <c r="E164" i="12"/>
  <c r="G163" i="12"/>
  <c r="D161" i="15"/>
  <c r="E160" i="15"/>
  <c r="G160" i="15" s="1"/>
  <c r="E143" i="1"/>
  <c r="G142" i="1"/>
  <c r="E124" i="2"/>
  <c r="G124" i="2" s="1"/>
  <c r="D125" i="2"/>
  <c r="J93" i="1"/>
  <c r="K88" i="1"/>
  <c r="I88" i="1" s="1"/>
  <c r="J88" i="1" s="1"/>
  <c r="K91" i="1" s="1"/>
  <c r="I91" i="1" s="1"/>
  <c r="J91" i="1" s="1"/>
  <c r="E160" i="13" l="1"/>
  <c r="G159" i="13"/>
  <c r="E165" i="12"/>
  <c r="G164" i="12"/>
  <c r="E161" i="15"/>
  <c r="G161" i="15" s="1"/>
  <c r="D162" i="15"/>
  <c r="E144" i="1"/>
  <c r="G143" i="1"/>
  <c r="D126" i="2"/>
  <c r="E125" i="2"/>
  <c r="G125" i="2" s="1"/>
  <c r="K96" i="1"/>
  <c r="I96" i="1" s="1"/>
  <c r="J96" i="1" s="1"/>
  <c r="K99" i="1" s="1"/>
  <c r="I99" i="1" s="1"/>
  <c r="J99" i="1" s="1"/>
  <c r="K102" i="1" s="1"/>
  <c r="I102" i="1" s="1"/>
  <c r="J102" i="1" s="1"/>
  <c r="K105" i="1" s="1"/>
  <c r="I105" i="1" s="1"/>
  <c r="J105" i="1" s="1"/>
  <c r="K108" i="1" s="1"/>
  <c r="I108" i="1" s="1"/>
  <c r="J108" i="1" s="1"/>
  <c r="K111" i="1" s="1"/>
  <c r="I111" i="1" s="1"/>
  <c r="J111" i="1" s="1"/>
  <c r="K114" i="1" s="1"/>
  <c r="I114" i="1" s="1"/>
  <c r="J114" i="1" s="1"/>
  <c r="K117" i="1" s="1"/>
  <c r="I117" i="1" s="1"/>
  <c r="J117" i="1" s="1"/>
  <c r="K120" i="1" s="1"/>
  <c r="I120" i="1" s="1"/>
  <c r="J120" i="1" s="1"/>
  <c r="K123" i="1" s="1"/>
  <c r="I123" i="1" s="1"/>
  <c r="J123" i="1" s="1"/>
  <c r="K126" i="1" s="1"/>
  <c r="I126" i="1" s="1"/>
  <c r="J126" i="1" s="1"/>
  <c r="K129" i="1" s="1"/>
  <c r="I129" i="1" s="1"/>
  <c r="J129" i="1" s="1"/>
  <c r="I95" i="1"/>
  <c r="J95" i="1" s="1"/>
  <c r="K98" i="1" s="1"/>
  <c r="I98" i="1" s="1"/>
  <c r="J98" i="1" s="1"/>
  <c r="K101" i="1" s="1"/>
  <c r="I101" i="1" s="1"/>
  <c r="J101" i="1" s="1"/>
  <c r="K104" i="1" s="1"/>
  <c r="I104" i="1" s="1"/>
  <c r="J104" i="1" s="1"/>
  <c r="K107" i="1" s="1"/>
  <c r="I107" i="1" s="1"/>
  <c r="J107" i="1" s="1"/>
  <c r="K110" i="1" s="1"/>
  <c r="I110" i="1" s="1"/>
  <c r="J110" i="1" s="1"/>
  <c r="K113" i="1" s="1"/>
  <c r="I113" i="1" s="1"/>
  <c r="J113" i="1" s="1"/>
  <c r="K116" i="1" s="1"/>
  <c r="I116" i="1" s="1"/>
  <c r="J116" i="1" s="1"/>
  <c r="K119" i="1" s="1"/>
  <c r="I119" i="1" s="1"/>
  <c r="J119" i="1" s="1"/>
  <c r="K122" i="1" s="1"/>
  <c r="I122" i="1" s="1"/>
  <c r="J122" i="1" s="1"/>
  <c r="K125" i="1" s="1"/>
  <c r="I125" i="1" s="1"/>
  <c r="J125" i="1" s="1"/>
  <c r="K128" i="1" s="1"/>
  <c r="I128" i="1" s="1"/>
  <c r="J128" i="1" s="1"/>
  <c r="K131" i="1" s="1"/>
  <c r="I131" i="1" s="1"/>
  <c r="J131" i="1" s="1"/>
  <c r="K134" i="1" s="1"/>
  <c r="I134" i="1" s="1"/>
  <c r="J134" i="1" s="1"/>
  <c r="K137" i="1" s="1"/>
  <c r="I137" i="1" s="1"/>
  <c r="J137" i="1" s="1"/>
  <c r="K140" i="1" s="1"/>
  <c r="I140" i="1" s="1"/>
  <c r="J140" i="1" s="1"/>
  <c r="K143" i="1" s="1"/>
  <c r="I143" i="1" s="1"/>
  <c r="J143" i="1" s="1"/>
  <c r="K146" i="1" s="1"/>
  <c r="I146" i="1" s="1"/>
  <c r="J146" i="1" s="1"/>
  <c r="K149" i="1" s="1"/>
  <c r="I149" i="1" s="1"/>
  <c r="J149" i="1" s="1"/>
  <c r="K152" i="1" s="1"/>
  <c r="I152" i="1" s="1"/>
  <c r="J152" i="1" s="1"/>
  <c r="K155" i="1" s="1"/>
  <c r="I155" i="1" s="1"/>
  <c r="J155" i="1" s="1"/>
  <c r="K158" i="1" s="1"/>
  <c r="I158" i="1" s="1"/>
  <c r="J158" i="1" s="1"/>
  <c r="K161" i="1" s="1"/>
  <c r="I161" i="1" s="1"/>
  <c r="J161" i="1" s="1"/>
  <c r="K164" i="1" s="1"/>
  <c r="I164" i="1" s="1"/>
  <c r="J164" i="1" s="1"/>
  <c r="K167" i="1" s="1"/>
  <c r="I167" i="1" s="1"/>
  <c r="J167" i="1" s="1"/>
  <c r="K170" i="1" s="1"/>
  <c r="I170" i="1" s="1"/>
  <c r="J170" i="1" s="1"/>
  <c r="K173" i="1" s="1"/>
  <c r="I173" i="1" s="1"/>
  <c r="J173" i="1" s="1"/>
  <c r="K176" i="1" s="1"/>
  <c r="I176" i="1" s="1"/>
  <c r="J176" i="1" s="1"/>
  <c r="K179" i="1" s="1"/>
  <c r="I179" i="1" s="1"/>
  <c r="J179" i="1" s="1"/>
  <c r="K182" i="1" s="1"/>
  <c r="I182" i="1" s="1"/>
  <c r="J182" i="1" s="1"/>
  <c r="K185" i="1" s="1"/>
  <c r="I185" i="1" s="1"/>
  <c r="J185" i="1" s="1"/>
  <c r="K188" i="1" s="1"/>
  <c r="I188" i="1" s="1"/>
  <c r="J188" i="1" s="1"/>
  <c r="K191" i="1" s="1"/>
  <c r="I191" i="1" s="1"/>
  <c r="J191" i="1" s="1"/>
  <c r="K194" i="1" s="1"/>
  <c r="I194" i="1" s="1"/>
  <c r="J194" i="1" s="1"/>
  <c r="K197" i="1" s="1"/>
  <c r="I197" i="1" s="1"/>
  <c r="J197" i="1" s="1"/>
  <c r="K200" i="1" s="1"/>
  <c r="I200" i="1" s="1"/>
  <c r="J200" i="1" s="1"/>
  <c r="K203" i="1" s="1"/>
  <c r="I203" i="1" s="1"/>
  <c r="J203" i="1" s="1"/>
  <c r="K94" i="1"/>
  <c r="I94" i="1" s="1"/>
  <c r="J94" i="1" s="1"/>
  <c r="K97" i="1" s="1"/>
  <c r="I97" i="1" s="1"/>
  <c r="J97" i="1" s="1"/>
  <c r="K100" i="1" s="1"/>
  <c r="I100" i="1" s="1"/>
  <c r="J100" i="1" s="1"/>
  <c r="K103" i="1" s="1"/>
  <c r="I103" i="1" s="1"/>
  <c r="J103" i="1" s="1"/>
  <c r="K106" i="1" s="1"/>
  <c r="I106" i="1" s="1"/>
  <c r="J106" i="1" s="1"/>
  <c r="K109" i="1" s="1"/>
  <c r="I109" i="1" s="1"/>
  <c r="J109" i="1" s="1"/>
  <c r="K112" i="1" s="1"/>
  <c r="I112" i="1" s="1"/>
  <c r="J112" i="1" s="1"/>
  <c r="K115" i="1" s="1"/>
  <c r="I115" i="1" s="1"/>
  <c r="J115" i="1" s="1"/>
  <c r="K118" i="1" s="1"/>
  <c r="I118" i="1" s="1"/>
  <c r="J118" i="1" s="1"/>
  <c r="K121" i="1" s="1"/>
  <c r="I121" i="1" s="1"/>
  <c r="J121" i="1" s="1"/>
  <c r="K124" i="1" s="1"/>
  <c r="I124" i="1" s="1"/>
  <c r="J124" i="1" s="1"/>
  <c r="K127" i="1" s="1"/>
  <c r="I127" i="1" s="1"/>
  <c r="J127" i="1" s="1"/>
  <c r="K130" i="1" s="1"/>
  <c r="I130" i="1" s="1"/>
  <c r="J130" i="1" s="1"/>
  <c r="K133" i="1" s="1"/>
  <c r="I133" i="1" s="1"/>
  <c r="J133" i="1" s="1"/>
  <c r="K136" i="1" s="1"/>
  <c r="I136" i="1" s="1"/>
  <c r="J136" i="1" s="1"/>
  <c r="K139" i="1" s="1"/>
  <c r="I139" i="1" s="1"/>
  <c r="J139" i="1" s="1"/>
  <c r="K142" i="1" s="1"/>
  <c r="I142" i="1" s="1"/>
  <c r="J142" i="1" s="1"/>
  <c r="K145" i="1" s="1"/>
  <c r="I145" i="1" s="1"/>
  <c r="J145" i="1" s="1"/>
  <c r="K148" i="1" s="1"/>
  <c r="I148" i="1" s="1"/>
  <c r="J148" i="1" s="1"/>
  <c r="K151" i="1" s="1"/>
  <c r="I151" i="1" s="1"/>
  <c r="J151" i="1" s="1"/>
  <c r="K154" i="1" s="1"/>
  <c r="I154" i="1" s="1"/>
  <c r="J154" i="1" s="1"/>
  <c r="K157" i="1" s="1"/>
  <c r="I157" i="1" s="1"/>
  <c r="J157" i="1" s="1"/>
  <c r="K160" i="1" s="1"/>
  <c r="I160" i="1" s="1"/>
  <c r="J160" i="1" s="1"/>
  <c r="K163" i="1" s="1"/>
  <c r="I163" i="1" s="1"/>
  <c r="J163" i="1" s="1"/>
  <c r="K166" i="1" s="1"/>
  <c r="I166" i="1" s="1"/>
  <c r="J166" i="1" s="1"/>
  <c r="K169" i="1" s="1"/>
  <c r="I169" i="1" s="1"/>
  <c r="J169" i="1" s="1"/>
  <c r="K172" i="1" s="1"/>
  <c r="I172" i="1" s="1"/>
  <c r="J172" i="1" s="1"/>
  <c r="K175" i="1" s="1"/>
  <c r="I175" i="1" s="1"/>
  <c r="J175" i="1" s="1"/>
  <c r="K178" i="1" s="1"/>
  <c r="I178" i="1" s="1"/>
  <c r="J178" i="1" s="1"/>
  <c r="K181" i="1" s="1"/>
  <c r="I181" i="1" s="1"/>
  <c r="J181" i="1" s="1"/>
  <c r="K184" i="1" s="1"/>
  <c r="I184" i="1" s="1"/>
  <c r="J184" i="1" s="1"/>
  <c r="K187" i="1" s="1"/>
  <c r="I187" i="1" s="1"/>
  <c r="J187" i="1" s="1"/>
  <c r="K190" i="1" s="1"/>
  <c r="I190" i="1" s="1"/>
  <c r="J190" i="1" s="1"/>
  <c r="K193" i="1" s="1"/>
  <c r="I193" i="1" s="1"/>
  <c r="J193" i="1" s="1"/>
  <c r="K196" i="1" s="1"/>
  <c r="I196" i="1" s="1"/>
  <c r="J196" i="1" s="1"/>
  <c r="K199" i="1" s="1"/>
  <c r="I199" i="1" s="1"/>
  <c r="J199" i="1" s="1"/>
  <c r="K202" i="1" s="1"/>
  <c r="I202" i="1" s="1"/>
  <c r="J202" i="1" s="1"/>
  <c r="E161" i="13" l="1"/>
  <c r="G160" i="13"/>
  <c r="E166" i="12"/>
  <c r="G165" i="12"/>
  <c r="E162" i="15"/>
  <c r="G162" i="15" s="1"/>
  <c r="D163" i="15"/>
  <c r="K132" i="1"/>
  <c r="I132" i="1" s="1"/>
  <c r="J132" i="1" s="1"/>
  <c r="K135" i="1" s="1"/>
  <c r="I135" i="1" s="1"/>
  <c r="J135" i="1" s="1"/>
  <c r="K138" i="1" s="1"/>
  <c r="I138" i="1" s="1"/>
  <c r="J138" i="1" s="1"/>
  <c r="K141" i="1" s="1"/>
  <c r="I141" i="1" s="1"/>
  <c r="J141" i="1" s="1"/>
  <c r="K144" i="1" s="1"/>
  <c r="I144" i="1" s="1"/>
  <c r="J144" i="1" s="1"/>
  <c r="K147" i="1" s="1"/>
  <c r="I147" i="1" s="1"/>
  <c r="J147" i="1" s="1"/>
  <c r="K150" i="1" s="1"/>
  <c r="I150" i="1" s="1"/>
  <c r="J150" i="1" s="1"/>
  <c r="K153" i="1" s="1"/>
  <c r="I153" i="1" s="1"/>
  <c r="J153" i="1" s="1"/>
  <c r="K156" i="1" s="1"/>
  <c r="I156" i="1" s="1"/>
  <c r="J156" i="1" s="1"/>
  <c r="K159" i="1" s="1"/>
  <c r="I159" i="1" s="1"/>
  <c r="J159" i="1" s="1"/>
  <c r="K162" i="1" s="1"/>
  <c r="I162" i="1" s="1"/>
  <c r="J162" i="1" s="1"/>
  <c r="K165" i="1" s="1"/>
  <c r="I165" i="1" s="1"/>
  <c r="J165" i="1" s="1"/>
  <c r="K168" i="1" s="1"/>
  <c r="I168" i="1" s="1"/>
  <c r="J168" i="1" s="1"/>
  <c r="K171" i="1" s="1"/>
  <c r="I171" i="1" s="1"/>
  <c r="J171" i="1" s="1"/>
  <c r="K174" i="1" s="1"/>
  <c r="I174" i="1" s="1"/>
  <c r="J174" i="1" s="1"/>
  <c r="K177" i="1" s="1"/>
  <c r="I177" i="1" s="1"/>
  <c r="J177" i="1" s="1"/>
  <c r="K180" i="1" s="1"/>
  <c r="I180" i="1" s="1"/>
  <c r="J180" i="1" s="1"/>
  <c r="K183" i="1" s="1"/>
  <c r="I183" i="1" s="1"/>
  <c r="J183" i="1" s="1"/>
  <c r="K186" i="1" s="1"/>
  <c r="I186" i="1" s="1"/>
  <c r="J186" i="1" s="1"/>
  <c r="K189" i="1" s="1"/>
  <c r="I189" i="1" s="1"/>
  <c r="J189" i="1" s="1"/>
  <c r="K192" i="1" s="1"/>
  <c r="I192" i="1" s="1"/>
  <c r="J192" i="1" s="1"/>
  <c r="K195" i="1" s="1"/>
  <c r="I195" i="1" s="1"/>
  <c r="J195" i="1" s="1"/>
  <c r="K198" i="1" s="1"/>
  <c r="I198" i="1" s="1"/>
  <c r="J198" i="1" s="1"/>
  <c r="K201" i="1" s="1"/>
  <c r="I201" i="1" s="1"/>
  <c r="J201" i="1" s="1"/>
  <c r="E145" i="1"/>
  <c r="G144" i="1"/>
  <c r="D127" i="2"/>
  <c r="E126" i="2"/>
  <c r="G126" i="2" s="1"/>
  <c r="G161" i="13" l="1"/>
  <c r="E162" i="13"/>
  <c r="E167" i="12"/>
  <c r="G166" i="12"/>
  <c r="D164" i="15"/>
  <c r="E163" i="15"/>
  <c r="G163" i="15" s="1"/>
  <c r="G145" i="1"/>
  <c r="E146" i="1"/>
  <c r="E127" i="2"/>
  <c r="G127" i="2" s="1"/>
  <c r="D128" i="2"/>
  <c r="E163" i="13" l="1"/>
  <c r="G162" i="13"/>
  <c r="E168" i="12"/>
  <c r="G167" i="12"/>
  <c r="D165" i="15"/>
  <c r="E164" i="15"/>
  <c r="G164" i="15" s="1"/>
  <c r="G146" i="1"/>
  <c r="E147" i="1"/>
  <c r="E128" i="2"/>
  <c r="G128" i="2" s="1"/>
  <c r="D129" i="2"/>
  <c r="G163" i="13" l="1"/>
  <c r="E164" i="13"/>
  <c r="G168" i="12"/>
  <c r="E169" i="12"/>
  <c r="D166" i="15"/>
  <c r="E165" i="15"/>
  <c r="G165" i="15" s="1"/>
  <c r="G147" i="1"/>
  <c r="E148" i="1"/>
  <c r="D130" i="2"/>
  <c r="E129" i="2"/>
  <c r="G129" i="2" s="1"/>
  <c r="E165" i="13" l="1"/>
  <c r="G164" i="13"/>
  <c r="E170" i="12"/>
  <c r="G169" i="12"/>
  <c r="D167" i="15"/>
  <c r="E166" i="15"/>
  <c r="G166" i="15" s="1"/>
  <c r="E149" i="1"/>
  <c r="G148" i="1"/>
  <c r="D131" i="2"/>
  <c r="E130" i="2"/>
  <c r="G130" i="2" s="1"/>
  <c r="E166" i="13" l="1"/>
  <c r="G165" i="13"/>
  <c r="E171" i="12"/>
  <c r="G170" i="12"/>
  <c r="D168" i="15"/>
  <c r="E167" i="15"/>
  <c r="G167" i="15" s="1"/>
  <c r="E150" i="1"/>
  <c r="G149" i="1"/>
  <c r="E131" i="2"/>
  <c r="G131" i="2" s="1"/>
  <c r="D132" i="2"/>
  <c r="G166" i="13" l="1"/>
  <c r="E167" i="13"/>
  <c r="E172" i="12"/>
  <c r="G171" i="12"/>
  <c r="E168" i="15"/>
  <c r="G168" i="15" s="1"/>
  <c r="D169" i="15"/>
  <c r="E151" i="1"/>
  <c r="G150" i="1"/>
  <c r="E132" i="2"/>
  <c r="G132" i="2" s="1"/>
  <c r="D133" i="2"/>
  <c r="E168" i="13" l="1"/>
  <c r="G167" i="13"/>
  <c r="E173" i="12"/>
  <c r="G172" i="12"/>
  <c r="E169" i="15"/>
  <c r="G169" i="15" s="1"/>
  <c r="D170" i="15"/>
  <c r="E133" i="2"/>
  <c r="G133" i="2" s="1"/>
  <c r="D134" i="2"/>
  <c r="E152" i="1"/>
  <c r="G151" i="1"/>
  <c r="G168" i="13" l="1"/>
  <c r="E169" i="13"/>
  <c r="E174" i="12"/>
  <c r="G173" i="12"/>
  <c r="E170" i="15"/>
  <c r="G170" i="15" s="1"/>
  <c r="D171" i="15"/>
  <c r="E134" i="2"/>
  <c r="G134" i="2" s="1"/>
  <c r="D135" i="2"/>
  <c r="E153" i="1"/>
  <c r="G152" i="1"/>
  <c r="G169" i="13" l="1"/>
  <c r="E170" i="13"/>
  <c r="E175" i="12"/>
  <c r="G174" i="12"/>
  <c r="D172" i="15"/>
  <c r="E171" i="15"/>
  <c r="G171" i="15" s="1"/>
  <c r="E135" i="2"/>
  <c r="G135" i="2" s="1"/>
  <c r="D136" i="2"/>
  <c r="G153" i="1"/>
  <c r="E154" i="1"/>
  <c r="E171" i="13" l="1"/>
  <c r="G170" i="13"/>
  <c r="E176" i="12"/>
  <c r="G175" i="12"/>
  <c r="D173" i="15"/>
  <c r="E172" i="15"/>
  <c r="G172" i="15" s="1"/>
  <c r="E136" i="2"/>
  <c r="G136" i="2" s="1"/>
  <c r="D137" i="2"/>
  <c r="G154" i="1"/>
  <c r="E155" i="1"/>
  <c r="G171" i="13" l="1"/>
  <c r="E172" i="13"/>
  <c r="E177" i="12"/>
  <c r="G176" i="12"/>
  <c r="E173" i="15"/>
  <c r="G173" i="15" s="1"/>
  <c r="D174" i="15"/>
  <c r="E137" i="2"/>
  <c r="G137" i="2" s="1"/>
  <c r="D138" i="2"/>
  <c r="G155" i="1"/>
  <c r="E156" i="1"/>
  <c r="E173" i="13" l="1"/>
  <c r="G172" i="13"/>
  <c r="E178" i="12"/>
  <c r="G177" i="12"/>
  <c r="D175" i="15"/>
  <c r="E174" i="15"/>
  <c r="G174" i="15" s="1"/>
  <c r="E138" i="2"/>
  <c r="G138" i="2" s="1"/>
  <c r="D139" i="2"/>
  <c r="E157" i="1"/>
  <c r="G156" i="1"/>
  <c r="G173" i="13" l="1"/>
  <c r="E174" i="13"/>
  <c r="E179" i="12"/>
  <c r="G178" i="12"/>
  <c r="E175" i="15"/>
  <c r="G175" i="15" s="1"/>
  <c r="D176" i="15"/>
  <c r="D140" i="2"/>
  <c r="E139" i="2"/>
  <c r="G139" i="2" s="1"/>
  <c r="G157" i="1"/>
  <c r="E158" i="1"/>
  <c r="G174" i="13" l="1"/>
  <c r="E175" i="13"/>
  <c r="E180" i="12"/>
  <c r="G179" i="12"/>
  <c r="E176" i="15"/>
  <c r="G176" i="15" s="1"/>
  <c r="D177" i="15"/>
  <c r="E140" i="2"/>
  <c r="G140" i="2" s="1"/>
  <c r="D141" i="2"/>
  <c r="G158" i="1"/>
  <c r="E159" i="1"/>
  <c r="E176" i="13" l="1"/>
  <c r="G175" i="13"/>
  <c r="E181" i="12"/>
  <c r="G180" i="12"/>
  <c r="E177" i="15"/>
  <c r="G177" i="15" s="1"/>
  <c r="D178" i="15"/>
  <c r="D142" i="2"/>
  <c r="E141" i="2"/>
  <c r="G141" i="2" s="1"/>
  <c r="G159" i="1"/>
  <c r="E160" i="1"/>
  <c r="G176" i="13" l="1"/>
  <c r="E177" i="13"/>
  <c r="E182" i="12"/>
  <c r="G181" i="12"/>
  <c r="E178" i="15"/>
  <c r="G178" i="15" s="1"/>
  <c r="D179" i="15"/>
  <c r="E142" i="2"/>
  <c r="G142" i="2" s="1"/>
  <c r="D143" i="2"/>
  <c r="G160" i="1"/>
  <c r="E161" i="1"/>
  <c r="G177" i="13" l="1"/>
  <c r="E178" i="13"/>
  <c r="E183" i="12"/>
  <c r="G182" i="12"/>
  <c r="D180" i="15"/>
  <c r="E179" i="15"/>
  <c r="G179" i="15" s="1"/>
  <c r="E143" i="2"/>
  <c r="G143" i="2" s="1"/>
  <c r="D144" i="2"/>
  <c r="E162" i="1"/>
  <c r="G161" i="1"/>
  <c r="E179" i="13" l="1"/>
  <c r="G178" i="13"/>
  <c r="E184" i="12"/>
  <c r="G183" i="12"/>
  <c r="D181" i="15"/>
  <c r="E180" i="15"/>
  <c r="G180" i="15" s="1"/>
  <c r="E144" i="2"/>
  <c r="G144" i="2" s="1"/>
  <c r="D145" i="2"/>
  <c r="E163" i="1"/>
  <c r="G162" i="1"/>
  <c r="G184" i="12" l="1"/>
  <c r="E185" i="12"/>
  <c r="E181" i="15"/>
  <c r="G181" i="15" s="1"/>
  <c r="D182" i="15"/>
  <c r="G179" i="13"/>
  <c r="E180" i="13"/>
  <c r="D146" i="2"/>
  <c r="E145" i="2"/>
  <c r="G145" i="2" s="1"/>
  <c r="E164" i="1"/>
  <c r="G163" i="1"/>
  <c r="G185" i="12" l="1"/>
  <c r="E186" i="12"/>
  <c r="D183" i="15"/>
  <c r="E182" i="15"/>
  <c r="G182" i="15" s="1"/>
  <c r="E181" i="13"/>
  <c r="G180" i="13"/>
  <c r="D147" i="2"/>
  <c r="E146" i="2"/>
  <c r="G146" i="2" s="1"/>
  <c r="E165" i="1"/>
  <c r="G164" i="1"/>
  <c r="E183" i="15" l="1"/>
  <c r="G183" i="15" s="1"/>
  <c r="D184" i="15"/>
  <c r="E187" i="12"/>
  <c r="G186" i="12"/>
  <c r="E182" i="13"/>
  <c r="G181" i="13"/>
  <c r="D148" i="2"/>
  <c r="E147" i="2"/>
  <c r="G147" i="2" s="1"/>
  <c r="E166" i="1"/>
  <c r="G165" i="1"/>
  <c r="D185" i="15" l="1"/>
  <c r="E184" i="15"/>
  <c r="G184" i="15" s="1"/>
  <c r="E188" i="12"/>
  <c r="G187" i="12"/>
  <c r="E183" i="13"/>
  <c r="G182" i="13"/>
  <c r="E148" i="2"/>
  <c r="G148" i="2" s="1"/>
  <c r="D149" i="2"/>
  <c r="E167" i="1"/>
  <c r="G166" i="1"/>
  <c r="D186" i="15" l="1"/>
  <c r="E185" i="15"/>
  <c r="G185" i="15" s="1"/>
  <c r="E189" i="12"/>
  <c r="G188" i="12"/>
  <c r="G183" i="13"/>
  <c r="E184" i="13"/>
  <c r="D150" i="2"/>
  <c r="E149" i="2"/>
  <c r="G149" i="2" s="1"/>
  <c r="G167" i="1"/>
  <c r="E168" i="1"/>
  <c r="D187" i="15" l="1"/>
  <c r="E186" i="15"/>
  <c r="G186" i="15" s="1"/>
  <c r="E190" i="12"/>
  <c r="G189" i="12"/>
  <c r="G184" i="13"/>
  <c r="E185" i="13"/>
  <c r="D151" i="2"/>
  <c r="E150" i="2"/>
  <c r="G150" i="2" s="1"/>
  <c r="E169" i="1"/>
  <c r="G168" i="1"/>
  <c r="E187" i="15" l="1"/>
  <c r="G187" i="15" s="1"/>
  <c r="D188" i="15"/>
  <c r="G185" i="13"/>
  <c r="E186" i="13"/>
  <c r="E191" i="12"/>
  <c r="G190" i="12"/>
  <c r="E151" i="2"/>
  <c r="G151" i="2" s="1"/>
  <c r="D152" i="2"/>
  <c r="G169" i="1"/>
  <c r="E170" i="1"/>
  <c r="D189" i="15" l="1"/>
  <c r="E188" i="15"/>
  <c r="G188" i="15" s="1"/>
  <c r="E187" i="13"/>
  <c r="G186" i="13"/>
  <c r="E192" i="12"/>
  <c r="G191" i="12"/>
  <c r="D153" i="2"/>
  <c r="E152" i="2"/>
  <c r="G152" i="2" s="1"/>
  <c r="E171" i="1"/>
  <c r="G170" i="1"/>
  <c r="D190" i="15" l="1"/>
  <c r="E189" i="15"/>
  <c r="G189" i="15" s="1"/>
  <c r="G187" i="13"/>
  <c r="E188" i="13"/>
  <c r="E193" i="12"/>
  <c r="G192" i="12"/>
  <c r="E153" i="2"/>
  <c r="G153" i="2" s="1"/>
  <c r="D154" i="2"/>
  <c r="E172" i="1"/>
  <c r="G171" i="1"/>
  <c r="E190" i="15" l="1"/>
  <c r="G190" i="15" s="1"/>
  <c r="D191" i="15"/>
  <c r="E189" i="13"/>
  <c r="G188" i="13"/>
  <c r="E194" i="12"/>
  <c r="G193" i="12"/>
  <c r="D155" i="2"/>
  <c r="E154" i="2"/>
  <c r="G154" i="2" s="1"/>
  <c r="G172" i="1"/>
  <c r="E173" i="1"/>
  <c r="E191" i="15" l="1"/>
  <c r="G191" i="15" s="1"/>
  <c r="D192" i="15"/>
  <c r="E190" i="13"/>
  <c r="G189" i="13"/>
  <c r="E195" i="12"/>
  <c r="G194" i="12"/>
  <c r="D156" i="2"/>
  <c r="E155" i="2"/>
  <c r="G155" i="2" s="1"/>
  <c r="G173" i="1"/>
  <c r="E174" i="1"/>
  <c r="D193" i="15" l="1"/>
  <c r="E192" i="15"/>
  <c r="G192" i="15" s="1"/>
  <c r="E191" i="13"/>
  <c r="G190" i="13"/>
  <c r="E196" i="12"/>
  <c r="G195" i="12"/>
  <c r="E156" i="2"/>
  <c r="G156" i="2" s="1"/>
  <c r="D157" i="2"/>
  <c r="G174" i="1"/>
  <c r="E175" i="1"/>
  <c r="E193" i="15" l="1"/>
  <c r="G193" i="15" s="1"/>
  <c r="D194" i="15"/>
  <c r="E192" i="13"/>
  <c r="G191" i="13"/>
  <c r="E197" i="12"/>
  <c r="G196" i="12"/>
  <c r="D158" i="2"/>
  <c r="E157" i="2"/>
  <c r="G157" i="2" s="1"/>
  <c r="G175" i="1"/>
  <c r="E176" i="1"/>
  <c r="E194" i="15" l="1"/>
  <c r="G194" i="15" s="1"/>
  <c r="D195" i="15"/>
  <c r="E193" i="13"/>
  <c r="G192" i="13"/>
  <c r="E198" i="12"/>
  <c r="G197" i="12"/>
  <c r="E158" i="2"/>
  <c r="G158" i="2" s="1"/>
  <c r="D159" i="2"/>
  <c r="G176" i="1"/>
  <c r="E177" i="1"/>
  <c r="D196" i="15" l="1"/>
  <c r="E195" i="15"/>
  <c r="G195" i="15" s="1"/>
  <c r="E194" i="13"/>
  <c r="G193" i="13"/>
  <c r="E199" i="12"/>
  <c r="G198" i="12"/>
  <c r="E159" i="2"/>
  <c r="G159" i="2" s="1"/>
  <c r="D160" i="2"/>
  <c r="E178" i="1"/>
  <c r="G177" i="1"/>
  <c r="E196" i="15" l="1"/>
  <c r="G196" i="15" s="1"/>
  <c r="D197" i="15"/>
  <c r="E195" i="13"/>
  <c r="G194" i="13"/>
  <c r="E200" i="12"/>
  <c r="G199" i="12"/>
  <c r="E160" i="2"/>
  <c r="G160" i="2" s="1"/>
  <c r="D161" i="2"/>
  <c r="G178" i="1"/>
  <c r="E179" i="1"/>
  <c r="D198" i="15" l="1"/>
  <c r="E197" i="15"/>
  <c r="G197" i="15" s="1"/>
  <c r="E196" i="13"/>
  <c r="G195" i="13"/>
  <c r="E201" i="12"/>
  <c r="G200" i="12"/>
  <c r="E161" i="2"/>
  <c r="G161" i="2" s="1"/>
  <c r="D162" i="2"/>
  <c r="E180" i="1"/>
  <c r="G179" i="1"/>
  <c r="D199" i="15" l="1"/>
  <c r="E198" i="15"/>
  <c r="G198" i="15" s="1"/>
  <c r="E197" i="13"/>
  <c r="G196" i="13"/>
  <c r="E202" i="12"/>
  <c r="G201" i="12"/>
  <c r="D163" i="2"/>
  <c r="E162" i="2"/>
  <c r="G162" i="2" s="1"/>
  <c r="G180" i="1"/>
  <c r="E181" i="1"/>
  <c r="E199" i="15" l="1"/>
  <c r="G199" i="15" s="1"/>
  <c r="D200" i="15"/>
  <c r="E198" i="13"/>
  <c r="G197" i="13"/>
  <c r="E203" i="12"/>
  <c r="G203" i="12" s="1"/>
  <c r="G202" i="12"/>
  <c r="D164" i="2"/>
  <c r="E163" i="2"/>
  <c r="G163" i="2" s="1"/>
  <c r="E182" i="1"/>
  <c r="G181" i="1"/>
  <c r="E200" i="15" l="1"/>
  <c r="G200" i="15" s="1"/>
  <c r="D201" i="15"/>
  <c r="E201" i="15" s="1"/>
  <c r="G201" i="15" s="1"/>
  <c r="E199" i="13"/>
  <c r="G198" i="13"/>
  <c r="D165" i="2"/>
  <c r="E164" i="2"/>
  <c r="G164" i="2" s="1"/>
  <c r="E183" i="1"/>
  <c r="G182" i="1"/>
  <c r="E200" i="13" l="1"/>
  <c r="G199" i="13"/>
  <c r="D166" i="2"/>
  <c r="E165" i="2"/>
  <c r="G165" i="2" s="1"/>
  <c r="G183" i="1"/>
  <c r="E184" i="1"/>
  <c r="E201" i="13" l="1"/>
  <c r="G200" i="13"/>
  <c r="D167" i="2"/>
  <c r="E166" i="2"/>
  <c r="G166" i="2" s="1"/>
  <c r="E185" i="1"/>
  <c r="E186" i="1" s="1"/>
  <c r="G184" i="1"/>
  <c r="E202" i="13" l="1"/>
  <c r="G201" i="13"/>
  <c r="E187" i="1"/>
  <c r="G186" i="1"/>
  <c r="E167" i="2"/>
  <c r="G167" i="2" s="1"/>
  <c r="D168" i="2"/>
  <c r="G185" i="1"/>
  <c r="E203" i="13" l="1"/>
  <c r="G203" i="13" s="1"/>
  <c r="G202" i="13"/>
  <c r="E188" i="1"/>
  <c r="G187" i="1"/>
  <c r="E168" i="2"/>
  <c r="G168" i="2" s="1"/>
  <c r="D169" i="2"/>
  <c r="E189" i="1" l="1"/>
  <c r="G188" i="1"/>
  <c r="D170" i="2"/>
  <c r="E169" i="2"/>
  <c r="G169" i="2" s="1"/>
  <c r="E190" i="1" l="1"/>
  <c r="G189" i="1"/>
  <c r="D171" i="2"/>
  <c r="E170" i="2"/>
  <c r="G170" i="2" s="1"/>
  <c r="E191" i="1" l="1"/>
  <c r="G190" i="1"/>
  <c r="D172" i="2"/>
  <c r="E171" i="2"/>
  <c r="G171" i="2" s="1"/>
  <c r="E192" i="1" l="1"/>
  <c r="G191" i="1"/>
  <c r="D173" i="2"/>
  <c r="E172" i="2"/>
  <c r="G172" i="2" s="1"/>
  <c r="E193" i="1" l="1"/>
  <c r="G192" i="1"/>
  <c r="D174" i="2"/>
  <c r="E173" i="2"/>
  <c r="G173" i="2" s="1"/>
  <c r="E194" i="1" l="1"/>
  <c r="G193" i="1"/>
  <c r="E174" i="2"/>
  <c r="G174" i="2" s="1"/>
  <c r="D175" i="2"/>
  <c r="E195" i="1" l="1"/>
  <c r="G194" i="1"/>
  <c r="E175" i="2"/>
  <c r="G175" i="2" s="1"/>
  <c r="D176" i="2"/>
  <c r="E196" i="1" l="1"/>
  <c r="G195" i="1"/>
  <c r="E176" i="2"/>
  <c r="G176" i="2" s="1"/>
  <c r="D177" i="2"/>
  <c r="E197" i="1" l="1"/>
  <c r="G196" i="1"/>
  <c r="D178" i="2"/>
  <c r="E177" i="2"/>
  <c r="G177" i="2" s="1"/>
  <c r="E198" i="1" l="1"/>
  <c r="G197" i="1"/>
  <c r="E178" i="2"/>
  <c r="G178" i="2" s="1"/>
  <c r="D179" i="2"/>
  <c r="E199" i="1" l="1"/>
  <c r="G198" i="1"/>
  <c r="D180" i="2"/>
  <c r="E179" i="2"/>
  <c r="G179" i="2" s="1"/>
  <c r="E200" i="1" l="1"/>
  <c r="G199" i="1"/>
  <c r="D181" i="2"/>
  <c r="E180" i="2"/>
  <c r="G180" i="2" s="1"/>
  <c r="E201" i="1" l="1"/>
  <c r="G200" i="1"/>
  <c r="E181" i="2"/>
  <c r="G181" i="2" s="1"/>
  <c r="D182" i="2"/>
  <c r="E202" i="1" l="1"/>
  <c r="G201" i="1"/>
  <c r="D183" i="2"/>
  <c r="D184" i="2" s="1"/>
  <c r="E182" i="2"/>
  <c r="G182" i="2" s="1"/>
  <c r="E184" i="2" l="1"/>
  <c r="G184" i="2" s="1"/>
  <c r="D185" i="2"/>
  <c r="E203" i="1"/>
  <c r="G203" i="1" s="1"/>
  <c r="G202" i="1"/>
  <c r="E183" i="2"/>
  <c r="G183" i="2" s="1"/>
  <c r="E185" i="2" l="1"/>
  <c r="G185" i="2" s="1"/>
  <c r="D186" i="2"/>
  <c r="E186" i="2" l="1"/>
  <c r="G186" i="2" s="1"/>
  <c r="D187" i="2"/>
  <c r="D188" i="2" l="1"/>
  <c r="E187" i="2"/>
  <c r="G187" i="2" s="1"/>
  <c r="E188" i="2" l="1"/>
  <c r="G188" i="2" s="1"/>
  <c r="D189" i="2"/>
  <c r="E189" i="2" l="1"/>
  <c r="G189" i="2" s="1"/>
  <c r="D190" i="2"/>
  <c r="E190" i="2" l="1"/>
  <c r="G190" i="2" s="1"/>
  <c r="D191" i="2"/>
  <c r="D192" i="2" l="1"/>
  <c r="E191" i="2"/>
  <c r="G191" i="2" s="1"/>
  <c r="E192" i="2" l="1"/>
  <c r="G192" i="2" s="1"/>
  <c r="D193" i="2"/>
  <c r="E193" i="2" l="1"/>
  <c r="G193" i="2" s="1"/>
  <c r="D194" i="2"/>
  <c r="E194" i="2" l="1"/>
  <c r="G194" i="2" s="1"/>
  <c r="D195" i="2"/>
  <c r="D196" i="2" l="1"/>
  <c r="E195" i="2"/>
  <c r="G195" i="2" s="1"/>
  <c r="E196" i="2" l="1"/>
  <c r="G196" i="2" s="1"/>
  <c r="D197" i="2"/>
  <c r="E197" i="2" l="1"/>
  <c r="G197" i="2" s="1"/>
  <c r="D198" i="2"/>
  <c r="E198" i="2" l="1"/>
  <c r="G198" i="2" s="1"/>
  <c r="D199" i="2"/>
  <c r="D200" i="2" l="1"/>
  <c r="E199" i="2"/>
  <c r="G199" i="2" s="1"/>
  <c r="E200" i="2" l="1"/>
  <c r="G200" i="2" s="1"/>
  <c r="D201" i="2"/>
  <c r="E201" i="2" s="1"/>
  <c r="G20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Castlen, Nicholas R</author>
    <author>Mark A. Hite</author>
  </authors>
  <commentList>
    <comment ref="D9" authorId="0" shapeId="0" xr:uid="{00000000-0006-0000-0000-000001000000}">
      <text>
        <r>
          <rPr>
            <sz val="9"/>
            <color indexed="81"/>
            <rFont val="Tahoma"/>
            <family val="2"/>
          </rPr>
          <t xml:space="preserve">For Big Rivers' expense month, the 1st month following is Big Rivers' service month and the 2nd month following is Big Rivers' billing month, which is billed by the Members to their non-dedicated consumers the 3rd month following (e.g. Big Rivers' Jan-16 expense month, is applied to its Members' bills for the Feb-16 service month, billed by Big Rivers in Mar-16, and billed by the Members to its non-dedicated customers in Apr-2016). </t>
        </r>
      </text>
    </comment>
    <comment ref="H82" authorId="1" shapeId="0" xr:uid="{00000000-0006-0000-0000-000002000000}">
      <text>
        <r>
          <rPr>
            <b/>
            <sz val="9"/>
            <color indexed="81"/>
            <rFont val="Tahoma"/>
            <family val="2"/>
          </rPr>
          <t>Mark A. Hite:</t>
        </r>
        <r>
          <rPr>
            <sz val="9"/>
            <color indexed="81"/>
            <rFont val="Tahoma"/>
            <family val="2"/>
          </rPr>
          <t xml:space="preserve">
Subtracted $.30 to tie to filing Over/Under Recoverty.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Castlen, Nicholas R</author>
  </authors>
  <commentList>
    <comment ref="D9" authorId="0" shapeId="0" xr:uid="{00000000-0006-0000-0100-000001000000}">
      <text>
        <r>
          <rPr>
            <sz val="9"/>
            <color indexed="81"/>
            <rFont val="Tahoma"/>
            <family val="2"/>
          </rPr>
          <t xml:space="preserve">For Big Rivers' expense month, the 1st month following is Big Rivers' service month and the 2nd month following is Big Rivers' billing month, which is billed by the Members to their non-dedicated consumers the 3rd month following (e.g. Big Rivers' Jan-16 expense month, is applied to its Members' bills for the Feb-16 service month, billed by Big Rivers in Mar-16, and billed by the Members to its non-dedicated customers in Apr-2016).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Castlen, Nicholas R</author>
  </authors>
  <commentList>
    <comment ref="D9" authorId="0" shapeId="0" xr:uid="{00000000-0006-0000-0200-000001000000}">
      <text>
        <r>
          <rPr>
            <sz val="9"/>
            <color indexed="81"/>
            <rFont val="Tahoma"/>
            <family val="2"/>
          </rPr>
          <t xml:space="preserve">For Big Rivers' expense month, the 1st month following is Big Rivers' service month and the 2nd month following is Big Rivers' billing month, which is billed by the Members to their non-dedicated consumers the 3rd month following (e.g. Big Rivers' Jan-16 expense month, is applied to its Members' bills for the Feb-16 service month, billed by Big Rivers in Mar-16, and billed by the Members to its non-dedicated customers in Apr-2016). </t>
        </r>
      </text>
    </comment>
  </commentList>
</comments>
</file>

<file path=xl/sharedStrings.xml><?xml version="1.0" encoding="utf-8"?>
<sst xmlns="http://schemas.openxmlformats.org/spreadsheetml/2006/main" count="238" uniqueCount="161">
  <si>
    <t xml:space="preserve"> </t>
  </si>
  <si>
    <t>(a)</t>
  </si>
  <si>
    <t>(b)</t>
  </si>
  <si>
    <t>(c)</t>
  </si>
  <si>
    <t>(d)</t>
  </si>
  <si>
    <t>(e)</t>
  </si>
  <si>
    <t>(f)</t>
  </si>
  <si>
    <t>Big Rivers Electric Corporation</t>
  </si>
  <si>
    <t>Environmental Surcharge</t>
  </si>
  <si>
    <t>Two Year Review (Expense Months June 2009 - May 2011)</t>
  </si>
  <si>
    <t>Comparison of Members' Total Invoice Amounts to Big Rivers' E(m) Recovery per Page 2.00 of Monthly ES Filings)</t>
  </si>
  <si>
    <t>Service Month/ Year
(for Members)</t>
  </si>
  <si>
    <t>BREC Invoice Amount for Service Month
(per Members' data)</t>
  </si>
  <si>
    <t>(A)</t>
  </si>
  <si>
    <t>(B)</t>
  </si>
  <si>
    <t>[(A) - (B)]</t>
  </si>
  <si>
    <t>Difference</t>
  </si>
  <si>
    <t>Per Form 2.00 (Revenue Requirements of Environmental Compliance Costs) of Big Rivers' monthly Environmental Surcharge filings.</t>
  </si>
  <si>
    <t>kWh</t>
  </si>
  <si>
    <t>ES Factor</t>
  </si>
  <si>
    <t>Calculated E(m) Recovered in Mo. Preceding Expense Month (per Filing)</t>
  </si>
  <si>
    <t>Expense Month of Filing ES Factor Calculated</t>
  </si>
  <si>
    <t>Expense Month of Filing Sales Obtained From</t>
  </si>
  <si>
    <t>Recalculation of ES Revenues Recovered During Prior Expense Month</t>
  </si>
  <si>
    <t>Difference
(Filing E(m) Recovery vs. Recalculated Amt.)</t>
  </si>
  <si>
    <r>
      <t xml:space="preserve">E(m) Recovered in Month Preceding Expense Month 
(per filing) </t>
    </r>
    <r>
      <rPr>
        <b/>
        <sz val="10"/>
        <color rgb="FFFF0000"/>
        <rFont val="Arial"/>
        <family val="2"/>
      </rPr>
      <t>(1)</t>
    </r>
  </si>
  <si>
    <t>(2)</t>
  </si>
  <si>
    <t>(1)</t>
  </si>
  <si>
    <t>ES Factor calculated for June 2009 Expense month applied to kWh sales volumes during the period from July 17, 2009 - July 31, 2009.</t>
  </si>
  <si>
    <r>
      <t xml:space="preserve">Expense Month
of Filing that Recovery is Included in </t>
    </r>
    <r>
      <rPr>
        <b/>
        <sz val="10"/>
        <color rgb="FFFF0000"/>
        <rFont val="Arial"/>
        <family val="2"/>
      </rPr>
      <t>(1)</t>
    </r>
  </si>
  <si>
    <t>Environmental Surcharge (ES) Schedule</t>
  </si>
  <si>
    <t>Non-Dedicated Delivery Points</t>
  </si>
  <si>
    <t>For Distribution Coop Member Filings</t>
  </si>
  <si>
    <t>1.</t>
  </si>
  <si>
    <t>Total Purchased kWh</t>
  </si>
  <si>
    <t>2.</t>
  </si>
  <si>
    <t>3.</t>
  </si>
  <si>
    <t>4.</t>
  </si>
  <si>
    <t>KWH Sales (Ultimate Consumer)</t>
  </si>
  <si>
    <t>Company Use - KWH</t>
  </si>
  <si>
    <t>KWH Sales (L2 + L3)</t>
  </si>
  <si>
    <t>5.</t>
  </si>
  <si>
    <t>Line Loss &amp; Unaccounted for KWH (L1 - L4)</t>
  </si>
  <si>
    <t>6.</t>
  </si>
  <si>
    <t>Last ES Rate Billed</t>
  </si>
  <si>
    <t>7.</t>
  </si>
  <si>
    <t>Gross KWH Billed at Rate on L6</t>
  </si>
  <si>
    <t>8.</t>
  </si>
  <si>
    <t>Adjustments to Billed KWH</t>
  </si>
  <si>
    <t>9.</t>
  </si>
  <si>
    <t>New KWH Billed at Rate on L6 (L7 + L8)</t>
  </si>
  <si>
    <t>10.</t>
  </si>
  <si>
    <t>ES Charge (Credit) used to Compute L6 (L13D from prior month)</t>
  </si>
  <si>
    <t>11.</t>
  </si>
  <si>
    <t>ES Revenue (Refund) Resulting from L6 (net of billing adjustment)</t>
  </si>
  <si>
    <t>12.</t>
  </si>
  <si>
    <t>Total (Over) or Under Recovery (L10 - L11)</t>
  </si>
  <si>
    <t>13.</t>
  </si>
  <si>
    <t>Environmental Surcharge (Credit):</t>
  </si>
  <si>
    <t>A. Billed by Supplier</t>
  </si>
  <si>
    <t>B. (Over) or Under Recovery (L12)</t>
  </si>
  <si>
    <t>C. Unrecoverable - Schedule 2</t>
  </si>
  <si>
    <t>D. Recoverable ES Cost (L13 A + B - C)</t>
  </si>
  <si>
    <t>14.</t>
  </si>
  <si>
    <t>Number of KWH Purchased</t>
  </si>
  <si>
    <t>15.</t>
  </si>
  <si>
    <t>Supplier's ES: (L13A / L14)</t>
  </si>
  <si>
    <t>per kWh</t>
  </si>
  <si>
    <t>Line Loss</t>
  </si>
  <si>
    <t>16.</t>
  </si>
  <si>
    <t>17.</t>
  </si>
  <si>
    <t>18.</t>
  </si>
  <si>
    <t>Last 12 Months Actual</t>
  </si>
  <si>
    <t>Last Month Used to Compute L16</t>
  </si>
  <si>
    <t>Line Loss for Month on L17 (L5 / L1)</t>
  </si>
  <si>
    <t>Calculation of ES to Bill Consumers</t>
  </si>
  <si>
    <t>19.</t>
  </si>
  <si>
    <t>20.</t>
  </si>
  <si>
    <t>21.</t>
  </si>
  <si>
    <t>Sales as a % of Purchases (100% - L16)</t>
  </si>
  <si>
    <t>Recovery Rate (L13D / L14)</t>
  </si>
  <si>
    <t>Kenergy</t>
  </si>
  <si>
    <t>JPEC</t>
  </si>
  <si>
    <t>MCRECC</t>
  </si>
  <si>
    <t>Jul-12 kWh Sales:</t>
  </si>
  <si>
    <t>BR's Aug-12 Billing Factor</t>
  </si>
  <si>
    <t>Amt. Billed in Aug-12:</t>
  </si>
  <si>
    <t>Incl. in Filing w/</t>
  </si>
  <si>
    <t>Jul-12</t>
  </si>
  <si>
    <t>Non-Dedicated</t>
  </si>
  <si>
    <t>Dedicated</t>
  </si>
  <si>
    <t>Jul-12 kWh Sales</t>
  </si>
  <si>
    <t>Big Rivers' Service Month</t>
  </si>
  <si>
    <t>Month Billed by Big Rivers</t>
  </si>
  <si>
    <t>(g)</t>
  </si>
  <si>
    <t>(h)</t>
  </si>
  <si>
    <t>(i)</t>
  </si>
  <si>
    <t>(j)</t>
  </si>
  <si>
    <t>BIG RIVERS ELECTRIC CORPORATION</t>
  </si>
  <si>
    <t>JACKSON PURCHASE ENERGY CORPORATION (JPEC)</t>
  </si>
  <si>
    <t>NON-DEDICATED DELIVERY POINT CUSTOMERS</t>
  </si>
  <si>
    <t>KENERGY CORP.</t>
  </si>
  <si>
    <t>MEADE COUNTY RURAL ELECTRIC COOPERATIVE CORPORATION (MCRECC)</t>
  </si>
  <si>
    <t>Big Rivers'
Expense Month</t>
  </si>
  <si>
    <t>Big Rivers'
ES Factor Based on 
Expense Month</t>
  </si>
  <si>
    <t>Big Rivers' ES Factor Based on Expense Month</t>
  </si>
  <si>
    <t>DEDICATED DELIVERY POINT CUSTOMERS</t>
  </si>
  <si>
    <t>Month Billed
 by JPEC</t>
  </si>
  <si>
    <t>Month Billed
by Kenergy</t>
  </si>
  <si>
    <t>JPEC's Monthly (Over)/Under Recovery
[column (e) less column (g)]</t>
  </si>
  <si>
    <t>Kenergy's Monthly (Over)/Under Recovery
[column (e) less column (g)]</t>
  </si>
  <si>
    <t>Big Rivers'
Service Month</t>
  </si>
  <si>
    <t>Big Rivers' 
Invoice ES Amount 
for the Service Month</t>
  </si>
  <si>
    <t>JPEC's 
(Over)/Under Recovery 
[from (j)]</t>
  </si>
  <si>
    <t>Kenergy's (Over)/Under Recovery
[from (j)]</t>
  </si>
  <si>
    <t>MCRECC's (Over)/Under Recovery 
[from (j)]</t>
  </si>
  <si>
    <t>Month Billed 
by
Big Rivers</t>
  </si>
  <si>
    <t>Month Billed
 by
Big Rivers</t>
  </si>
  <si>
    <t>Month Billed
 by
 JPEC</t>
  </si>
  <si>
    <t>Month Billed
 by
 Kenergy</t>
  </si>
  <si>
    <t>Month Billed
 by 
MCRECC</t>
  </si>
  <si>
    <t>JPEC's Total Recoverable 
[(e) + (h)]</t>
  </si>
  <si>
    <t>JPEC's (Over)/Under Recovery 
[(i) for 3rd preceding month less (g) for current month)]</t>
  </si>
  <si>
    <t>Kenergy's Total Recoverable 
[(e) + (h)]</t>
  </si>
  <si>
    <t>Kenergy's (Over)/Under Recovery
[(i) for 2nd preceding month less (g) for current month]</t>
  </si>
  <si>
    <t>MCRECC's (Over)/Under Recovery 
[(i) for 1st preceding month less (g) for current month]</t>
  </si>
  <si>
    <t>MCRECC's Total Recoverable
[(e) + (h)]</t>
  </si>
  <si>
    <t>ES Amount
 Billed  to JPEC's Customers
(Line 11 per Filing)</t>
  </si>
  <si>
    <t>ES Amount 
Billed to Kenergy's Customers
(Line 11 per Filing)</t>
  </si>
  <si>
    <t>ES Amount 
Billed to MCRECC's Customers
 (Line 11 per Filing)</t>
  </si>
  <si>
    <t>ES Amount Billed
 to JPEC's Customers</t>
  </si>
  <si>
    <t>ES Amount Billed
to Kenergy's Customers</t>
  </si>
  <si>
    <t>Case No.:</t>
  </si>
  <si>
    <t>Two Months Subsequent</t>
  </si>
  <si>
    <t>Number of Months Covered by Review Period</t>
  </si>
  <si>
    <r>
      <t>Expense Months Covered by Review Period</t>
    </r>
    <r>
      <rPr>
        <b/>
        <sz val="10"/>
        <rFont val="Arial"/>
        <family val="2"/>
      </rPr>
      <t>:</t>
    </r>
  </si>
  <si>
    <t>First Expense Month of Review Period:</t>
  </si>
  <si>
    <t>Final Expense Month of Review Period:</t>
  </si>
  <si>
    <t>Ensure that final Expense Month below agrees to Order</t>
  </si>
  <si>
    <t>Big Rivers' Review Periods &amp; ES Factors:</t>
  </si>
  <si>
    <t>BREC Expense Month:</t>
  </si>
  <si>
    <t>BREC ES Factor:</t>
  </si>
  <si>
    <t>BREC Service Month:</t>
  </si>
  <si>
    <t>BREC Billing Month:</t>
  </si>
  <si>
    <r>
      <rPr>
        <b/>
        <u/>
        <sz val="10"/>
        <rFont val="Arial"/>
        <family val="2"/>
      </rPr>
      <t>Members' Review Periods for Pass-Through Mechanisms</t>
    </r>
    <r>
      <rPr>
        <b/>
        <sz val="10"/>
        <rFont val="Arial"/>
        <family val="2"/>
      </rPr>
      <t>:</t>
    </r>
  </si>
  <si>
    <t>Members' Filings: Expense Mo./ Disposition of Energy Mo.:</t>
  </si>
  <si>
    <t>Members' Dedicated Billing Month:</t>
  </si>
  <si>
    <t>Members' Non-Dedicated Billing Month:</t>
  </si>
  <si>
    <t>Big Rivers' 
Invoice + Kenergy (Schedule 43) Co-Gen ES Amount 
for the Service Month</t>
  </si>
  <si>
    <t>Item No. 2 (Attachment 6 of 6)</t>
  </si>
  <si>
    <t>Item No. 2 (Attachment 5 of 6)</t>
  </si>
  <si>
    <t>Item No. 2 (Attachment 4 of 6)</t>
  </si>
  <si>
    <t>Item No. 2 (Attachment 3 of 6)</t>
  </si>
  <si>
    <t>Item No. 2 (Attachment 2 of 6)</t>
  </si>
  <si>
    <t>Item No. 2 (Attachment 1 of 6)</t>
  </si>
  <si>
    <t>ES Amount Billed
to Meade County's Customers</t>
  </si>
  <si>
    <t>Meade County's Monthly (Over)/Under Recovery
[column (e) less column (g)]</t>
  </si>
  <si>
    <t>Month Billed
by Meade County</t>
  </si>
  <si>
    <t>Six-Month Environmental Surcharge Review (Case No. 2025-00052)</t>
  </si>
  <si>
    <t>2025-00052</t>
  </si>
  <si>
    <t>Response to Commission Staff's First Request for Information dated April 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</si>
</sst>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quot;$&quot;* #,##0_);_(&quot;$&quot;* \(#,##0\);_(&quot;$&quot;* &quot;-&quot;??_);_(@_)"/>
    <numFmt numFmtId="165" formatCode="&quot;$&quot;#,##0"/>
    <numFmt numFmtId="166" formatCode="[$-409]mmm\-yy;@"/>
    <numFmt numFmtId="167" formatCode="_(* #,##0_);_(* \(#,##0\);_(* &quot;-&quot;??_);_(@_)"/>
    <numFmt numFmtId="168" formatCode="_(&quot;$&quot;* #,##0.000000_);_(&quot;$&quot;* \(#,##0.000000\);_(&quot;$&quot;* &quot;-&quot;??_);_(@_)"/>
    <numFmt numFmtId="169" formatCode="_(* #,##0.000000_);_(* \(#,##0.000000\);_(* &quot;-&quot;??_);_(@_)"/>
    <numFmt numFmtId="170" formatCode="0.00000%"/>
    <numFmt numFmtId="171" formatCode="0.000000%"/>
  </numFmts>
  <fonts count="20" x14ac:knownFonts="1">
    <font>
      <sz val="10"/>
      <name val="Arial"/>
    </font>
    <font>
      <sz val="10"/>
      <name val="Arial"/>
      <family val="2"/>
    </font>
    <font>
      <sz val="8"/>
      <name val="Arial"/>
      <family val="2"/>
    </font>
    <font>
      <b/>
      <sz val="10"/>
      <name val="Arial"/>
      <family val="2"/>
    </font>
    <font>
      <sz val="10"/>
      <color rgb="FFFF0000"/>
      <name val="Arial"/>
      <family val="2"/>
    </font>
    <font>
      <b/>
      <sz val="10"/>
      <color rgb="FFFF0000"/>
      <name val="Arial"/>
      <family val="2"/>
    </font>
    <font>
      <i/>
      <sz val="10"/>
      <color rgb="FFFF0000"/>
      <name val="Arial"/>
      <family val="2"/>
    </font>
    <font>
      <b/>
      <i/>
      <sz val="10"/>
      <color rgb="FFFF0000"/>
      <name val="Arial"/>
      <family val="2"/>
    </font>
    <font>
      <sz val="10"/>
      <color rgb="FF0000CC"/>
      <name val="Arial"/>
      <family val="2"/>
    </font>
    <font>
      <sz val="11"/>
      <name val="Century Schoolbook"/>
      <family val="1"/>
    </font>
    <font>
      <sz val="10"/>
      <name val="Arial"/>
      <family val="2"/>
    </font>
    <font>
      <b/>
      <u/>
      <sz val="10"/>
      <name val="Arial"/>
      <family val="2"/>
    </font>
    <font>
      <i/>
      <sz val="10"/>
      <name val="Arial"/>
      <family val="2"/>
    </font>
    <font>
      <u/>
      <sz val="11"/>
      <name val="Century Schoolbook"/>
      <family val="1"/>
    </font>
    <font>
      <i/>
      <u/>
      <sz val="10"/>
      <name val="Arial"/>
      <family val="2"/>
    </font>
    <font>
      <sz val="9"/>
      <color indexed="81"/>
      <name val="Tahoma"/>
      <family val="2"/>
    </font>
    <font>
      <b/>
      <sz val="9"/>
      <color indexed="81"/>
      <name val="Tahoma"/>
      <family val="2"/>
    </font>
    <font>
      <b/>
      <sz val="10"/>
      <color rgb="FF0000CC"/>
      <name val="Arial"/>
      <family val="2"/>
    </font>
    <font>
      <b/>
      <sz val="12"/>
      <name val="Times New Roman"/>
      <family val="1"/>
    </font>
    <font>
      <sz val="12"/>
      <name val="Times New Roman"/>
      <family val="1"/>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mediumGray">
        <bgColor theme="0"/>
      </patternFill>
    </fill>
    <fill>
      <patternFill patternType="solid">
        <fgColor rgb="FFFFFFCC"/>
        <bgColor indexed="64"/>
      </patternFill>
    </fill>
    <fill>
      <patternFill patternType="mediumGray">
        <bgColor rgb="FFFFFFCC"/>
      </patternFill>
    </fill>
    <fill>
      <patternFill patternType="solid">
        <fgColor rgb="FFFF99FF"/>
        <bgColor indexed="64"/>
      </patternFill>
    </fill>
    <fill>
      <patternFill patternType="lightTrellis">
        <bgColor theme="0"/>
      </patternFill>
    </fill>
    <fill>
      <patternFill patternType="solid">
        <fgColor theme="2" tint="-0.249977111117893"/>
        <bgColor indexed="64"/>
      </patternFill>
    </fill>
    <fill>
      <patternFill patternType="solid">
        <fgColor theme="4" tint="0.59999389629810485"/>
        <bgColor indexed="64"/>
      </patternFill>
    </fill>
    <fill>
      <patternFill patternType="solid">
        <fgColor theme="6" tint="0.59999389629810485"/>
        <bgColor indexed="64"/>
      </patternFill>
    </fill>
  </fills>
  <borders count="24">
    <border>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45">
    <xf numFmtId="0" fontId="0" fillId="0" borderId="0" xfId="0"/>
    <xf numFmtId="0" fontId="3" fillId="2" borderId="0" xfId="0" applyFont="1" applyFill="1" applyAlignment="1">
      <alignment horizontal="left"/>
    </xf>
    <xf numFmtId="0" fontId="0" fillId="2" borderId="0" xfId="0" applyFill="1"/>
    <xf numFmtId="164" fontId="0" fillId="2" borderId="0" xfId="2" applyNumberFormat="1" applyFont="1" applyFill="1"/>
    <xf numFmtId="0" fontId="3" fillId="2" borderId="0" xfId="0" applyFont="1" applyFill="1" applyAlignment="1">
      <alignment horizontal="center" wrapText="1"/>
    </xf>
    <xf numFmtId="166" fontId="0" fillId="2" borderId="0" xfId="0" applyNumberFormat="1" applyFill="1" applyAlignment="1">
      <alignment horizontal="center"/>
    </xf>
    <xf numFmtId="166" fontId="0" fillId="2" borderId="0" xfId="0" applyNumberFormat="1" applyFill="1"/>
    <xf numFmtId="166" fontId="0" fillId="2" borderId="12" xfId="0" applyNumberFormat="1" applyFill="1" applyBorder="1" applyAlignment="1">
      <alignment horizontal="center"/>
    </xf>
    <xf numFmtId="164" fontId="0" fillId="2" borderId="12" xfId="2" applyNumberFormat="1" applyFont="1" applyFill="1" applyBorder="1"/>
    <xf numFmtId="164" fontId="6" fillId="2" borderId="0" xfId="2" applyNumberFormat="1" applyFont="1" applyFill="1"/>
    <xf numFmtId="164" fontId="6" fillId="2" borderId="12" xfId="2" applyNumberFormat="1" applyFont="1" applyFill="1" applyBorder="1"/>
    <xf numFmtId="0" fontId="5" fillId="2" borderId="0" xfId="0" applyFont="1" applyFill="1" applyAlignment="1">
      <alignment wrapText="1"/>
    </xf>
    <xf numFmtId="0" fontId="5" fillId="2" borderId="0" xfId="0" applyFont="1" applyFill="1" applyAlignment="1">
      <alignment horizontal="center" wrapText="1"/>
    </xf>
    <xf numFmtId="164" fontId="5" fillId="2" borderId="0" xfId="2" applyNumberFormat="1" applyFont="1" applyFill="1" applyAlignment="1">
      <alignment horizontal="center" wrapText="1"/>
    </xf>
    <xf numFmtId="164" fontId="7" fillId="2" borderId="0" xfId="2" applyNumberFormat="1" applyFont="1" applyFill="1" applyAlignment="1">
      <alignment horizontal="center" wrapText="1"/>
    </xf>
    <xf numFmtId="166" fontId="1" fillId="2" borderId="0" xfId="0" applyNumberFormat="1" applyFont="1" applyFill="1" applyAlignment="1">
      <alignment horizontal="left"/>
    </xf>
    <xf numFmtId="164" fontId="0" fillId="4" borderId="12" xfId="2" applyNumberFormat="1" applyFont="1" applyFill="1" applyBorder="1"/>
    <xf numFmtId="164" fontId="6" fillId="4" borderId="12" xfId="2" applyNumberFormat="1" applyFont="1" applyFill="1" applyBorder="1"/>
    <xf numFmtId="168" fontId="0" fillId="2" borderId="0" xfId="2" applyNumberFormat="1" applyFont="1" applyFill="1"/>
    <xf numFmtId="167" fontId="0" fillId="2" borderId="0" xfId="1" applyNumberFormat="1" applyFont="1" applyFill="1"/>
    <xf numFmtId="0" fontId="3" fillId="5" borderId="13" xfId="0" applyFont="1" applyFill="1" applyBorder="1" applyAlignment="1">
      <alignment horizontal="center" wrapText="1"/>
    </xf>
    <xf numFmtId="168" fontId="3" fillId="5" borderId="12" xfId="2" applyNumberFormat="1" applyFont="1" applyFill="1" applyBorder="1" applyAlignment="1">
      <alignment horizontal="center" wrapText="1"/>
    </xf>
    <xf numFmtId="167" fontId="3" fillId="5" borderId="12" xfId="1" applyNumberFormat="1" applyFont="1" applyFill="1" applyBorder="1" applyAlignment="1">
      <alignment horizontal="center" wrapText="1"/>
    </xf>
    <xf numFmtId="164" fontId="3" fillId="5" borderId="12" xfId="2" applyNumberFormat="1" applyFont="1" applyFill="1" applyBorder="1" applyAlignment="1">
      <alignment horizontal="center" wrapText="1"/>
    </xf>
    <xf numFmtId="0" fontId="3" fillId="5" borderId="12" xfId="0" applyFont="1" applyFill="1" applyBorder="1" applyAlignment="1">
      <alignment horizontal="center" wrapText="1"/>
    </xf>
    <xf numFmtId="166" fontId="0" fillId="5" borderId="9" xfId="0" applyNumberFormat="1" applyFill="1" applyBorder="1" applyAlignment="1">
      <alignment horizontal="center"/>
    </xf>
    <xf numFmtId="166" fontId="0" fillId="5" borderId="0" xfId="0" applyNumberFormat="1" applyFill="1" applyBorder="1" applyAlignment="1">
      <alignment horizontal="center"/>
    </xf>
    <xf numFmtId="164" fontId="0" fillId="5" borderId="7" xfId="2" applyNumberFormat="1" applyFont="1" applyFill="1" applyBorder="1"/>
    <xf numFmtId="164" fontId="4" fillId="5" borderId="7" xfId="0" applyNumberFormat="1" applyFont="1" applyFill="1" applyBorder="1"/>
    <xf numFmtId="166" fontId="0" fillId="5" borderId="2" xfId="0" applyNumberFormat="1" applyFill="1" applyBorder="1" applyAlignment="1">
      <alignment horizontal="center"/>
    </xf>
    <xf numFmtId="166" fontId="0" fillId="5" borderId="3" xfId="0" applyNumberFormat="1" applyFill="1" applyBorder="1" applyAlignment="1">
      <alignment horizontal="center"/>
    </xf>
    <xf numFmtId="164" fontId="0" fillId="5" borderId="8" xfId="2" applyNumberFormat="1" applyFont="1" applyFill="1" applyBorder="1"/>
    <xf numFmtId="164" fontId="4" fillId="5" borderId="8" xfId="0" applyNumberFormat="1" applyFont="1" applyFill="1" applyBorder="1"/>
    <xf numFmtId="166" fontId="0" fillId="6" borderId="9" xfId="0" applyNumberFormat="1" applyFill="1" applyBorder="1" applyAlignment="1">
      <alignment horizontal="center"/>
    </xf>
    <xf numFmtId="168" fontId="0" fillId="6" borderId="7" xfId="2" applyNumberFormat="1" applyFont="1" applyFill="1" applyBorder="1"/>
    <xf numFmtId="166" fontId="0" fillId="6" borderId="0" xfId="0" applyNumberFormat="1" applyFill="1" applyBorder="1" applyAlignment="1">
      <alignment horizontal="center"/>
    </xf>
    <xf numFmtId="167" fontId="0" fillId="6" borderId="7" xfId="1" applyNumberFormat="1" applyFont="1" applyFill="1" applyBorder="1"/>
    <xf numFmtId="164" fontId="0" fillId="6" borderId="6" xfId="2" applyNumberFormat="1" applyFont="1" applyFill="1" applyBorder="1"/>
    <xf numFmtId="0" fontId="0" fillId="6" borderId="6" xfId="0" applyFill="1" applyBorder="1"/>
    <xf numFmtId="164" fontId="0" fillId="6" borderId="7" xfId="2" applyNumberFormat="1" applyFont="1" applyFill="1" applyBorder="1"/>
    <xf numFmtId="0" fontId="0" fillId="6" borderId="7" xfId="0" applyFill="1" applyBorder="1"/>
    <xf numFmtId="167" fontId="6" fillId="2" borderId="0" xfId="1" applyNumberFormat="1" applyFont="1" applyFill="1"/>
    <xf numFmtId="0" fontId="6" fillId="2" borderId="0" xfId="0" applyFont="1" applyFill="1"/>
    <xf numFmtId="0" fontId="3" fillId="3" borderId="12" xfId="2" applyNumberFormat="1" applyFont="1" applyFill="1" applyBorder="1" applyAlignment="1">
      <alignment horizontal="center" wrapText="1"/>
    </xf>
    <xf numFmtId="0" fontId="4" fillId="2" borderId="0" xfId="0" quotePrefix="1" applyFont="1" applyFill="1" applyAlignment="1">
      <alignment horizontal="right"/>
    </xf>
    <xf numFmtId="0" fontId="5" fillId="2" borderId="0" xfId="0" quotePrefix="1" applyFont="1" applyFill="1" applyAlignment="1">
      <alignment horizontal="right"/>
    </xf>
    <xf numFmtId="0" fontId="3" fillId="3" borderId="12" xfId="0" applyNumberFormat="1" applyFont="1" applyFill="1" applyBorder="1" applyAlignment="1">
      <alignment horizontal="center" wrapText="1"/>
    </xf>
    <xf numFmtId="0" fontId="7" fillId="3" borderId="12" xfId="2" applyNumberFormat="1" applyFont="1" applyFill="1" applyBorder="1" applyAlignment="1">
      <alignment horizontal="center" wrapText="1"/>
    </xf>
    <xf numFmtId="166" fontId="0" fillId="7" borderId="12" xfId="0" applyNumberFormat="1" applyFill="1" applyBorder="1" applyAlignment="1">
      <alignment horizontal="center"/>
    </xf>
    <xf numFmtId="168" fontId="8" fillId="5" borderId="7" xfId="2" applyNumberFormat="1" applyFont="1" applyFill="1" applyBorder="1"/>
    <xf numFmtId="168" fontId="8" fillId="5" borderId="8" xfId="2" applyNumberFormat="1" applyFont="1" applyFill="1" applyBorder="1"/>
    <xf numFmtId="167" fontId="8" fillId="5" borderId="7" xfId="1" applyNumberFormat="1" applyFont="1" applyFill="1" applyBorder="1"/>
    <xf numFmtId="167" fontId="8" fillId="5" borderId="8" xfId="1" applyNumberFormat="1" applyFont="1" applyFill="1" applyBorder="1"/>
    <xf numFmtId="0" fontId="9" fillId="2" borderId="0" xfId="0" applyFont="1" applyFill="1"/>
    <xf numFmtId="0" fontId="3" fillId="2" borderId="0" xfId="0" applyFont="1" applyFill="1"/>
    <xf numFmtId="49" fontId="0" fillId="2" borderId="0" xfId="0" applyNumberFormat="1" applyFill="1"/>
    <xf numFmtId="49" fontId="1" fillId="2" borderId="0" xfId="0" applyNumberFormat="1" applyFont="1" applyFill="1"/>
    <xf numFmtId="0" fontId="11" fillId="2" borderId="0" xfId="0" applyFont="1" applyFill="1"/>
    <xf numFmtId="43" fontId="0" fillId="2" borderId="0" xfId="1" applyFont="1" applyFill="1"/>
    <xf numFmtId="167" fontId="8" fillId="5" borderId="14" xfId="1" applyNumberFormat="1" applyFont="1" applyFill="1" applyBorder="1"/>
    <xf numFmtId="0" fontId="1" fillId="2" borderId="0" xfId="0" applyFont="1" applyFill="1"/>
    <xf numFmtId="49" fontId="3" fillId="2" borderId="0" xfId="0" applyNumberFormat="1" applyFont="1" applyFill="1"/>
    <xf numFmtId="167" fontId="3" fillId="2" borderId="0" xfId="1" applyNumberFormat="1" applyFont="1" applyFill="1"/>
    <xf numFmtId="167" fontId="8" fillId="5" borderId="15" xfId="1" applyNumberFormat="1" applyFont="1" applyFill="1" applyBorder="1"/>
    <xf numFmtId="167" fontId="0" fillId="2" borderId="3" xfId="1" applyNumberFormat="1" applyFont="1" applyFill="1" applyBorder="1"/>
    <xf numFmtId="0" fontId="1" fillId="2" borderId="3" xfId="0" applyFont="1" applyFill="1" applyBorder="1"/>
    <xf numFmtId="0" fontId="0" fillId="2" borderId="3" xfId="0" applyFill="1" applyBorder="1"/>
    <xf numFmtId="44" fontId="8" fillId="5" borderId="14" xfId="2" applyFont="1" applyFill="1" applyBorder="1"/>
    <xf numFmtId="168" fontId="8" fillId="5" borderId="14" xfId="2" applyNumberFormat="1" applyFont="1" applyFill="1" applyBorder="1"/>
    <xf numFmtId="167" fontId="8" fillId="5" borderId="19" xfId="1" applyNumberFormat="1" applyFont="1" applyFill="1" applyBorder="1"/>
    <xf numFmtId="167" fontId="0" fillId="2" borderId="18" xfId="1" applyNumberFormat="1" applyFont="1" applyFill="1" applyBorder="1"/>
    <xf numFmtId="44" fontId="0" fillId="2" borderId="0" xfId="2" applyFont="1" applyFill="1"/>
    <xf numFmtId="43" fontId="3" fillId="2" borderId="0" xfId="1" applyFont="1" applyFill="1"/>
    <xf numFmtId="43" fontId="0" fillId="2" borderId="0" xfId="1" applyNumberFormat="1" applyFont="1" applyFill="1"/>
    <xf numFmtId="44" fontId="12" fillId="2" borderId="0" xfId="2" applyFont="1" applyFill="1"/>
    <xf numFmtId="44" fontId="3" fillId="2" borderId="20" xfId="2" applyFont="1" applyFill="1" applyBorder="1"/>
    <xf numFmtId="44" fontId="8" fillId="5" borderId="15" xfId="2" applyFont="1" applyFill="1" applyBorder="1"/>
    <xf numFmtId="44" fontId="3" fillId="2" borderId="0" xfId="2" applyFont="1" applyFill="1"/>
    <xf numFmtId="168" fontId="0" fillId="2" borderId="20" xfId="2" applyNumberFormat="1" applyFont="1" applyFill="1" applyBorder="1"/>
    <xf numFmtId="43" fontId="0" fillId="2" borderId="3" xfId="1" applyFont="1" applyFill="1" applyBorder="1"/>
    <xf numFmtId="171" fontId="8" fillId="5" borderId="14" xfId="3" applyNumberFormat="1" applyFont="1" applyFill="1" applyBorder="1"/>
    <xf numFmtId="170" fontId="0" fillId="2" borderId="0" xfId="3" applyNumberFormat="1" applyFont="1" applyFill="1"/>
    <xf numFmtId="171" fontId="0" fillId="2" borderId="0" xfId="1" applyNumberFormat="1" applyFont="1" applyFill="1"/>
    <xf numFmtId="168" fontId="3" fillId="2" borderId="0" xfId="2" applyNumberFormat="1" applyFont="1" applyFill="1"/>
    <xf numFmtId="49" fontId="1" fillId="2" borderId="3" xfId="0" applyNumberFormat="1" applyFont="1" applyFill="1" applyBorder="1"/>
    <xf numFmtId="168" fontId="0" fillId="2" borderId="3" xfId="2" applyNumberFormat="1" applyFont="1" applyFill="1" applyBorder="1"/>
    <xf numFmtId="43" fontId="0" fillId="2" borderId="0" xfId="0" applyNumberFormat="1" applyFill="1"/>
    <xf numFmtId="0" fontId="9" fillId="9" borderId="10" xfId="0" applyFont="1" applyFill="1" applyBorder="1"/>
    <xf numFmtId="0" fontId="13" fillId="9" borderId="11" xfId="0" applyFont="1" applyFill="1" applyBorder="1" applyAlignment="1">
      <alignment horizontal="center"/>
    </xf>
    <xf numFmtId="0" fontId="13" fillId="9" borderId="1" xfId="0" applyFont="1" applyFill="1" applyBorder="1" applyAlignment="1">
      <alignment horizontal="center"/>
    </xf>
    <xf numFmtId="0" fontId="9" fillId="9" borderId="9" xfId="0" applyFont="1" applyFill="1" applyBorder="1" applyAlignment="1">
      <alignment horizontal="left"/>
    </xf>
    <xf numFmtId="168" fontId="9" fillId="9" borderId="0" xfId="2" applyNumberFormat="1" applyFont="1" applyFill="1" applyBorder="1"/>
    <xf numFmtId="168" fontId="9" fillId="9" borderId="5" xfId="2" applyNumberFormat="1" applyFont="1" applyFill="1" applyBorder="1"/>
    <xf numFmtId="0" fontId="9" fillId="9" borderId="9" xfId="0" applyFont="1" applyFill="1" applyBorder="1"/>
    <xf numFmtId="167" fontId="9" fillId="9" borderId="0" xfId="1" applyNumberFormat="1" applyFont="1" applyFill="1" applyBorder="1"/>
    <xf numFmtId="167" fontId="9" fillId="9" borderId="5" xfId="1" applyNumberFormat="1" applyFont="1" applyFill="1" applyBorder="1"/>
    <xf numFmtId="44" fontId="9" fillId="9" borderId="0" xfId="2" applyFont="1" applyFill="1" applyBorder="1"/>
    <xf numFmtId="44" fontId="9" fillId="9" borderId="5" xfId="2" applyFont="1" applyFill="1" applyBorder="1"/>
    <xf numFmtId="0" fontId="9" fillId="9" borderId="0" xfId="0" quotePrefix="1" applyFont="1" applyFill="1" applyBorder="1" applyAlignment="1">
      <alignment horizontal="center"/>
    </xf>
    <xf numFmtId="16" fontId="9" fillId="9" borderId="0" xfId="0" quotePrefix="1" applyNumberFormat="1" applyFont="1" applyFill="1" applyBorder="1" applyAlignment="1">
      <alignment horizontal="center"/>
    </xf>
    <xf numFmtId="0" fontId="9" fillId="9" borderId="5" xfId="0" quotePrefix="1" applyFont="1" applyFill="1" applyBorder="1" applyAlignment="1">
      <alignment horizontal="center"/>
    </xf>
    <xf numFmtId="0" fontId="9" fillId="9" borderId="0" xfId="0" applyFont="1" applyFill="1" applyBorder="1"/>
    <xf numFmtId="0" fontId="9" fillId="9" borderId="5" xfId="0" applyFont="1" applyFill="1" applyBorder="1"/>
    <xf numFmtId="164" fontId="9" fillId="9" borderId="0" xfId="0" applyNumberFormat="1" applyFont="1" applyFill="1" applyBorder="1"/>
    <xf numFmtId="0" fontId="0" fillId="9" borderId="2" xfId="0" applyFill="1" applyBorder="1"/>
    <xf numFmtId="0" fontId="0" fillId="9" borderId="3" xfId="0" applyFill="1" applyBorder="1"/>
    <xf numFmtId="0" fontId="0" fillId="9" borderId="4" xfId="0" applyFill="1" applyBorder="1"/>
    <xf numFmtId="0" fontId="19" fillId="2" borderId="0" xfId="0" applyFont="1" applyFill="1"/>
    <xf numFmtId="0" fontId="19" fillId="2" borderId="0" xfId="0" applyFont="1" applyFill="1" applyAlignment="1">
      <alignment horizontal="center"/>
    </xf>
    <xf numFmtId="44" fontId="19" fillId="2" borderId="0" xfId="2" applyFont="1" applyFill="1"/>
    <xf numFmtId="167" fontId="19" fillId="2" borderId="0" xfId="1" applyNumberFormat="1" applyFont="1" applyFill="1"/>
    <xf numFmtId="166" fontId="19" fillId="2" borderId="0" xfId="0" applyNumberFormat="1" applyFont="1" applyFill="1" applyBorder="1"/>
    <xf numFmtId="164" fontId="19" fillId="2" borderId="0" xfId="2" applyNumberFormat="1" applyFont="1" applyFill="1" applyBorder="1"/>
    <xf numFmtId="166" fontId="19" fillId="2" borderId="0" xfId="0" quotePrefix="1" applyNumberFormat="1" applyFont="1" applyFill="1" applyAlignment="1">
      <alignment horizontal="center"/>
    </xf>
    <xf numFmtId="164" fontId="19" fillId="2" borderId="0" xfId="2" quotePrefix="1" applyNumberFormat="1" applyFont="1" applyFill="1" applyAlignment="1">
      <alignment horizontal="center"/>
    </xf>
    <xf numFmtId="164" fontId="19" fillId="2" borderId="0" xfId="2" applyNumberFormat="1" applyFont="1" applyFill="1"/>
    <xf numFmtId="164" fontId="19" fillId="2" borderId="7" xfId="2" applyNumberFormat="1" applyFont="1" applyFill="1" applyBorder="1"/>
    <xf numFmtId="166" fontId="19" fillId="2" borderId="7" xfId="0" quotePrefix="1" applyNumberFormat="1" applyFont="1" applyFill="1" applyBorder="1" applyAlignment="1">
      <alignment horizontal="center"/>
    </xf>
    <xf numFmtId="164" fontId="19" fillId="8" borderId="7" xfId="2" applyNumberFormat="1" applyFont="1" applyFill="1" applyBorder="1"/>
    <xf numFmtId="164" fontId="19" fillId="2" borderId="7" xfId="2" applyNumberFormat="1" applyFont="1" applyFill="1" applyBorder="1" applyAlignment="1">
      <alignment horizontal="right"/>
    </xf>
    <xf numFmtId="0" fontId="19" fillId="2" borderId="0" xfId="0" applyFont="1" applyFill="1" applyBorder="1"/>
    <xf numFmtId="44" fontId="19" fillId="2" borderId="7" xfId="2" applyFont="1" applyFill="1" applyBorder="1"/>
    <xf numFmtId="44" fontId="19" fillId="2" borderId="7" xfId="2" applyNumberFormat="1" applyFont="1" applyFill="1" applyBorder="1" applyAlignment="1">
      <alignment horizontal="right"/>
    </xf>
    <xf numFmtId="44" fontId="19" fillId="2" borderId="7" xfId="2" applyFont="1" applyFill="1" applyBorder="1" applyAlignment="1">
      <alignment horizontal="right"/>
    </xf>
    <xf numFmtId="166" fontId="19" fillId="2" borderId="8" xfId="0" quotePrefix="1" applyNumberFormat="1" applyFont="1" applyFill="1" applyBorder="1" applyAlignment="1">
      <alignment horizontal="center"/>
    </xf>
    <xf numFmtId="44" fontId="19" fillId="2" borderId="8" xfId="2" applyFont="1" applyFill="1" applyBorder="1"/>
    <xf numFmtId="166" fontId="19" fillId="2" borderId="0" xfId="0" applyNumberFormat="1" applyFont="1" applyFill="1"/>
    <xf numFmtId="169" fontId="19" fillId="2" borderId="0" xfId="1" applyNumberFormat="1" applyFont="1" applyFill="1"/>
    <xf numFmtId="43" fontId="19" fillId="2" borderId="0" xfId="1" applyFont="1" applyFill="1"/>
    <xf numFmtId="165" fontId="19" fillId="2" borderId="0" xfId="0" applyNumberFormat="1" applyFont="1" applyFill="1" applyBorder="1"/>
    <xf numFmtId="166" fontId="19" fillId="2" borderId="0" xfId="0" quotePrefix="1" applyNumberFormat="1" applyFont="1" applyFill="1" applyBorder="1" applyAlignment="1">
      <alignment horizontal="center"/>
    </xf>
    <xf numFmtId="166" fontId="19" fillId="2" borderId="7" xfId="0" applyNumberFormat="1" applyFont="1" applyFill="1" applyBorder="1" applyAlignment="1">
      <alignment horizontal="center"/>
    </xf>
    <xf numFmtId="166" fontId="19" fillId="2" borderId="8" xfId="0" applyNumberFormat="1" applyFont="1" applyFill="1" applyBorder="1" applyAlignment="1">
      <alignment horizontal="center"/>
    </xf>
    <xf numFmtId="167" fontId="19" fillId="2" borderId="0" xfId="1" applyNumberFormat="1" applyFont="1" applyFill="1" applyBorder="1"/>
    <xf numFmtId="166" fontId="19" fillId="2" borderId="0" xfId="0" applyNumberFormat="1" applyFont="1" applyFill="1" applyBorder="1" applyAlignment="1"/>
    <xf numFmtId="0" fontId="19" fillId="2" borderId="0" xfId="0" applyFont="1" applyFill="1" applyBorder="1" applyAlignment="1"/>
    <xf numFmtId="164" fontId="19" fillId="2" borderId="0" xfId="2" quotePrefix="1" applyNumberFormat="1" applyFont="1" applyFill="1" applyBorder="1" applyAlignment="1">
      <alignment horizontal="center"/>
    </xf>
    <xf numFmtId="0" fontId="19" fillId="2" borderId="0" xfId="0" applyFont="1" applyFill="1" applyBorder="1" applyAlignment="1">
      <alignment horizontal="center"/>
    </xf>
    <xf numFmtId="171" fontId="19" fillId="2" borderId="0" xfId="3" applyNumberFormat="1" applyFont="1" applyFill="1" applyAlignment="1">
      <alignment horizontal="center"/>
    </xf>
    <xf numFmtId="166" fontId="19" fillId="2" borderId="5" xfId="0" quotePrefix="1" applyNumberFormat="1" applyFont="1" applyFill="1" applyBorder="1" applyAlignment="1">
      <alignment horizontal="center"/>
    </xf>
    <xf numFmtId="171" fontId="19" fillId="2" borderId="7" xfId="3" applyNumberFormat="1" applyFont="1" applyFill="1" applyBorder="1" applyAlignment="1">
      <alignment horizontal="center"/>
    </xf>
    <xf numFmtId="171" fontId="19" fillId="2" borderId="8" xfId="3" applyNumberFormat="1" applyFont="1" applyFill="1" applyBorder="1" applyAlignment="1">
      <alignment horizontal="center"/>
    </xf>
    <xf numFmtId="164" fontId="19" fillId="2" borderId="0" xfId="0" applyNumberFormat="1" applyFont="1" applyFill="1"/>
    <xf numFmtId="164" fontId="19" fillId="2" borderId="0" xfId="0" applyNumberFormat="1" applyFont="1" applyFill="1" applyBorder="1"/>
    <xf numFmtId="0" fontId="18" fillId="2" borderId="0" xfId="0" applyFont="1" applyFill="1" applyAlignment="1">
      <alignment horizontal="center"/>
    </xf>
    <xf numFmtId="0" fontId="1" fillId="2" borderId="0" xfId="0" applyFont="1" applyFill="1" applyAlignment="1"/>
    <xf numFmtId="0" fontId="19" fillId="2" borderId="0" xfId="0" applyFont="1" applyFill="1" applyAlignment="1"/>
    <xf numFmtId="44" fontId="19" fillId="2" borderId="0" xfId="0" applyNumberFormat="1" applyFont="1" applyFill="1" applyBorder="1"/>
    <xf numFmtId="171" fontId="19" fillId="2" borderId="0" xfId="3" applyNumberFormat="1" applyFont="1" applyFill="1" applyBorder="1" applyAlignment="1">
      <alignment horizontal="center"/>
    </xf>
    <xf numFmtId="44" fontId="19" fillId="2" borderId="0" xfId="2" applyFont="1" applyFill="1" applyBorder="1"/>
    <xf numFmtId="44" fontId="19" fillId="2" borderId="0" xfId="2" applyFont="1" applyFill="1" applyBorder="1" applyAlignment="1">
      <alignment horizontal="right"/>
    </xf>
    <xf numFmtId="171" fontId="8" fillId="5" borderId="22" xfId="6" applyNumberFormat="1" applyFont="1" applyFill="1" applyBorder="1" applyAlignment="1">
      <alignment horizontal="center"/>
    </xf>
    <xf numFmtId="171" fontId="8" fillId="5" borderId="14" xfId="6" applyNumberFormat="1" applyFont="1" applyFill="1" applyBorder="1" applyAlignment="1">
      <alignment horizontal="center"/>
    </xf>
    <xf numFmtId="171" fontId="8" fillId="5" borderId="23" xfId="6" applyNumberFormat="1" applyFont="1" applyFill="1" applyBorder="1" applyAlignment="1">
      <alignment horizontal="center"/>
    </xf>
    <xf numFmtId="0" fontId="19" fillId="8" borderId="7" xfId="0" applyFont="1" applyFill="1" applyBorder="1" applyAlignment="1">
      <alignment horizontal="center"/>
    </xf>
    <xf numFmtId="171" fontId="19" fillId="8" borderId="7" xfId="3" applyNumberFormat="1" applyFont="1" applyFill="1" applyBorder="1" applyAlignment="1">
      <alignment horizontal="center"/>
    </xf>
    <xf numFmtId="166" fontId="19" fillId="8" borderId="7" xfId="0" applyNumberFormat="1" applyFont="1" applyFill="1" applyBorder="1" applyAlignment="1">
      <alignment horizontal="center"/>
    </xf>
    <xf numFmtId="0" fontId="19" fillId="2" borderId="2" xfId="0" applyFont="1" applyFill="1" applyBorder="1" applyAlignment="1">
      <alignment horizontal="center"/>
    </xf>
    <xf numFmtId="166" fontId="19" fillId="2" borderId="8" xfId="0" applyNumberFormat="1" applyFont="1" applyFill="1" applyBorder="1"/>
    <xf numFmtId="164" fontId="19" fillId="2" borderId="8" xfId="2" applyNumberFormat="1" applyFont="1" applyFill="1" applyBorder="1"/>
    <xf numFmtId="0" fontId="19" fillId="2" borderId="8" xfId="0" applyFont="1" applyFill="1" applyBorder="1" applyAlignment="1">
      <alignment horizontal="center"/>
    </xf>
    <xf numFmtId="166" fontId="19" fillId="2" borderId="8" xfId="0" applyNumberFormat="1" applyFont="1" applyFill="1" applyBorder="1" applyAlignment="1"/>
    <xf numFmtId="0" fontId="19" fillId="2" borderId="8" xfId="0" applyFont="1" applyFill="1" applyBorder="1" applyAlignment="1"/>
    <xf numFmtId="166" fontId="19" fillId="8" borderId="7" xfId="0" quotePrefix="1" applyNumberFormat="1" applyFont="1" applyFill="1" applyBorder="1" applyAlignment="1">
      <alignment horizontal="center"/>
    </xf>
    <xf numFmtId="0" fontId="19" fillId="2" borderId="8" xfId="0" applyFont="1" applyFill="1" applyBorder="1"/>
    <xf numFmtId="44" fontId="0" fillId="2" borderId="0" xfId="2" applyFont="1" applyFill="1" applyAlignment="1">
      <alignment horizontal="center"/>
    </xf>
    <xf numFmtId="167" fontId="0" fillId="2" borderId="0" xfId="1" applyNumberFormat="1" applyFont="1" applyFill="1" applyAlignment="1">
      <alignment horizontal="center"/>
    </xf>
    <xf numFmtId="171" fontId="8" fillId="5" borderId="17" xfId="6" applyNumberFormat="1" applyFont="1" applyFill="1" applyBorder="1" applyAlignment="1">
      <alignment horizontal="center"/>
    </xf>
    <xf numFmtId="167" fontId="17" fillId="5" borderId="14" xfId="1" applyNumberFormat="1" applyFont="1" applyFill="1" applyBorder="1" applyAlignment="1">
      <alignment horizontal="center"/>
    </xf>
    <xf numFmtId="0" fontId="3" fillId="2" borderId="0" xfId="4" applyFont="1" applyFill="1" applyAlignment="1">
      <alignment horizontal="left"/>
    </xf>
    <xf numFmtId="0" fontId="1" fillId="2" borderId="0" xfId="4" applyFill="1"/>
    <xf numFmtId="166" fontId="17" fillId="5" borderId="14" xfId="4" applyNumberFormat="1" applyFont="1" applyFill="1" applyBorder="1" applyAlignment="1">
      <alignment horizontal="center"/>
    </xf>
    <xf numFmtId="0" fontId="1" fillId="2" borderId="0" xfId="4" applyFont="1" applyFill="1" applyAlignment="1">
      <alignment horizontal="left" indent="1"/>
    </xf>
    <xf numFmtId="0" fontId="1" fillId="2" borderId="0" xfId="4" applyFont="1" applyFill="1" applyAlignment="1">
      <alignment horizontal="right"/>
    </xf>
    <xf numFmtId="0" fontId="11" fillId="2" borderId="0" xfId="4" applyFont="1" applyFill="1"/>
    <xf numFmtId="0" fontId="1" fillId="2" borderId="0" xfId="4" applyFont="1" applyFill="1"/>
    <xf numFmtId="0" fontId="1" fillId="2" borderId="0" xfId="4" applyFont="1" applyFill="1" applyAlignment="1">
      <alignment horizontal="left"/>
    </xf>
    <xf numFmtId="166" fontId="3" fillId="2" borderId="14" xfId="4" applyNumberFormat="1" applyFont="1" applyFill="1" applyBorder="1" applyAlignment="1">
      <alignment horizontal="center"/>
    </xf>
    <xf numFmtId="0" fontId="12" fillId="2" borderId="0" xfId="4" applyFont="1" applyFill="1"/>
    <xf numFmtId="0" fontId="3" fillId="10" borderId="10" xfId="4" applyFont="1" applyFill="1" applyBorder="1"/>
    <xf numFmtId="0" fontId="3" fillId="10" borderId="13" xfId="4" applyFont="1" applyFill="1" applyBorder="1" applyAlignment="1">
      <alignment horizontal="center"/>
    </xf>
    <xf numFmtId="0" fontId="1" fillId="10" borderId="21" xfId="4" applyFill="1" applyBorder="1" applyAlignment="1">
      <alignment horizontal="center"/>
    </xf>
    <xf numFmtId="0" fontId="3" fillId="2" borderId="6" xfId="4" applyFont="1" applyFill="1" applyBorder="1"/>
    <xf numFmtId="166" fontId="3" fillId="2" borderId="0" xfId="4" applyNumberFormat="1" applyFont="1" applyFill="1" applyBorder="1" applyAlignment="1">
      <alignment horizontal="center"/>
    </xf>
    <xf numFmtId="166" fontId="3" fillId="2" borderId="5" xfId="4" applyNumberFormat="1" applyFont="1" applyFill="1" applyBorder="1" applyAlignment="1">
      <alignment horizontal="center"/>
    </xf>
    <xf numFmtId="166" fontId="3" fillId="2" borderId="1" xfId="4" applyNumberFormat="1" applyFont="1" applyFill="1" applyBorder="1" applyAlignment="1">
      <alignment horizontal="center"/>
    </xf>
    <xf numFmtId="0" fontId="3" fillId="2" borderId="0" xfId="4" applyFont="1" applyFill="1"/>
    <xf numFmtId="0" fontId="3" fillId="2" borderId="7" xfId="4" applyFont="1" applyFill="1" applyBorder="1"/>
    <xf numFmtId="166" fontId="3" fillId="2" borderId="9" xfId="4" applyNumberFormat="1" applyFont="1" applyFill="1" applyBorder="1" applyAlignment="1">
      <alignment horizontal="center"/>
    </xf>
    <xf numFmtId="0" fontId="3" fillId="2" borderId="8" xfId="4" applyFont="1" applyFill="1" applyBorder="1"/>
    <xf numFmtId="166" fontId="3" fillId="2" borderId="3" xfId="4" applyNumberFormat="1" applyFont="1" applyFill="1" applyBorder="1" applyAlignment="1">
      <alignment horizontal="center"/>
    </xf>
    <xf numFmtId="166" fontId="3" fillId="2" borderId="4" xfId="4" applyNumberFormat="1" applyFont="1" applyFill="1" applyBorder="1" applyAlignment="1">
      <alignment horizontal="center"/>
    </xf>
    <xf numFmtId="166" fontId="3" fillId="2" borderId="2" xfId="4" applyNumberFormat="1" applyFont="1" applyFill="1" applyBorder="1" applyAlignment="1">
      <alignment horizontal="center"/>
    </xf>
    <xf numFmtId="0" fontId="1" fillId="2" borderId="0" xfId="4" applyFill="1" applyBorder="1"/>
    <xf numFmtId="0" fontId="3" fillId="11" borderId="10" xfId="4" applyFont="1" applyFill="1" applyBorder="1"/>
    <xf numFmtId="0" fontId="3" fillId="11" borderId="10" xfId="4" applyFont="1" applyFill="1" applyBorder="1" applyAlignment="1">
      <alignment horizontal="center"/>
    </xf>
    <xf numFmtId="0" fontId="1" fillId="11" borderId="11" xfId="4" applyFill="1" applyBorder="1" applyAlignment="1">
      <alignment horizontal="center"/>
    </xf>
    <xf numFmtId="166" fontId="3" fillId="2" borderId="11" xfId="4" applyNumberFormat="1" applyFont="1" applyFill="1" applyBorder="1" applyAlignment="1">
      <alignment horizontal="center"/>
    </xf>
    <xf numFmtId="0" fontId="1" fillId="2" borderId="7" xfId="4" applyFill="1" applyBorder="1"/>
    <xf numFmtId="166" fontId="1" fillId="2" borderId="0" xfId="4" applyNumberFormat="1" applyFill="1" applyBorder="1" applyAlignment="1">
      <alignment horizontal="center"/>
    </xf>
    <xf numFmtId="0" fontId="1" fillId="2" borderId="5" xfId="4" applyFill="1" applyBorder="1"/>
    <xf numFmtId="0" fontId="1" fillId="2" borderId="8" xfId="4" applyFill="1" applyBorder="1"/>
    <xf numFmtId="166" fontId="1" fillId="2" borderId="3" xfId="4" applyNumberFormat="1" applyFill="1" applyBorder="1" applyAlignment="1">
      <alignment horizontal="center"/>
    </xf>
    <xf numFmtId="0" fontId="1" fillId="2" borderId="4" xfId="4" applyFill="1" applyBorder="1"/>
    <xf numFmtId="166" fontId="1" fillId="2" borderId="0" xfId="4" applyNumberFormat="1" applyFill="1" applyAlignment="1">
      <alignment horizontal="center"/>
    </xf>
    <xf numFmtId="43" fontId="19" fillId="2" borderId="0" xfId="1" applyFont="1" applyFill="1" applyBorder="1"/>
    <xf numFmtId="44" fontId="19" fillId="8" borderId="7" xfId="2" applyFont="1" applyFill="1" applyBorder="1"/>
    <xf numFmtId="171" fontId="8" fillId="5" borderId="16" xfId="6" applyNumberFormat="1" applyFont="1" applyFill="1" applyBorder="1" applyAlignment="1">
      <alignment horizontal="center"/>
    </xf>
    <xf numFmtId="0" fontId="1" fillId="2" borderId="9" xfId="4" applyFill="1" applyBorder="1"/>
    <xf numFmtId="0" fontId="1" fillId="2" borderId="2" xfId="4" applyFill="1" applyBorder="1"/>
    <xf numFmtId="0" fontId="0" fillId="0" borderId="0" xfId="0" applyAlignment="1">
      <alignment wrapText="1"/>
    </xf>
    <xf numFmtId="0" fontId="19" fillId="2" borderId="12" xfId="0" applyFont="1" applyFill="1" applyBorder="1" applyAlignment="1">
      <alignment horizontal="center" wrapText="1"/>
    </xf>
    <xf numFmtId="0" fontId="1" fillId="2" borderId="12" xfId="0" applyFont="1" applyFill="1" applyBorder="1" applyAlignment="1">
      <alignment horizontal="center" wrapText="1"/>
    </xf>
    <xf numFmtId="0" fontId="18" fillId="2" borderId="0" xfId="0" applyFont="1" applyFill="1" applyAlignment="1">
      <alignment horizontal="center" wrapText="1"/>
    </xf>
    <xf numFmtId="0" fontId="0" fillId="0" borderId="0" xfId="0" applyAlignment="1">
      <alignment wrapText="1"/>
    </xf>
    <xf numFmtId="171" fontId="19" fillId="2" borderId="12" xfId="3" applyNumberFormat="1" applyFont="1" applyFill="1" applyBorder="1" applyAlignment="1">
      <alignment horizontal="center" wrapText="1"/>
    </xf>
    <xf numFmtId="171" fontId="1" fillId="2" borderId="12" xfId="3" applyNumberFormat="1" applyFont="1" applyFill="1" applyBorder="1" applyAlignment="1">
      <alignment horizontal="center" wrapText="1"/>
    </xf>
    <xf numFmtId="164" fontId="19" fillId="2" borderId="10" xfId="2" applyNumberFormat="1" applyFont="1" applyFill="1" applyBorder="1" applyAlignment="1">
      <alignment horizontal="center" wrapText="1"/>
    </xf>
    <xf numFmtId="0" fontId="0" fillId="0" borderId="11" xfId="0" applyBorder="1" applyAlignment="1">
      <alignment wrapText="1"/>
    </xf>
    <xf numFmtId="0" fontId="0" fillId="0" borderId="1" xfId="0" applyBorder="1" applyAlignment="1">
      <alignment wrapText="1"/>
    </xf>
    <xf numFmtId="164" fontId="19" fillId="2" borderId="2" xfId="2" applyNumberFormat="1" applyFont="1" applyFill="1" applyBorder="1" applyAlignment="1">
      <alignment horizontal="center" wrapText="1"/>
    </xf>
    <xf numFmtId="0" fontId="0" fillId="0" borderId="3" xfId="0" applyBorder="1" applyAlignment="1">
      <alignment wrapText="1"/>
    </xf>
    <xf numFmtId="0" fontId="0" fillId="0" borderId="4" xfId="0" applyBorder="1" applyAlignment="1">
      <alignment wrapText="1"/>
    </xf>
    <xf numFmtId="164" fontId="19" fillId="2" borderId="12" xfId="2" applyNumberFormat="1" applyFont="1" applyFill="1" applyBorder="1" applyAlignment="1">
      <alignment horizontal="center" wrapText="1"/>
    </xf>
    <xf numFmtId="0" fontId="0" fillId="0" borderId="12" xfId="0" applyBorder="1" applyAlignment="1">
      <alignment horizontal="center" wrapText="1"/>
    </xf>
    <xf numFmtId="0" fontId="0" fillId="0" borderId="12" xfId="0" applyBorder="1" applyAlignment="1">
      <alignment wrapText="1"/>
    </xf>
    <xf numFmtId="166" fontId="19" fillId="2" borderId="12" xfId="0" applyNumberFormat="1" applyFont="1" applyFill="1" applyBorder="1" applyAlignment="1">
      <alignment horizontal="center" wrapText="1"/>
    </xf>
    <xf numFmtId="0" fontId="19" fillId="2" borderId="0" xfId="0" applyFont="1" applyFill="1" applyAlignment="1">
      <alignment wrapText="1"/>
    </xf>
    <xf numFmtId="0" fontId="19" fillId="2" borderId="10" xfId="0" applyFont="1" applyFill="1" applyBorder="1" applyAlignment="1">
      <alignment horizontal="center" wrapText="1"/>
    </xf>
    <xf numFmtId="0" fontId="19" fillId="0" borderId="11" xfId="0" applyFont="1" applyBorder="1" applyAlignment="1">
      <alignment horizontal="center" wrapText="1"/>
    </xf>
    <xf numFmtId="0" fontId="19" fillId="0" borderId="1" xfId="0" applyFont="1" applyBorder="1" applyAlignment="1">
      <alignment horizontal="center" wrapText="1"/>
    </xf>
    <xf numFmtId="0" fontId="19" fillId="2" borderId="2" xfId="0" applyFont="1" applyFill="1" applyBorder="1" applyAlignment="1">
      <alignment horizontal="center" wrapText="1"/>
    </xf>
    <xf numFmtId="0" fontId="19" fillId="0" borderId="3" xfId="0" applyFont="1" applyBorder="1" applyAlignment="1">
      <alignment horizontal="center" wrapText="1"/>
    </xf>
    <xf numFmtId="0" fontId="19" fillId="0" borderId="4" xfId="0" applyFont="1" applyBorder="1" applyAlignment="1">
      <alignment horizontal="center" wrapText="1"/>
    </xf>
    <xf numFmtId="164" fontId="19" fillId="2" borderId="11" xfId="2" applyNumberFormat="1" applyFont="1" applyFill="1" applyBorder="1" applyAlignment="1">
      <alignment horizontal="center" wrapText="1"/>
    </xf>
    <xf numFmtId="164" fontId="19" fillId="2" borderId="1" xfId="2" applyNumberFormat="1" applyFont="1" applyFill="1" applyBorder="1" applyAlignment="1">
      <alignment horizontal="center" wrapText="1"/>
    </xf>
    <xf numFmtId="0" fontId="14" fillId="9" borderId="12" xfId="4" applyFont="1" applyFill="1" applyBorder="1" applyAlignment="1">
      <alignment horizontal="center" wrapText="1"/>
    </xf>
    <xf numFmtId="0" fontId="14" fillId="2" borderId="9" xfId="4" applyFont="1" applyFill="1" applyBorder="1" applyAlignment="1">
      <alignment horizontal="center" wrapText="1"/>
    </xf>
    <xf numFmtId="0" fontId="14" fillId="2" borderId="5" xfId="4" applyFont="1" applyFill="1" applyBorder="1" applyAlignment="1">
      <alignment horizontal="center" wrapText="1"/>
    </xf>
    <xf numFmtId="166" fontId="8" fillId="5" borderId="16" xfId="0" applyNumberFormat="1" applyFont="1" applyFill="1" applyBorder="1" applyAlignment="1">
      <alignment horizontal="left" wrapText="1"/>
    </xf>
    <xf numFmtId="166" fontId="8" fillId="5" borderId="17" xfId="0" applyNumberFormat="1" applyFont="1" applyFill="1" applyBorder="1" applyAlignment="1">
      <alignment horizontal="left" wrapText="1"/>
    </xf>
    <xf numFmtId="0" fontId="5" fillId="2" borderId="0" xfId="0" applyFont="1" applyFill="1" applyBorder="1" applyAlignment="1">
      <alignment horizontal="center" wrapText="1"/>
    </xf>
    <xf numFmtId="0" fontId="0" fillId="0" borderId="0" xfId="0" applyBorder="1" applyAlignment="1">
      <alignment horizontal="center" wrapText="1"/>
    </xf>
    <xf numFmtId="44" fontId="19" fillId="2" borderId="8" xfId="2" applyFont="1" applyFill="1" applyBorder="1" applyAlignment="1">
      <alignment horizontal="right"/>
    </xf>
    <xf numFmtId="0" fontId="19" fillId="2" borderId="5" xfId="0" applyFont="1" applyFill="1" applyBorder="1" applyAlignment="1">
      <alignment horizontal="center"/>
    </xf>
  </cellXfs>
  <cellStyles count="8">
    <cellStyle name="Comma" xfId="1" builtinId="3"/>
    <cellStyle name="Comma 2" xfId="5" xr:uid="{00000000-0005-0000-0000-000001000000}"/>
    <cellStyle name="Currency" xfId="2" builtinId="4"/>
    <cellStyle name="Currency 2" xfId="7" xr:uid="{00000000-0005-0000-0000-000003000000}"/>
    <cellStyle name="Normal" xfId="0" builtinId="0"/>
    <cellStyle name="Normal 3" xfId="4" xr:uid="{00000000-0005-0000-0000-000005000000}"/>
    <cellStyle name="Percent" xfId="3" builtinId="5"/>
    <cellStyle name="Percent 2" xfId="6" xr:uid="{00000000-0005-0000-0000-000007000000}"/>
  </cellStyles>
  <dxfs count="0"/>
  <tableStyles count="0" defaultTableStyle="TableStyleMedium2" defaultPivotStyle="PivotStyleLight16"/>
  <colors>
    <mruColors>
      <color rgb="FF0000CC"/>
      <color rgb="FFFF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8.xml"/><Relationship Id="rId21" Type="http://schemas.openxmlformats.org/officeDocument/2006/relationships/externalLink" Target="externalLinks/externalLink12.xml"/><Relationship Id="rId63" Type="http://schemas.openxmlformats.org/officeDocument/2006/relationships/externalLink" Target="externalLinks/externalLink54.xml"/><Relationship Id="rId159" Type="http://schemas.openxmlformats.org/officeDocument/2006/relationships/externalLink" Target="externalLinks/externalLink150.xml"/><Relationship Id="rId170" Type="http://schemas.openxmlformats.org/officeDocument/2006/relationships/externalLink" Target="externalLinks/externalLink161.xml"/><Relationship Id="rId226" Type="http://schemas.openxmlformats.org/officeDocument/2006/relationships/externalLink" Target="externalLinks/externalLink217.xml"/><Relationship Id="rId268" Type="http://schemas.openxmlformats.org/officeDocument/2006/relationships/externalLink" Target="externalLinks/externalLink259.xml"/><Relationship Id="rId32" Type="http://schemas.openxmlformats.org/officeDocument/2006/relationships/externalLink" Target="externalLinks/externalLink23.xml"/><Relationship Id="rId74" Type="http://schemas.openxmlformats.org/officeDocument/2006/relationships/externalLink" Target="externalLinks/externalLink65.xml"/><Relationship Id="rId128" Type="http://schemas.openxmlformats.org/officeDocument/2006/relationships/externalLink" Target="externalLinks/externalLink119.xml"/><Relationship Id="rId5" Type="http://schemas.openxmlformats.org/officeDocument/2006/relationships/worksheet" Target="worksheets/sheet5.xml"/><Relationship Id="rId181" Type="http://schemas.openxmlformats.org/officeDocument/2006/relationships/externalLink" Target="externalLinks/externalLink172.xml"/><Relationship Id="rId237" Type="http://schemas.openxmlformats.org/officeDocument/2006/relationships/externalLink" Target="externalLinks/externalLink228.xml"/><Relationship Id="rId279" Type="http://schemas.openxmlformats.org/officeDocument/2006/relationships/externalLink" Target="externalLinks/externalLink270.xml"/><Relationship Id="rId43" Type="http://schemas.openxmlformats.org/officeDocument/2006/relationships/externalLink" Target="externalLinks/externalLink34.xml"/><Relationship Id="rId139" Type="http://schemas.openxmlformats.org/officeDocument/2006/relationships/externalLink" Target="externalLinks/externalLink130.xml"/><Relationship Id="rId85" Type="http://schemas.openxmlformats.org/officeDocument/2006/relationships/externalLink" Target="externalLinks/externalLink76.xml"/><Relationship Id="rId150" Type="http://schemas.openxmlformats.org/officeDocument/2006/relationships/externalLink" Target="externalLinks/externalLink141.xml"/><Relationship Id="rId171" Type="http://schemas.openxmlformats.org/officeDocument/2006/relationships/externalLink" Target="externalLinks/externalLink162.xml"/><Relationship Id="rId192" Type="http://schemas.openxmlformats.org/officeDocument/2006/relationships/externalLink" Target="externalLinks/externalLink183.xml"/><Relationship Id="rId206" Type="http://schemas.openxmlformats.org/officeDocument/2006/relationships/externalLink" Target="externalLinks/externalLink197.xml"/><Relationship Id="rId227" Type="http://schemas.openxmlformats.org/officeDocument/2006/relationships/externalLink" Target="externalLinks/externalLink218.xml"/><Relationship Id="rId248" Type="http://schemas.openxmlformats.org/officeDocument/2006/relationships/externalLink" Target="externalLinks/externalLink239.xml"/><Relationship Id="rId269" Type="http://schemas.openxmlformats.org/officeDocument/2006/relationships/externalLink" Target="externalLinks/externalLink260.xml"/><Relationship Id="rId12" Type="http://schemas.openxmlformats.org/officeDocument/2006/relationships/externalLink" Target="externalLinks/externalLink3.xml"/><Relationship Id="rId33" Type="http://schemas.openxmlformats.org/officeDocument/2006/relationships/externalLink" Target="externalLinks/externalLink24.xml"/><Relationship Id="rId108" Type="http://schemas.openxmlformats.org/officeDocument/2006/relationships/externalLink" Target="externalLinks/externalLink99.xml"/><Relationship Id="rId129" Type="http://schemas.openxmlformats.org/officeDocument/2006/relationships/externalLink" Target="externalLinks/externalLink120.xml"/><Relationship Id="rId280" Type="http://schemas.openxmlformats.org/officeDocument/2006/relationships/externalLink" Target="externalLinks/externalLink271.xml"/><Relationship Id="rId54" Type="http://schemas.openxmlformats.org/officeDocument/2006/relationships/externalLink" Target="externalLinks/externalLink45.xml"/><Relationship Id="rId75" Type="http://schemas.openxmlformats.org/officeDocument/2006/relationships/externalLink" Target="externalLinks/externalLink66.xml"/><Relationship Id="rId96" Type="http://schemas.openxmlformats.org/officeDocument/2006/relationships/externalLink" Target="externalLinks/externalLink87.xml"/><Relationship Id="rId140" Type="http://schemas.openxmlformats.org/officeDocument/2006/relationships/externalLink" Target="externalLinks/externalLink131.xml"/><Relationship Id="rId161" Type="http://schemas.openxmlformats.org/officeDocument/2006/relationships/externalLink" Target="externalLinks/externalLink152.xml"/><Relationship Id="rId182" Type="http://schemas.openxmlformats.org/officeDocument/2006/relationships/externalLink" Target="externalLinks/externalLink173.xml"/><Relationship Id="rId217" Type="http://schemas.openxmlformats.org/officeDocument/2006/relationships/externalLink" Target="externalLinks/externalLink208.xml"/><Relationship Id="rId6" Type="http://schemas.openxmlformats.org/officeDocument/2006/relationships/worksheet" Target="worksheets/sheet6.xml"/><Relationship Id="rId238" Type="http://schemas.openxmlformats.org/officeDocument/2006/relationships/externalLink" Target="externalLinks/externalLink229.xml"/><Relationship Id="rId259" Type="http://schemas.openxmlformats.org/officeDocument/2006/relationships/externalLink" Target="externalLinks/externalLink250.xml"/><Relationship Id="rId23" Type="http://schemas.openxmlformats.org/officeDocument/2006/relationships/externalLink" Target="externalLinks/externalLink14.xml"/><Relationship Id="rId119" Type="http://schemas.openxmlformats.org/officeDocument/2006/relationships/externalLink" Target="externalLinks/externalLink110.xml"/><Relationship Id="rId270" Type="http://schemas.openxmlformats.org/officeDocument/2006/relationships/externalLink" Target="externalLinks/externalLink261.xml"/><Relationship Id="rId44" Type="http://schemas.openxmlformats.org/officeDocument/2006/relationships/externalLink" Target="externalLinks/externalLink35.xml"/><Relationship Id="rId65" Type="http://schemas.openxmlformats.org/officeDocument/2006/relationships/externalLink" Target="externalLinks/externalLink56.xml"/><Relationship Id="rId86" Type="http://schemas.openxmlformats.org/officeDocument/2006/relationships/externalLink" Target="externalLinks/externalLink77.xml"/><Relationship Id="rId130" Type="http://schemas.openxmlformats.org/officeDocument/2006/relationships/externalLink" Target="externalLinks/externalLink121.xml"/><Relationship Id="rId151" Type="http://schemas.openxmlformats.org/officeDocument/2006/relationships/externalLink" Target="externalLinks/externalLink142.xml"/><Relationship Id="rId172" Type="http://schemas.openxmlformats.org/officeDocument/2006/relationships/externalLink" Target="externalLinks/externalLink163.xml"/><Relationship Id="rId193" Type="http://schemas.openxmlformats.org/officeDocument/2006/relationships/externalLink" Target="externalLinks/externalLink184.xml"/><Relationship Id="rId207" Type="http://schemas.openxmlformats.org/officeDocument/2006/relationships/externalLink" Target="externalLinks/externalLink198.xml"/><Relationship Id="rId228" Type="http://schemas.openxmlformats.org/officeDocument/2006/relationships/externalLink" Target="externalLinks/externalLink219.xml"/><Relationship Id="rId249" Type="http://schemas.openxmlformats.org/officeDocument/2006/relationships/externalLink" Target="externalLinks/externalLink240.xml"/><Relationship Id="rId13" Type="http://schemas.openxmlformats.org/officeDocument/2006/relationships/externalLink" Target="externalLinks/externalLink4.xml"/><Relationship Id="rId109" Type="http://schemas.openxmlformats.org/officeDocument/2006/relationships/externalLink" Target="externalLinks/externalLink100.xml"/><Relationship Id="rId260" Type="http://schemas.openxmlformats.org/officeDocument/2006/relationships/externalLink" Target="externalLinks/externalLink251.xml"/><Relationship Id="rId281" Type="http://schemas.openxmlformats.org/officeDocument/2006/relationships/externalLink" Target="externalLinks/externalLink272.xml"/><Relationship Id="rId34" Type="http://schemas.openxmlformats.org/officeDocument/2006/relationships/externalLink" Target="externalLinks/externalLink25.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20" Type="http://schemas.openxmlformats.org/officeDocument/2006/relationships/externalLink" Target="externalLinks/externalLink111.xml"/><Relationship Id="rId141" Type="http://schemas.openxmlformats.org/officeDocument/2006/relationships/externalLink" Target="externalLinks/externalLink132.xml"/><Relationship Id="rId7" Type="http://schemas.openxmlformats.org/officeDocument/2006/relationships/worksheet" Target="worksheets/sheet7.xml"/><Relationship Id="rId162" Type="http://schemas.openxmlformats.org/officeDocument/2006/relationships/externalLink" Target="externalLinks/externalLink153.xml"/><Relationship Id="rId183" Type="http://schemas.openxmlformats.org/officeDocument/2006/relationships/externalLink" Target="externalLinks/externalLink174.xml"/><Relationship Id="rId218" Type="http://schemas.openxmlformats.org/officeDocument/2006/relationships/externalLink" Target="externalLinks/externalLink209.xml"/><Relationship Id="rId239" Type="http://schemas.openxmlformats.org/officeDocument/2006/relationships/externalLink" Target="externalLinks/externalLink230.xml"/><Relationship Id="rId250" Type="http://schemas.openxmlformats.org/officeDocument/2006/relationships/externalLink" Target="externalLinks/externalLink241.xml"/><Relationship Id="rId271" Type="http://schemas.openxmlformats.org/officeDocument/2006/relationships/externalLink" Target="externalLinks/externalLink262.xml"/><Relationship Id="rId24" Type="http://schemas.openxmlformats.org/officeDocument/2006/relationships/externalLink" Target="externalLinks/externalLink15.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110" Type="http://schemas.openxmlformats.org/officeDocument/2006/relationships/externalLink" Target="externalLinks/externalLink101.xml"/><Relationship Id="rId131" Type="http://schemas.openxmlformats.org/officeDocument/2006/relationships/externalLink" Target="externalLinks/externalLink122.xml"/><Relationship Id="rId152" Type="http://schemas.openxmlformats.org/officeDocument/2006/relationships/externalLink" Target="externalLinks/externalLink143.xml"/><Relationship Id="rId173" Type="http://schemas.openxmlformats.org/officeDocument/2006/relationships/externalLink" Target="externalLinks/externalLink164.xml"/><Relationship Id="rId194" Type="http://schemas.openxmlformats.org/officeDocument/2006/relationships/externalLink" Target="externalLinks/externalLink185.xml"/><Relationship Id="rId208" Type="http://schemas.openxmlformats.org/officeDocument/2006/relationships/externalLink" Target="externalLinks/externalLink199.xml"/><Relationship Id="rId229" Type="http://schemas.openxmlformats.org/officeDocument/2006/relationships/externalLink" Target="externalLinks/externalLink220.xml"/><Relationship Id="rId240" Type="http://schemas.openxmlformats.org/officeDocument/2006/relationships/externalLink" Target="externalLinks/externalLink231.xml"/><Relationship Id="rId261" Type="http://schemas.openxmlformats.org/officeDocument/2006/relationships/externalLink" Target="externalLinks/externalLink252.xml"/><Relationship Id="rId14" Type="http://schemas.openxmlformats.org/officeDocument/2006/relationships/externalLink" Target="externalLinks/externalLink5.xml"/><Relationship Id="rId35" Type="http://schemas.openxmlformats.org/officeDocument/2006/relationships/externalLink" Target="externalLinks/externalLink26.xml"/><Relationship Id="rId56" Type="http://schemas.openxmlformats.org/officeDocument/2006/relationships/externalLink" Target="externalLinks/externalLink47.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282" Type="http://schemas.openxmlformats.org/officeDocument/2006/relationships/theme" Target="theme/theme1.xml"/><Relationship Id="rId8" Type="http://schemas.openxmlformats.org/officeDocument/2006/relationships/worksheet" Target="worksheets/sheet8.xml"/><Relationship Id="rId98" Type="http://schemas.openxmlformats.org/officeDocument/2006/relationships/externalLink" Target="externalLinks/externalLink89.xml"/><Relationship Id="rId121" Type="http://schemas.openxmlformats.org/officeDocument/2006/relationships/externalLink" Target="externalLinks/externalLink112.xml"/><Relationship Id="rId142" Type="http://schemas.openxmlformats.org/officeDocument/2006/relationships/externalLink" Target="externalLinks/externalLink133.xml"/><Relationship Id="rId163" Type="http://schemas.openxmlformats.org/officeDocument/2006/relationships/externalLink" Target="externalLinks/externalLink154.xml"/><Relationship Id="rId184" Type="http://schemas.openxmlformats.org/officeDocument/2006/relationships/externalLink" Target="externalLinks/externalLink175.xml"/><Relationship Id="rId219" Type="http://schemas.openxmlformats.org/officeDocument/2006/relationships/externalLink" Target="externalLinks/externalLink210.xml"/><Relationship Id="rId230" Type="http://schemas.openxmlformats.org/officeDocument/2006/relationships/externalLink" Target="externalLinks/externalLink221.xml"/><Relationship Id="rId251" Type="http://schemas.openxmlformats.org/officeDocument/2006/relationships/externalLink" Target="externalLinks/externalLink242.xml"/><Relationship Id="rId25" Type="http://schemas.openxmlformats.org/officeDocument/2006/relationships/externalLink" Target="externalLinks/externalLink16.xml"/><Relationship Id="rId46" Type="http://schemas.openxmlformats.org/officeDocument/2006/relationships/externalLink" Target="externalLinks/externalLink37.xml"/><Relationship Id="rId67" Type="http://schemas.openxmlformats.org/officeDocument/2006/relationships/externalLink" Target="externalLinks/externalLink58.xml"/><Relationship Id="rId272" Type="http://schemas.openxmlformats.org/officeDocument/2006/relationships/externalLink" Target="externalLinks/externalLink263.xml"/><Relationship Id="rId88" Type="http://schemas.openxmlformats.org/officeDocument/2006/relationships/externalLink" Target="externalLinks/externalLink79.xml"/><Relationship Id="rId111" Type="http://schemas.openxmlformats.org/officeDocument/2006/relationships/externalLink" Target="externalLinks/externalLink102.xml"/><Relationship Id="rId132" Type="http://schemas.openxmlformats.org/officeDocument/2006/relationships/externalLink" Target="externalLinks/externalLink123.xml"/><Relationship Id="rId153" Type="http://schemas.openxmlformats.org/officeDocument/2006/relationships/externalLink" Target="externalLinks/externalLink144.xml"/><Relationship Id="rId174" Type="http://schemas.openxmlformats.org/officeDocument/2006/relationships/externalLink" Target="externalLinks/externalLink165.xml"/><Relationship Id="rId195" Type="http://schemas.openxmlformats.org/officeDocument/2006/relationships/externalLink" Target="externalLinks/externalLink186.xml"/><Relationship Id="rId209" Type="http://schemas.openxmlformats.org/officeDocument/2006/relationships/externalLink" Target="externalLinks/externalLink200.xml"/><Relationship Id="rId220" Type="http://schemas.openxmlformats.org/officeDocument/2006/relationships/externalLink" Target="externalLinks/externalLink211.xml"/><Relationship Id="rId241" Type="http://schemas.openxmlformats.org/officeDocument/2006/relationships/externalLink" Target="externalLinks/externalLink232.xml"/><Relationship Id="rId15" Type="http://schemas.openxmlformats.org/officeDocument/2006/relationships/externalLink" Target="externalLinks/externalLink6.xml"/><Relationship Id="rId36" Type="http://schemas.openxmlformats.org/officeDocument/2006/relationships/externalLink" Target="externalLinks/externalLink27.xml"/><Relationship Id="rId57" Type="http://schemas.openxmlformats.org/officeDocument/2006/relationships/externalLink" Target="externalLinks/externalLink48.xml"/><Relationship Id="rId262" Type="http://schemas.openxmlformats.org/officeDocument/2006/relationships/externalLink" Target="externalLinks/externalLink253.xml"/><Relationship Id="rId283" Type="http://schemas.openxmlformats.org/officeDocument/2006/relationships/styles" Target="styles.xml"/><Relationship Id="rId78" Type="http://schemas.openxmlformats.org/officeDocument/2006/relationships/externalLink" Target="externalLinks/externalLink69.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122" Type="http://schemas.openxmlformats.org/officeDocument/2006/relationships/externalLink" Target="externalLinks/externalLink113.xml"/><Relationship Id="rId143" Type="http://schemas.openxmlformats.org/officeDocument/2006/relationships/externalLink" Target="externalLinks/externalLink134.xml"/><Relationship Id="rId164" Type="http://schemas.openxmlformats.org/officeDocument/2006/relationships/externalLink" Target="externalLinks/externalLink155.xml"/><Relationship Id="rId185" Type="http://schemas.openxmlformats.org/officeDocument/2006/relationships/externalLink" Target="externalLinks/externalLink176.xml"/><Relationship Id="rId9" Type="http://schemas.openxmlformats.org/officeDocument/2006/relationships/worksheet" Target="worksheets/sheet9.xml"/><Relationship Id="rId210" Type="http://schemas.openxmlformats.org/officeDocument/2006/relationships/externalLink" Target="externalLinks/externalLink201.xml"/><Relationship Id="rId26" Type="http://schemas.openxmlformats.org/officeDocument/2006/relationships/externalLink" Target="externalLinks/externalLink17.xml"/><Relationship Id="rId231" Type="http://schemas.openxmlformats.org/officeDocument/2006/relationships/externalLink" Target="externalLinks/externalLink222.xml"/><Relationship Id="rId252" Type="http://schemas.openxmlformats.org/officeDocument/2006/relationships/externalLink" Target="externalLinks/externalLink243.xml"/><Relationship Id="rId273" Type="http://schemas.openxmlformats.org/officeDocument/2006/relationships/externalLink" Target="externalLinks/externalLink264.xml"/><Relationship Id="rId47" Type="http://schemas.openxmlformats.org/officeDocument/2006/relationships/externalLink" Target="externalLinks/externalLink38.xml"/><Relationship Id="rId68" Type="http://schemas.openxmlformats.org/officeDocument/2006/relationships/externalLink" Target="externalLinks/externalLink59.xml"/><Relationship Id="rId89" Type="http://schemas.openxmlformats.org/officeDocument/2006/relationships/externalLink" Target="externalLinks/externalLink80.xml"/><Relationship Id="rId112" Type="http://schemas.openxmlformats.org/officeDocument/2006/relationships/externalLink" Target="externalLinks/externalLink103.xml"/><Relationship Id="rId133" Type="http://schemas.openxmlformats.org/officeDocument/2006/relationships/externalLink" Target="externalLinks/externalLink124.xml"/><Relationship Id="rId154" Type="http://schemas.openxmlformats.org/officeDocument/2006/relationships/externalLink" Target="externalLinks/externalLink145.xml"/><Relationship Id="rId175" Type="http://schemas.openxmlformats.org/officeDocument/2006/relationships/externalLink" Target="externalLinks/externalLink166.xml"/><Relationship Id="rId196" Type="http://schemas.openxmlformats.org/officeDocument/2006/relationships/externalLink" Target="externalLinks/externalLink187.xml"/><Relationship Id="rId200" Type="http://schemas.openxmlformats.org/officeDocument/2006/relationships/externalLink" Target="externalLinks/externalLink191.xml"/><Relationship Id="rId16" Type="http://schemas.openxmlformats.org/officeDocument/2006/relationships/externalLink" Target="externalLinks/externalLink7.xml"/><Relationship Id="rId221" Type="http://schemas.openxmlformats.org/officeDocument/2006/relationships/externalLink" Target="externalLinks/externalLink212.xml"/><Relationship Id="rId242" Type="http://schemas.openxmlformats.org/officeDocument/2006/relationships/externalLink" Target="externalLinks/externalLink233.xml"/><Relationship Id="rId263" Type="http://schemas.openxmlformats.org/officeDocument/2006/relationships/externalLink" Target="externalLinks/externalLink254.xml"/><Relationship Id="rId284" Type="http://schemas.openxmlformats.org/officeDocument/2006/relationships/sharedStrings" Target="sharedStrings.xml"/><Relationship Id="rId37" Type="http://schemas.openxmlformats.org/officeDocument/2006/relationships/externalLink" Target="externalLinks/externalLink28.xml"/><Relationship Id="rId58" Type="http://schemas.openxmlformats.org/officeDocument/2006/relationships/externalLink" Target="externalLinks/externalLink49.xml"/><Relationship Id="rId79" Type="http://schemas.openxmlformats.org/officeDocument/2006/relationships/externalLink" Target="externalLinks/externalLink70.xml"/><Relationship Id="rId102" Type="http://schemas.openxmlformats.org/officeDocument/2006/relationships/externalLink" Target="externalLinks/externalLink93.xml"/><Relationship Id="rId123" Type="http://schemas.openxmlformats.org/officeDocument/2006/relationships/externalLink" Target="externalLinks/externalLink114.xml"/><Relationship Id="rId144" Type="http://schemas.openxmlformats.org/officeDocument/2006/relationships/externalLink" Target="externalLinks/externalLink135.xml"/><Relationship Id="rId90" Type="http://schemas.openxmlformats.org/officeDocument/2006/relationships/externalLink" Target="externalLinks/externalLink81.xml"/><Relationship Id="rId165" Type="http://schemas.openxmlformats.org/officeDocument/2006/relationships/externalLink" Target="externalLinks/externalLink156.xml"/><Relationship Id="rId186" Type="http://schemas.openxmlformats.org/officeDocument/2006/relationships/externalLink" Target="externalLinks/externalLink177.xml"/><Relationship Id="rId211" Type="http://schemas.openxmlformats.org/officeDocument/2006/relationships/externalLink" Target="externalLinks/externalLink202.xml"/><Relationship Id="rId232" Type="http://schemas.openxmlformats.org/officeDocument/2006/relationships/externalLink" Target="externalLinks/externalLink223.xml"/><Relationship Id="rId253" Type="http://schemas.openxmlformats.org/officeDocument/2006/relationships/externalLink" Target="externalLinks/externalLink244.xml"/><Relationship Id="rId274" Type="http://schemas.openxmlformats.org/officeDocument/2006/relationships/externalLink" Target="externalLinks/externalLink265.xml"/><Relationship Id="rId27" Type="http://schemas.openxmlformats.org/officeDocument/2006/relationships/externalLink" Target="externalLinks/externalLink18.xml"/><Relationship Id="rId48" Type="http://schemas.openxmlformats.org/officeDocument/2006/relationships/externalLink" Target="externalLinks/externalLink39.xml"/><Relationship Id="rId69" Type="http://schemas.openxmlformats.org/officeDocument/2006/relationships/externalLink" Target="externalLinks/externalLink60.xml"/><Relationship Id="rId113" Type="http://schemas.openxmlformats.org/officeDocument/2006/relationships/externalLink" Target="externalLinks/externalLink104.xml"/><Relationship Id="rId134" Type="http://schemas.openxmlformats.org/officeDocument/2006/relationships/externalLink" Target="externalLinks/externalLink125.xml"/><Relationship Id="rId80" Type="http://schemas.openxmlformats.org/officeDocument/2006/relationships/externalLink" Target="externalLinks/externalLink71.xml"/><Relationship Id="rId155" Type="http://schemas.openxmlformats.org/officeDocument/2006/relationships/externalLink" Target="externalLinks/externalLink146.xml"/><Relationship Id="rId176" Type="http://schemas.openxmlformats.org/officeDocument/2006/relationships/externalLink" Target="externalLinks/externalLink167.xml"/><Relationship Id="rId197" Type="http://schemas.openxmlformats.org/officeDocument/2006/relationships/externalLink" Target="externalLinks/externalLink188.xml"/><Relationship Id="rId201" Type="http://schemas.openxmlformats.org/officeDocument/2006/relationships/externalLink" Target="externalLinks/externalLink192.xml"/><Relationship Id="rId222" Type="http://schemas.openxmlformats.org/officeDocument/2006/relationships/externalLink" Target="externalLinks/externalLink213.xml"/><Relationship Id="rId243" Type="http://schemas.openxmlformats.org/officeDocument/2006/relationships/externalLink" Target="externalLinks/externalLink234.xml"/><Relationship Id="rId264" Type="http://schemas.openxmlformats.org/officeDocument/2006/relationships/externalLink" Target="externalLinks/externalLink255.xml"/><Relationship Id="rId285" Type="http://schemas.openxmlformats.org/officeDocument/2006/relationships/calcChain" Target="calcChain.xml"/><Relationship Id="rId17" Type="http://schemas.openxmlformats.org/officeDocument/2006/relationships/externalLink" Target="externalLinks/externalLink8.xml"/><Relationship Id="rId38" Type="http://schemas.openxmlformats.org/officeDocument/2006/relationships/externalLink" Target="externalLinks/externalLink29.xml"/><Relationship Id="rId59" Type="http://schemas.openxmlformats.org/officeDocument/2006/relationships/externalLink" Target="externalLinks/externalLink50.xml"/><Relationship Id="rId103" Type="http://schemas.openxmlformats.org/officeDocument/2006/relationships/externalLink" Target="externalLinks/externalLink94.xml"/><Relationship Id="rId124" Type="http://schemas.openxmlformats.org/officeDocument/2006/relationships/externalLink" Target="externalLinks/externalLink115.xml"/><Relationship Id="rId70" Type="http://schemas.openxmlformats.org/officeDocument/2006/relationships/externalLink" Target="externalLinks/externalLink61.xml"/><Relationship Id="rId91" Type="http://schemas.openxmlformats.org/officeDocument/2006/relationships/externalLink" Target="externalLinks/externalLink82.xml"/><Relationship Id="rId145" Type="http://schemas.openxmlformats.org/officeDocument/2006/relationships/externalLink" Target="externalLinks/externalLink136.xml"/><Relationship Id="rId166" Type="http://schemas.openxmlformats.org/officeDocument/2006/relationships/externalLink" Target="externalLinks/externalLink157.xml"/><Relationship Id="rId187" Type="http://schemas.openxmlformats.org/officeDocument/2006/relationships/externalLink" Target="externalLinks/externalLink178.xml"/><Relationship Id="rId1" Type="http://schemas.openxmlformats.org/officeDocument/2006/relationships/worksheet" Target="worksheets/sheet1.xml"/><Relationship Id="rId212" Type="http://schemas.openxmlformats.org/officeDocument/2006/relationships/externalLink" Target="externalLinks/externalLink203.xml"/><Relationship Id="rId233" Type="http://schemas.openxmlformats.org/officeDocument/2006/relationships/externalLink" Target="externalLinks/externalLink224.xml"/><Relationship Id="rId254" Type="http://schemas.openxmlformats.org/officeDocument/2006/relationships/externalLink" Target="externalLinks/externalLink245.xml"/><Relationship Id="rId28" Type="http://schemas.openxmlformats.org/officeDocument/2006/relationships/externalLink" Target="externalLinks/externalLink19.xml"/><Relationship Id="rId49" Type="http://schemas.openxmlformats.org/officeDocument/2006/relationships/externalLink" Target="externalLinks/externalLink40.xml"/><Relationship Id="rId114" Type="http://schemas.openxmlformats.org/officeDocument/2006/relationships/externalLink" Target="externalLinks/externalLink105.xml"/><Relationship Id="rId275" Type="http://schemas.openxmlformats.org/officeDocument/2006/relationships/externalLink" Target="externalLinks/externalLink266.xml"/><Relationship Id="rId60" Type="http://schemas.openxmlformats.org/officeDocument/2006/relationships/externalLink" Target="externalLinks/externalLink51.xml"/><Relationship Id="rId81" Type="http://schemas.openxmlformats.org/officeDocument/2006/relationships/externalLink" Target="externalLinks/externalLink72.xml"/><Relationship Id="rId135" Type="http://schemas.openxmlformats.org/officeDocument/2006/relationships/externalLink" Target="externalLinks/externalLink126.xml"/><Relationship Id="rId156" Type="http://schemas.openxmlformats.org/officeDocument/2006/relationships/externalLink" Target="externalLinks/externalLink147.xml"/><Relationship Id="rId177" Type="http://schemas.openxmlformats.org/officeDocument/2006/relationships/externalLink" Target="externalLinks/externalLink168.xml"/><Relationship Id="rId198" Type="http://schemas.openxmlformats.org/officeDocument/2006/relationships/externalLink" Target="externalLinks/externalLink189.xml"/><Relationship Id="rId202" Type="http://schemas.openxmlformats.org/officeDocument/2006/relationships/externalLink" Target="externalLinks/externalLink193.xml"/><Relationship Id="rId223" Type="http://schemas.openxmlformats.org/officeDocument/2006/relationships/externalLink" Target="externalLinks/externalLink214.xml"/><Relationship Id="rId244" Type="http://schemas.openxmlformats.org/officeDocument/2006/relationships/externalLink" Target="externalLinks/externalLink235.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265" Type="http://schemas.openxmlformats.org/officeDocument/2006/relationships/externalLink" Target="externalLinks/externalLink256.xml"/><Relationship Id="rId50" Type="http://schemas.openxmlformats.org/officeDocument/2006/relationships/externalLink" Target="externalLinks/externalLink41.xml"/><Relationship Id="rId104" Type="http://schemas.openxmlformats.org/officeDocument/2006/relationships/externalLink" Target="externalLinks/externalLink95.xml"/><Relationship Id="rId125" Type="http://schemas.openxmlformats.org/officeDocument/2006/relationships/externalLink" Target="externalLinks/externalLink116.xml"/><Relationship Id="rId146" Type="http://schemas.openxmlformats.org/officeDocument/2006/relationships/externalLink" Target="externalLinks/externalLink137.xml"/><Relationship Id="rId167" Type="http://schemas.openxmlformats.org/officeDocument/2006/relationships/externalLink" Target="externalLinks/externalLink158.xml"/><Relationship Id="rId188" Type="http://schemas.openxmlformats.org/officeDocument/2006/relationships/externalLink" Target="externalLinks/externalLink179.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13" Type="http://schemas.openxmlformats.org/officeDocument/2006/relationships/externalLink" Target="externalLinks/externalLink204.xml"/><Relationship Id="rId234" Type="http://schemas.openxmlformats.org/officeDocument/2006/relationships/externalLink" Target="externalLinks/externalLink225.xml"/><Relationship Id="rId2" Type="http://schemas.openxmlformats.org/officeDocument/2006/relationships/worksheet" Target="worksheets/sheet2.xml"/><Relationship Id="rId29" Type="http://schemas.openxmlformats.org/officeDocument/2006/relationships/externalLink" Target="externalLinks/externalLink20.xml"/><Relationship Id="rId255" Type="http://schemas.openxmlformats.org/officeDocument/2006/relationships/externalLink" Target="externalLinks/externalLink246.xml"/><Relationship Id="rId276" Type="http://schemas.openxmlformats.org/officeDocument/2006/relationships/externalLink" Target="externalLinks/externalLink267.xml"/><Relationship Id="rId40" Type="http://schemas.openxmlformats.org/officeDocument/2006/relationships/externalLink" Target="externalLinks/externalLink31.xml"/><Relationship Id="rId115" Type="http://schemas.openxmlformats.org/officeDocument/2006/relationships/externalLink" Target="externalLinks/externalLink106.xml"/><Relationship Id="rId136" Type="http://schemas.openxmlformats.org/officeDocument/2006/relationships/externalLink" Target="externalLinks/externalLink127.xml"/><Relationship Id="rId157" Type="http://schemas.openxmlformats.org/officeDocument/2006/relationships/externalLink" Target="externalLinks/externalLink148.xml"/><Relationship Id="rId178" Type="http://schemas.openxmlformats.org/officeDocument/2006/relationships/externalLink" Target="externalLinks/externalLink169.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99" Type="http://schemas.openxmlformats.org/officeDocument/2006/relationships/externalLink" Target="externalLinks/externalLink190.xml"/><Relationship Id="rId203" Type="http://schemas.openxmlformats.org/officeDocument/2006/relationships/externalLink" Target="externalLinks/externalLink194.xml"/><Relationship Id="rId19" Type="http://schemas.openxmlformats.org/officeDocument/2006/relationships/externalLink" Target="externalLinks/externalLink10.xml"/><Relationship Id="rId224" Type="http://schemas.openxmlformats.org/officeDocument/2006/relationships/externalLink" Target="externalLinks/externalLink215.xml"/><Relationship Id="rId245" Type="http://schemas.openxmlformats.org/officeDocument/2006/relationships/externalLink" Target="externalLinks/externalLink236.xml"/><Relationship Id="rId266" Type="http://schemas.openxmlformats.org/officeDocument/2006/relationships/externalLink" Target="externalLinks/externalLink257.xml"/><Relationship Id="rId30" Type="http://schemas.openxmlformats.org/officeDocument/2006/relationships/externalLink" Target="externalLinks/externalLink21.xml"/><Relationship Id="rId105" Type="http://schemas.openxmlformats.org/officeDocument/2006/relationships/externalLink" Target="externalLinks/externalLink96.xml"/><Relationship Id="rId126" Type="http://schemas.openxmlformats.org/officeDocument/2006/relationships/externalLink" Target="externalLinks/externalLink117.xml"/><Relationship Id="rId147" Type="http://schemas.openxmlformats.org/officeDocument/2006/relationships/externalLink" Target="externalLinks/externalLink138.xml"/><Relationship Id="rId168" Type="http://schemas.openxmlformats.org/officeDocument/2006/relationships/externalLink" Target="externalLinks/externalLink159.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93" Type="http://schemas.openxmlformats.org/officeDocument/2006/relationships/externalLink" Target="externalLinks/externalLink84.xml"/><Relationship Id="rId189" Type="http://schemas.openxmlformats.org/officeDocument/2006/relationships/externalLink" Target="externalLinks/externalLink180.xml"/><Relationship Id="rId3" Type="http://schemas.openxmlformats.org/officeDocument/2006/relationships/worksheet" Target="worksheets/sheet3.xml"/><Relationship Id="rId214" Type="http://schemas.openxmlformats.org/officeDocument/2006/relationships/externalLink" Target="externalLinks/externalLink205.xml"/><Relationship Id="rId235" Type="http://schemas.openxmlformats.org/officeDocument/2006/relationships/externalLink" Target="externalLinks/externalLink226.xml"/><Relationship Id="rId256" Type="http://schemas.openxmlformats.org/officeDocument/2006/relationships/externalLink" Target="externalLinks/externalLink247.xml"/><Relationship Id="rId277" Type="http://schemas.openxmlformats.org/officeDocument/2006/relationships/externalLink" Target="externalLinks/externalLink268.xml"/><Relationship Id="rId116" Type="http://schemas.openxmlformats.org/officeDocument/2006/relationships/externalLink" Target="externalLinks/externalLink107.xml"/><Relationship Id="rId137" Type="http://schemas.openxmlformats.org/officeDocument/2006/relationships/externalLink" Target="externalLinks/externalLink128.xml"/><Relationship Id="rId158" Type="http://schemas.openxmlformats.org/officeDocument/2006/relationships/externalLink" Target="externalLinks/externalLink149.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62" Type="http://schemas.openxmlformats.org/officeDocument/2006/relationships/externalLink" Target="externalLinks/externalLink53.xml"/><Relationship Id="rId83" Type="http://schemas.openxmlformats.org/officeDocument/2006/relationships/externalLink" Target="externalLinks/externalLink74.xml"/><Relationship Id="rId179" Type="http://schemas.openxmlformats.org/officeDocument/2006/relationships/externalLink" Target="externalLinks/externalLink170.xml"/><Relationship Id="rId190" Type="http://schemas.openxmlformats.org/officeDocument/2006/relationships/externalLink" Target="externalLinks/externalLink181.xml"/><Relationship Id="rId204" Type="http://schemas.openxmlformats.org/officeDocument/2006/relationships/externalLink" Target="externalLinks/externalLink195.xml"/><Relationship Id="rId225" Type="http://schemas.openxmlformats.org/officeDocument/2006/relationships/externalLink" Target="externalLinks/externalLink216.xml"/><Relationship Id="rId246" Type="http://schemas.openxmlformats.org/officeDocument/2006/relationships/externalLink" Target="externalLinks/externalLink237.xml"/><Relationship Id="rId267" Type="http://schemas.openxmlformats.org/officeDocument/2006/relationships/externalLink" Target="externalLinks/externalLink258.xml"/><Relationship Id="rId106" Type="http://schemas.openxmlformats.org/officeDocument/2006/relationships/externalLink" Target="externalLinks/externalLink97.xml"/><Relationship Id="rId127" Type="http://schemas.openxmlformats.org/officeDocument/2006/relationships/externalLink" Target="externalLinks/externalLink11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52" Type="http://schemas.openxmlformats.org/officeDocument/2006/relationships/externalLink" Target="externalLinks/externalLink43.xml"/><Relationship Id="rId73" Type="http://schemas.openxmlformats.org/officeDocument/2006/relationships/externalLink" Target="externalLinks/externalLink64.xml"/><Relationship Id="rId94" Type="http://schemas.openxmlformats.org/officeDocument/2006/relationships/externalLink" Target="externalLinks/externalLink85.xml"/><Relationship Id="rId148" Type="http://schemas.openxmlformats.org/officeDocument/2006/relationships/externalLink" Target="externalLinks/externalLink139.xml"/><Relationship Id="rId169" Type="http://schemas.openxmlformats.org/officeDocument/2006/relationships/externalLink" Target="externalLinks/externalLink160.xml"/><Relationship Id="rId4" Type="http://schemas.openxmlformats.org/officeDocument/2006/relationships/worksheet" Target="worksheets/sheet4.xml"/><Relationship Id="rId180" Type="http://schemas.openxmlformats.org/officeDocument/2006/relationships/externalLink" Target="externalLinks/externalLink171.xml"/><Relationship Id="rId215" Type="http://schemas.openxmlformats.org/officeDocument/2006/relationships/externalLink" Target="externalLinks/externalLink206.xml"/><Relationship Id="rId236" Type="http://schemas.openxmlformats.org/officeDocument/2006/relationships/externalLink" Target="externalLinks/externalLink227.xml"/><Relationship Id="rId257" Type="http://schemas.openxmlformats.org/officeDocument/2006/relationships/externalLink" Target="externalLinks/externalLink248.xml"/><Relationship Id="rId278" Type="http://schemas.openxmlformats.org/officeDocument/2006/relationships/externalLink" Target="externalLinks/externalLink269.xml"/><Relationship Id="rId42" Type="http://schemas.openxmlformats.org/officeDocument/2006/relationships/externalLink" Target="externalLinks/externalLink33.xml"/><Relationship Id="rId84" Type="http://schemas.openxmlformats.org/officeDocument/2006/relationships/externalLink" Target="externalLinks/externalLink75.xml"/><Relationship Id="rId138" Type="http://schemas.openxmlformats.org/officeDocument/2006/relationships/externalLink" Target="externalLinks/externalLink129.xml"/><Relationship Id="rId191" Type="http://schemas.openxmlformats.org/officeDocument/2006/relationships/externalLink" Target="externalLinks/externalLink182.xml"/><Relationship Id="rId205" Type="http://schemas.openxmlformats.org/officeDocument/2006/relationships/externalLink" Target="externalLinks/externalLink196.xml"/><Relationship Id="rId247" Type="http://schemas.openxmlformats.org/officeDocument/2006/relationships/externalLink" Target="externalLinks/externalLink238.xml"/><Relationship Id="rId107" Type="http://schemas.openxmlformats.org/officeDocument/2006/relationships/externalLink" Target="externalLinks/externalLink98.xml"/><Relationship Id="rId11" Type="http://schemas.openxmlformats.org/officeDocument/2006/relationships/externalLink" Target="externalLinks/externalLink2.xml"/><Relationship Id="rId53" Type="http://schemas.openxmlformats.org/officeDocument/2006/relationships/externalLink" Target="externalLinks/externalLink44.xml"/><Relationship Id="rId149" Type="http://schemas.openxmlformats.org/officeDocument/2006/relationships/externalLink" Target="externalLinks/externalLink140.xml"/><Relationship Id="rId95" Type="http://schemas.openxmlformats.org/officeDocument/2006/relationships/externalLink" Target="externalLinks/externalLink86.xml"/><Relationship Id="rId160" Type="http://schemas.openxmlformats.org/officeDocument/2006/relationships/externalLink" Target="externalLinks/externalLink151.xml"/><Relationship Id="rId216" Type="http://schemas.openxmlformats.org/officeDocument/2006/relationships/externalLink" Target="externalLinks/externalLink207.xml"/><Relationship Id="rId258" Type="http://schemas.openxmlformats.org/officeDocument/2006/relationships/externalLink" Target="externalLinks/externalLink249.xml"/><Relationship Id="rId22" Type="http://schemas.openxmlformats.org/officeDocument/2006/relationships/externalLink" Target="externalLinks/externalLink13.xml"/><Relationship Id="rId64" Type="http://schemas.openxmlformats.org/officeDocument/2006/relationships/externalLink" Target="externalLinks/externalLink55.xml"/><Relationship Id="rId118" Type="http://schemas.openxmlformats.org/officeDocument/2006/relationships/externalLink" Target="externalLinks/externalLink10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19.0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05).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03).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04).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05).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06).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07).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08).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09).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10).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11).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06).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01).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02).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03).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04).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05).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06).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07).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08).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09).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07).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11).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3.12).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01).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02).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03).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04).xlsx"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05).xlsx"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06).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07).xlsx"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0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08).xlsx"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09).xlsx"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10).xlsx"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11).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4.12).xlsx"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5.01).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5.02).xlsx"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5.03).xlsx"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19.08).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19.09).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19.1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09).xlsx"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19.11).xlsx"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19.12).xlsx"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01).xlsx"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02).xlsx"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03).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04).xlsx"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05).xlsx"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06).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07).xlsx"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0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10).xlsx"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09).xlsx"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10).xlsx"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11).xlsx"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0.12).xlsx"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01).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02).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03).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04).xlsx"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05).xlsx"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0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11).xlsx"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07).xlsx"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08).xlsx"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09).xlsx"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10).xlsx"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11).xlsx"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1.12).xlsx"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01).xlsx"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02).xlsx"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03).xlsx"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12).xlsx"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05).xlsx"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06).xlsx"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07).xlsx"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08).xlsx"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09).xlsx"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10).xlsx"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11).xlsx"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2.12).xlsx"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01).xlsx"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01).xlsx"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03).xlsx"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04).xlsx"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05).xlsx"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06).xlsx"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07).xlsx"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08).xlsx"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09).xlsx"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10).xlsx"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11).xlsx"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3-1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02).xlsx"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01).xlsx"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02).xlsx"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03).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04).xlsx"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05).xlsx"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06).xlsx"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07).xlsx"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08).xlsx"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09).xlsx"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19.0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03).xlsx"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11).xlsx"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4-12).xlsx"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5-01).xlsx"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Dedicated)%20(2025-02).xlsx"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19.08).xlsx"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19.09).xlsx"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19.10).xlsx"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19.11).xlsx"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19.12).xlsx"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04).xlsx"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02).xls"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03).xls"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04).xls"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05).xls"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06).xls"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07).xls"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08).xls"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09).xls"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10).xls"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05).xlsx"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0.12).xls"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01).xls"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02).xls"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03).xls"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04).xls"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05).xls"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06).xls"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07).xls"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08).xls"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06).xlsx"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10).xls"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11).xls"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1.12).xls"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01).xls" TargetMode="External"/></Relationships>
</file>

<file path=xl/externalLinks/_rels/externalLink23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02).xls" TargetMode="External"/></Relationships>
</file>

<file path=xl/externalLinks/_rels/externalLink23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03).xls" TargetMode="External"/></Relationships>
</file>

<file path=xl/externalLinks/_rels/externalLink23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04).xls" TargetMode="External"/></Relationships>
</file>

<file path=xl/externalLinks/_rels/externalLink23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05).xls" TargetMode="External"/></Relationships>
</file>

<file path=xl/externalLinks/_rels/externalLink23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06).xls" TargetMode="External"/></Relationships>
</file>

<file path=xl/externalLinks/_rels/externalLink23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07).xlsx" TargetMode="External"/></Relationships>
</file>

<file path=xl/externalLinks/_rels/externalLink24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08).xls" TargetMode="External"/></Relationships>
</file>

<file path=xl/externalLinks/_rels/externalLink24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09).xls" TargetMode="External"/></Relationships>
</file>

<file path=xl/externalLinks/_rels/externalLink24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10).xls" TargetMode="External"/></Relationships>
</file>

<file path=xl/externalLinks/_rels/externalLink24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11).xls" TargetMode="External"/></Relationships>
</file>

<file path=xl/externalLinks/_rels/externalLink24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2.12).xls" TargetMode="External"/></Relationships>
</file>

<file path=xl/externalLinks/_rels/externalLink24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01).xls" TargetMode="External"/></Relationships>
</file>

<file path=xl/externalLinks/_rels/externalLink24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02).xls" TargetMode="External"/></Relationships>
</file>

<file path=xl/externalLinks/_rels/externalLink24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03).xls" TargetMode="External"/></Relationships>
</file>

<file path=xl/externalLinks/_rels/externalLink24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04).xls" TargetMode="External"/></Relationships>
</file>

<file path=xl/externalLinks/_rels/externalLink24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0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08).xlsx" TargetMode="External"/></Relationships>
</file>

<file path=xl/externalLinks/_rels/externalLink25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06).xls" TargetMode="External"/></Relationships>
</file>

<file path=xl/externalLinks/_rels/externalLink25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07).xls" TargetMode="External"/></Relationships>
</file>

<file path=xl/externalLinks/_rels/externalLink25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08).xls" TargetMode="External"/></Relationships>
</file>

<file path=xl/externalLinks/_rels/externalLink25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09).xls" TargetMode="External"/></Relationships>
</file>

<file path=xl/externalLinks/_rels/externalLink25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10).xls" TargetMode="External"/></Relationships>
</file>

<file path=xl/externalLinks/_rels/externalLink25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11).xls" TargetMode="External"/></Relationships>
</file>

<file path=xl/externalLinks/_rels/externalLink25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3.12).xls" TargetMode="External"/></Relationships>
</file>

<file path=xl/externalLinks/_rels/externalLink25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01).xls" TargetMode="External"/></Relationships>
</file>

<file path=xl/externalLinks/_rels/externalLink25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02).xls" TargetMode="External"/></Relationships>
</file>

<file path=xl/externalLinks/_rels/externalLink25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sserver2\Regulatory%20Filings\ES\Member%20Filings\JPEC\Dedicated\JPEC%20-%20ES%20Filing%20(non-Dedicated)%20(2021.09).xlsx" TargetMode="External"/></Relationships>
</file>

<file path=xl/externalLinks/_rels/externalLink26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04).xls" TargetMode="External"/></Relationships>
</file>

<file path=xl/externalLinks/_rels/externalLink26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05).xls" TargetMode="External"/></Relationships>
</file>

<file path=xl/externalLinks/_rels/externalLink26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06).xls" TargetMode="External"/></Relationships>
</file>

<file path=xl/externalLinks/_rels/externalLink26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07).xls" TargetMode="External"/></Relationships>
</file>

<file path=xl/externalLinks/_rels/externalLink26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08).xls" TargetMode="External"/></Relationships>
</file>

<file path=xl/externalLinks/_rels/externalLink26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09).xls" TargetMode="External"/></Relationships>
</file>

<file path=xl/externalLinks/_rels/externalLink26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10).xls" TargetMode="External"/></Relationships>
</file>

<file path=xl/externalLinks/_rels/externalLink26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11).xls" TargetMode="External"/></Relationships>
</file>

<file path=xl/externalLinks/_rels/externalLink26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4.12).xls" TargetMode="External"/></Relationships>
</file>

<file path=xl/externalLinks/_rels/externalLink26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5.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10).xlsx" TargetMode="External"/></Relationships>
</file>

<file path=xl/externalLinks/_rels/externalLink27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5.02).xls" TargetMode="External"/></Relationships>
</file>

<file path=xl/externalLinks/_rels/externalLink27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Dedictated\Kenergy%20-%20ES%20Filing%20(Dedicated)%20(2025.03).xls" TargetMode="External"/></Relationships>
</file>

<file path=xl/externalLinks/_rels/externalLink272.xml.rels><?xml version="1.0" encoding="UTF-8" standalone="yes"?>
<Relationships xmlns="http://schemas.openxmlformats.org/package/2006/relationships"><Relationship Id="rId1" Type="http://schemas.openxmlformats.org/officeDocument/2006/relationships/externalLinkPath" Target="file:///I:\Monthly%20Reporting\2022\VARIANCE%20EXPLANATIONS\1222\1222%20Revenue%20Billing%20Summary.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1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1.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19.1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0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0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03).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04).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0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07).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08).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0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19.1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1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2.1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0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0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03).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04).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05).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06).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07).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19.1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0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1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1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3-12).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01).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02).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03).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04).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05).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0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07).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08).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0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1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11).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4-12).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5-01).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5-02).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msserver2\Regulatory%20Filings\ES\ES%20Filings%20&amp;%20Calcs%20(2012.09%20-%20Present).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19.0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02).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19.09).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19.1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19.11).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19.12).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0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03).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0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05).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03).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08).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0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1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1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0.12).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01).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02).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03).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sserver2\Regulatory%20Filings\ES\Member%20Filings\JPEC\Non-Dedicated\JPEC%20-%20ES%20Filing%20(Non-Dedicated)%20(2020.04).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05).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06).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07).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08).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09).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10).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11).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1.12).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01).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msserver2\Regulatory%20Filings\ES\Member%20Filings\Kenergy\Non-Dedicated\Kenergy%20-%20ES%20Filing%20(Non-Dedicated)%20(20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449700.33</v>
          </cell>
        </row>
        <row r="28">
          <cell r="E28">
            <v>397450.41</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151658.12</v>
          </cell>
        </row>
        <row r="28">
          <cell r="E28">
            <v>130215.46</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435887.41</v>
          </cell>
        </row>
        <row r="29">
          <cell r="E29">
            <v>613134.79175202199</v>
          </cell>
        </row>
      </sheetData>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430803.51</v>
          </cell>
        </row>
        <row r="29">
          <cell r="E29">
            <v>569484.70281674014</v>
          </cell>
        </row>
      </sheetData>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358803.69</v>
          </cell>
        </row>
        <row r="29">
          <cell r="E29">
            <v>560820.70000620594</v>
          </cell>
        </row>
      </sheetData>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573376.5</v>
          </cell>
        </row>
        <row r="29">
          <cell r="E29">
            <v>685211.55627545412</v>
          </cell>
        </row>
      </sheetData>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537548.57999999996</v>
          </cell>
        </row>
        <row r="29">
          <cell r="E29">
            <v>571906.24865594599</v>
          </cell>
        </row>
      </sheetData>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523000.83</v>
          </cell>
        </row>
        <row r="29">
          <cell r="E29">
            <v>507130.90261734801</v>
          </cell>
        </row>
      </sheetData>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337553.18</v>
          </cell>
        </row>
        <row r="29">
          <cell r="E29">
            <v>350642.84948950005</v>
          </cell>
        </row>
      </sheetData>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329572.69</v>
          </cell>
        </row>
        <row r="29">
          <cell r="E29">
            <v>352039.21175139805</v>
          </cell>
        </row>
      </sheetData>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297656.48</v>
          </cell>
        </row>
        <row r="29">
          <cell r="E29">
            <v>320163.36702375009</v>
          </cell>
        </row>
      </sheetData>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469319.27</v>
          </cell>
        </row>
        <row r="29">
          <cell r="E29">
            <v>546193.60800279211</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218838.21</v>
          </cell>
        </row>
        <row r="28">
          <cell r="E28">
            <v>155595.63</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977076.05</v>
          </cell>
        </row>
        <row r="29">
          <cell r="E29">
            <v>444504.23314811499</v>
          </cell>
        </row>
      </sheetData>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378313.11</v>
          </cell>
        </row>
        <row r="29">
          <cell r="E29">
            <v>339599.55362033797</v>
          </cell>
        </row>
      </sheetData>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320110.40999999997</v>
          </cell>
        </row>
        <row r="29">
          <cell r="E29">
            <v>712663.51363604004</v>
          </cell>
        </row>
      </sheetData>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353839.8</v>
          </cell>
        </row>
        <row r="29">
          <cell r="E29">
            <v>386387.08277644205</v>
          </cell>
        </row>
      </sheetData>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436093.96</v>
          </cell>
        </row>
        <row r="29">
          <cell r="E29">
            <v>418090.70334573503</v>
          </cell>
        </row>
      </sheetData>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655720.62</v>
          </cell>
        </row>
        <row r="29">
          <cell r="E29">
            <v>446543.1484695751</v>
          </cell>
        </row>
      </sheetData>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760807.77</v>
          </cell>
        </row>
        <row r="29">
          <cell r="E29">
            <v>642333.58320599096</v>
          </cell>
        </row>
      </sheetData>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726449.87</v>
          </cell>
        </row>
        <row r="29">
          <cell r="E29">
            <v>688470.17225577007</v>
          </cell>
        </row>
      </sheetData>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545016.07999999996</v>
          </cell>
        </row>
        <row r="29">
          <cell r="E29">
            <v>603416.6716138398</v>
          </cell>
        </row>
      </sheetData>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454899.53</v>
          </cell>
        </row>
        <row r="29">
          <cell r="E29">
            <v>486170.34115277702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381761.53</v>
          </cell>
        </row>
        <row r="28">
          <cell r="E28">
            <v>197351.93</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607317.53</v>
          </cell>
        </row>
        <row r="29">
          <cell r="E29">
            <v>495912.40664332395</v>
          </cell>
        </row>
      </sheetData>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674945.85</v>
          </cell>
        </row>
        <row r="29">
          <cell r="E29">
            <v>664178.34035061602</v>
          </cell>
        </row>
      </sheetData>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916428.63</v>
          </cell>
        </row>
        <row r="29">
          <cell r="E29">
            <v>862456.5808383039</v>
          </cell>
        </row>
      </sheetData>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517832.29</v>
          </cell>
        </row>
        <row r="29">
          <cell r="E29">
            <v>690110.42236537195</v>
          </cell>
        </row>
      </sheetData>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425826.92</v>
          </cell>
        </row>
        <row r="29">
          <cell r="E29">
            <v>509315.76532777498</v>
          </cell>
        </row>
      </sheetData>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508606.02</v>
          </cell>
        </row>
        <row r="29">
          <cell r="E29">
            <v>389541.79170745605</v>
          </cell>
        </row>
      </sheetData>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537337.06000000006</v>
          </cell>
        </row>
        <row r="29">
          <cell r="E29">
            <v>626886.80201395403</v>
          </cell>
        </row>
      </sheetData>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680622.53</v>
          </cell>
        </row>
        <row r="29">
          <cell r="E29">
            <v>656041.53152575996</v>
          </cell>
        </row>
      </sheetData>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852360.82</v>
          </cell>
        </row>
        <row r="29">
          <cell r="E29">
            <v>736812.3352751201</v>
          </cell>
        </row>
      </sheetData>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790617.54</v>
          </cell>
        </row>
        <row r="29">
          <cell r="E29">
            <v>632278.6491098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RER"/>
      <sheetName val="RER-B"/>
      <sheetName val="PPA"/>
      <sheetName val="Summary-RSCF"/>
      <sheetName val="Summary-Other"/>
      <sheetName val="Line Loss"/>
    </sheetNames>
    <sheetDataSet>
      <sheetData sheetId="0"/>
      <sheetData sheetId="1">
        <row r="10">
          <cell r="J10">
            <v>391466.06</v>
          </cell>
        </row>
        <row r="28">
          <cell r="E28">
            <v>268536.05</v>
          </cell>
        </row>
      </sheetData>
      <sheetData sheetId="2"/>
      <sheetData sheetId="3"/>
      <sheetData sheetId="4"/>
      <sheetData sheetId="5"/>
      <sheetData sheetId="6"/>
      <sheetData sheetId="7"/>
      <sheetData sheetId="8"/>
      <sheetData sheetId="9"/>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629954.02</v>
          </cell>
        </row>
        <row r="29">
          <cell r="E29">
            <v>647187.12580408412</v>
          </cell>
        </row>
      </sheetData>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528488.06999999995</v>
          </cell>
        </row>
        <row r="29">
          <cell r="E29">
            <v>583660.06809518393</v>
          </cell>
        </row>
      </sheetData>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489760.29</v>
          </cell>
        </row>
        <row r="29">
          <cell r="E29">
            <v>547511.79414106393</v>
          </cell>
        </row>
      </sheetData>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760273.83</v>
          </cell>
        </row>
        <row r="29">
          <cell r="E29">
            <v>782124.80139840499</v>
          </cell>
        </row>
      </sheetData>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846546.12</v>
          </cell>
        </row>
        <row r="29">
          <cell r="E29">
            <v>828509.99828405702</v>
          </cell>
        </row>
      </sheetData>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758979.7</v>
          </cell>
        </row>
        <row r="29">
          <cell r="E29">
            <v>761204.99560091691</v>
          </cell>
        </row>
      </sheetData>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430584.95</v>
          </cell>
        </row>
        <row r="29">
          <cell r="E29">
            <v>478982.49100601801</v>
          </cell>
        </row>
      </sheetData>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144.34</v>
          </cell>
        </row>
      </sheetData>
      <sheetData sheetId="2"/>
      <sheetData sheetId="3"/>
      <sheetData sheetId="4"/>
      <sheetData sheetId="5"/>
      <sheetData sheetId="6"/>
      <sheetData sheetId="7"/>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101.47</v>
          </cell>
        </row>
      </sheetData>
      <sheetData sheetId="2"/>
      <sheetData sheetId="3"/>
      <sheetData sheetId="4"/>
      <sheetData sheetId="5"/>
      <sheetData sheetId="6"/>
      <sheetData sheetId="7"/>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1649.46</v>
          </cell>
        </row>
      </sheetData>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RER"/>
      <sheetName val="RER-B"/>
      <sheetName val="PPA"/>
      <sheetName val="Summary-RSCF"/>
      <sheetName val="Summary-Other"/>
      <sheetName val="Line Loss"/>
    </sheetNames>
    <sheetDataSet>
      <sheetData sheetId="0"/>
      <sheetData sheetId="1">
        <row r="10">
          <cell r="J10">
            <v>286924.90000000002</v>
          </cell>
        </row>
        <row r="28">
          <cell r="E28">
            <v>274108.71999999997</v>
          </cell>
        </row>
      </sheetData>
      <sheetData sheetId="2"/>
      <sheetData sheetId="3"/>
      <sheetData sheetId="4"/>
      <sheetData sheetId="5"/>
      <sheetData sheetId="6"/>
      <sheetData sheetId="7"/>
      <sheetData sheetId="8"/>
      <sheetData sheetId="9"/>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85.01</v>
          </cell>
        </row>
      </sheetData>
      <sheetData sheetId="2"/>
      <sheetData sheetId="3"/>
      <sheetData sheetId="4"/>
      <sheetData sheetId="5"/>
      <sheetData sheetId="6"/>
      <sheetData sheetId="7"/>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refreshError="1"/>
      <sheetData sheetId="1">
        <row r="10">
          <cell r="I10">
            <v>1612.67</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70.69</v>
          </cell>
        </row>
      </sheetData>
      <sheetData sheetId="2"/>
      <sheetData sheetId="3"/>
      <sheetData sheetId="4"/>
      <sheetData sheetId="5"/>
      <sheetData sheetId="6"/>
      <sheetData sheetId="7"/>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56.55</v>
          </cell>
        </row>
      </sheetData>
      <sheetData sheetId="2"/>
      <sheetData sheetId="3"/>
      <sheetData sheetId="4"/>
      <sheetData sheetId="5"/>
      <sheetData sheetId="6"/>
      <sheetData sheetId="7"/>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66.819999999999993</v>
          </cell>
        </row>
      </sheetData>
      <sheetData sheetId="2"/>
      <sheetData sheetId="3"/>
      <sheetData sheetId="4"/>
      <sheetData sheetId="5"/>
      <sheetData sheetId="6"/>
      <sheetData sheetId="7"/>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59.11</v>
          </cell>
        </row>
      </sheetData>
      <sheetData sheetId="2"/>
      <sheetData sheetId="3"/>
      <sheetData sheetId="4"/>
      <sheetData sheetId="5"/>
      <sheetData sheetId="6"/>
      <sheetData sheetId="7"/>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56.28</v>
          </cell>
        </row>
      </sheetData>
      <sheetData sheetId="2"/>
      <sheetData sheetId="3"/>
      <sheetData sheetId="4"/>
      <sheetData sheetId="5"/>
      <sheetData sheetId="6"/>
      <sheetData sheetId="7"/>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65.430000000000007</v>
          </cell>
        </row>
      </sheetData>
      <sheetData sheetId="2"/>
      <sheetData sheetId="3"/>
      <sheetData sheetId="4"/>
      <sheetData sheetId="5"/>
      <sheetData sheetId="6"/>
      <sheetData sheetId="7"/>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RER"/>
      <sheetName val="PPA"/>
      <sheetName val="Summary"/>
    </sheetNames>
    <sheetDataSet>
      <sheetData sheetId="0"/>
      <sheetData sheetId="1">
        <row r="10">
          <cell r="I10">
            <v>34.67</v>
          </cell>
        </row>
      </sheetData>
      <sheetData sheetId="2"/>
      <sheetData sheetId="3"/>
      <sheetData sheetId="4"/>
      <sheetData sheetId="5"/>
      <sheetData sheetId="6"/>
      <sheetData sheetId="7"/>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35.020000000000003</v>
          </cell>
        </row>
      </sheetData>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RER"/>
      <sheetName val="RER-B"/>
      <sheetName val="PPA"/>
      <sheetName val="Summary-RSCF"/>
      <sheetName val="Summary-Other"/>
      <sheetName val="Line Loss"/>
    </sheetNames>
    <sheetDataSet>
      <sheetData sheetId="0"/>
      <sheetData sheetId="1">
        <row r="10">
          <cell r="J10">
            <v>116459.44</v>
          </cell>
        </row>
        <row r="28">
          <cell r="E28">
            <v>285284.46999999997</v>
          </cell>
        </row>
      </sheetData>
      <sheetData sheetId="2"/>
      <sheetData sheetId="3"/>
      <sheetData sheetId="4"/>
      <sheetData sheetId="5"/>
      <sheetData sheetId="6"/>
      <sheetData sheetId="7"/>
      <sheetData sheetId="8"/>
      <sheetData sheetId="9"/>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27.91</v>
          </cell>
        </row>
      </sheetData>
      <sheetData sheetId="2"/>
      <sheetData sheetId="3"/>
      <sheetData sheetId="4"/>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19.010000000000002</v>
          </cell>
        </row>
      </sheetData>
      <sheetData sheetId="2"/>
      <sheetData sheetId="3"/>
      <sheetData sheetId="4"/>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29.16</v>
          </cell>
        </row>
      </sheetData>
      <sheetData sheetId="2"/>
      <sheetData sheetId="3"/>
      <sheetData sheetId="4"/>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48.19</v>
          </cell>
        </row>
      </sheetData>
      <sheetData sheetId="2"/>
      <sheetData sheetId="3"/>
      <sheetData sheetId="4"/>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68.430000000000007</v>
          </cell>
        </row>
      </sheetData>
      <sheetData sheetId="2"/>
      <sheetData sheetId="3"/>
      <sheetData sheetId="4"/>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55.66</v>
          </cell>
        </row>
      </sheetData>
      <sheetData sheetId="2"/>
      <sheetData sheetId="3"/>
      <sheetData sheetId="4"/>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53.15</v>
          </cell>
        </row>
      </sheetData>
      <sheetData sheetId="2"/>
      <sheetData sheetId="3"/>
      <sheetData sheetId="4"/>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30.69</v>
          </cell>
        </row>
      </sheetData>
      <sheetData sheetId="2"/>
      <sheetData sheetId="3"/>
      <sheetData sheetId="4"/>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55</v>
          </cell>
        </row>
      </sheetData>
      <sheetData sheetId="2"/>
      <sheetData sheetId="3"/>
      <sheetData sheetId="4"/>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69.22</v>
          </cell>
        </row>
      </sheetData>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RER"/>
      <sheetName val="RER-B"/>
      <sheetName val="PPA"/>
      <sheetName val="Summary-RSCF"/>
      <sheetName val="Summary-Other"/>
      <sheetName val="Line Loss"/>
    </sheetNames>
    <sheetDataSet>
      <sheetData sheetId="0"/>
      <sheetData sheetId="1">
        <row r="10">
          <cell r="J10">
            <v>199734.43</v>
          </cell>
        </row>
        <row r="28">
          <cell r="E28">
            <v>234755.12</v>
          </cell>
        </row>
      </sheetData>
      <sheetData sheetId="2"/>
      <sheetData sheetId="3"/>
      <sheetData sheetId="4"/>
      <sheetData sheetId="5"/>
      <sheetData sheetId="6"/>
      <sheetData sheetId="7"/>
      <sheetData sheetId="8"/>
      <sheetData sheetId="9"/>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50.22</v>
          </cell>
        </row>
      </sheetData>
      <sheetData sheetId="2"/>
      <sheetData sheetId="3"/>
      <sheetData sheetId="4"/>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63.72</v>
          </cell>
        </row>
      </sheetData>
      <sheetData sheetId="2"/>
      <sheetData sheetId="3"/>
      <sheetData sheetId="4"/>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55.04</v>
          </cell>
        </row>
      </sheetData>
      <sheetData sheetId="2"/>
      <sheetData sheetId="3"/>
      <sheetData sheetId="4"/>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29.68</v>
          </cell>
        </row>
      </sheetData>
      <sheetData sheetId="2"/>
      <sheetData sheetId="3"/>
      <sheetData sheetId="4"/>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47.6</v>
          </cell>
        </row>
      </sheetData>
      <sheetData sheetId="2"/>
      <sheetData sheetId="3"/>
      <sheetData sheetId="4"/>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58</v>
          </cell>
        </row>
      </sheetData>
      <sheetData sheetId="2"/>
      <sheetData sheetId="3"/>
      <sheetData sheetId="4"/>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80.92</v>
          </cell>
        </row>
      </sheetData>
      <sheetData sheetId="2"/>
      <sheetData sheetId="3"/>
      <sheetData sheetId="4"/>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4782.03</v>
          </cell>
        </row>
      </sheetData>
      <sheetData sheetId="2"/>
      <sheetData sheetId="3"/>
      <sheetData sheetId="4"/>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2994.28</v>
          </cell>
        </row>
      </sheetData>
      <sheetData sheetId="2"/>
      <sheetData sheetId="3"/>
      <sheetData sheetId="4"/>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3340.75</v>
          </cell>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246938</v>
          </cell>
        </row>
        <row r="28">
          <cell r="E28">
            <v>213424.69</v>
          </cell>
        </row>
      </sheetData>
      <sheetData sheetId="2"/>
      <sheetData sheetId="3"/>
      <sheetData sheetId="4"/>
      <sheetData sheetId="5"/>
      <sheetData sheetId="6"/>
      <sheetData sheetId="7"/>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2370.48</v>
          </cell>
        </row>
      </sheetData>
      <sheetData sheetId="2"/>
      <sheetData sheetId="3"/>
      <sheetData sheetId="4"/>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17898.21</v>
          </cell>
        </row>
      </sheetData>
      <sheetData sheetId="2"/>
      <sheetData sheetId="3"/>
      <sheetData sheetId="4"/>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16830.95</v>
          </cell>
        </row>
      </sheetData>
      <sheetData sheetId="2"/>
      <sheetData sheetId="3"/>
      <sheetData sheetId="4"/>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17861.830000000002</v>
          </cell>
        </row>
      </sheetData>
      <sheetData sheetId="2"/>
      <sheetData sheetId="3"/>
      <sheetData sheetId="4"/>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13870.43</v>
          </cell>
        </row>
      </sheetData>
      <sheetData sheetId="2"/>
      <sheetData sheetId="3"/>
      <sheetData sheetId="4"/>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18269.669999999998</v>
          </cell>
        </row>
      </sheetData>
      <sheetData sheetId="2"/>
      <sheetData sheetId="3"/>
      <sheetData sheetId="4"/>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12954.16</v>
          </cell>
        </row>
      </sheetData>
      <sheetData sheetId="2"/>
      <sheetData sheetId="3"/>
      <sheetData sheetId="4"/>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15700.890000000001</v>
          </cell>
        </row>
      </sheetData>
      <sheetData sheetId="2"/>
      <sheetData sheetId="3"/>
      <sheetData sheetId="4"/>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37214.26</v>
          </cell>
        </row>
      </sheetData>
      <sheetData sheetId="2"/>
      <sheetData sheetId="3"/>
      <sheetData sheetId="4"/>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14533.2</v>
          </cell>
        </row>
      </sheetData>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356919.57</v>
          </cell>
        </row>
        <row r="28">
          <cell r="E28">
            <v>189277.55</v>
          </cell>
        </row>
      </sheetData>
      <sheetData sheetId="2"/>
      <sheetData sheetId="3"/>
      <sheetData sheetId="4"/>
      <sheetData sheetId="5"/>
      <sheetData sheetId="6"/>
      <sheetData sheetId="7"/>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13101.779999999999</v>
          </cell>
        </row>
      </sheetData>
      <sheetData sheetId="2"/>
      <sheetData sheetId="3"/>
      <sheetData sheetId="4"/>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20066.34</v>
          </cell>
        </row>
      </sheetData>
      <sheetData sheetId="2"/>
      <sheetData sheetId="3"/>
      <sheetData sheetId="4"/>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20408.43</v>
          </cell>
        </row>
      </sheetData>
      <sheetData sheetId="2"/>
      <sheetData sheetId="3"/>
      <sheetData sheetId="4"/>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26357.600000000002</v>
          </cell>
        </row>
      </sheetData>
      <sheetData sheetId="2"/>
      <sheetData sheetId="3"/>
      <sheetData sheetId="4"/>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25546.94</v>
          </cell>
        </row>
      </sheetData>
      <sheetData sheetId="2"/>
      <sheetData sheetId="3"/>
      <sheetData sheetId="4"/>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20969.3</v>
          </cell>
        </row>
      </sheetData>
      <sheetData sheetId="2"/>
      <sheetData sheetId="3"/>
      <sheetData sheetId="4"/>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26061.51</v>
          </cell>
        </row>
      </sheetData>
      <sheetData sheetId="2"/>
      <sheetData sheetId="3"/>
      <sheetData sheetId="4"/>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26052.28</v>
          </cell>
        </row>
      </sheetData>
      <sheetData sheetId="2"/>
      <sheetData sheetId="3"/>
      <sheetData sheetId="4"/>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36085.659999999996</v>
          </cell>
        </row>
      </sheetData>
      <sheetData sheetId="2"/>
      <sheetData sheetId="3"/>
      <sheetData sheetId="4"/>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41691.670000000006</v>
          </cell>
        </row>
      </sheetData>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276239.82</v>
          </cell>
        </row>
        <row r="28">
          <cell r="E28">
            <v>379034.08</v>
          </cell>
        </row>
      </sheetData>
      <sheetData sheetId="2"/>
      <sheetData sheetId="3"/>
      <sheetData sheetId="4"/>
      <sheetData sheetId="5"/>
      <sheetData sheetId="6"/>
      <sheetData sheetId="7"/>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44322.700000000004</v>
          </cell>
        </row>
      </sheetData>
      <sheetData sheetId="2"/>
      <sheetData sheetId="3"/>
      <sheetData sheetId="4"/>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33489.82</v>
          </cell>
        </row>
      </sheetData>
      <sheetData sheetId="2"/>
      <sheetData sheetId="3"/>
      <sheetData sheetId="4"/>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28267.89</v>
          </cell>
        </row>
      </sheetData>
      <sheetData sheetId="2"/>
      <sheetData sheetId="3"/>
      <sheetData sheetId="4"/>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34404.14</v>
          </cell>
        </row>
      </sheetData>
      <sheetData sheetId="2"/>
      <sheetData sheetId="3"/>
      <sheetData sheetId="4"/>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27374.74</v>
          </cell>
        </row>
      </sheetData>
      <sheetData sheetId="2"/>
      <sheetData sheetId="3"/>
      <sheetData sheetId="4"/>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27606.43</v>
          </cell>
        </row>
      </sheetData>
      <sheetData sheetId="2"/>
      <sheetData sheetId="3"/>
      <sheetData sheetId="4"/>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31898.799999999999</v>
          </cell>
        </row>
      </sheetData>
      <sheetData sheetId="2"/>
      <sheetData sheetId="3"/>
      <sheetData sheetId="4"/>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30230.65</v>
          </cell>
        </row>
      </sheetData>
      <sheetData sheetId="2"/>
      <sheetData sheetId="3"/>
      <sheetData sheetId="4"/>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28230.11</v>
          </cell>
        </row>
      </sheetData>
      <sheetData sheetId="2"/>
      <sheetData sheetId="3"/>
      <sheetData sheetId="4"/>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29322.3</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304573.08</v>
          </cell>
        </row>
        <row r="28">
          <cell r="E28">
            <v>553747.52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261761.49</v>
          </cell>
        </row>
        <row r="28">
          <cell r="E28">
            <v>298652.49</v>
          </cell>
        </row>
      </sheetData>
      <sheetData sheetId="2"/>
      <sheetData sheetId="3"/>
      <sheetData sheetId="4"/>
      <sheetData sheetId="5"/>
      <sheetData sheetId="6"/>
      <sheetData sheetId="7"/>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28768.29</v>
          </cell>
        </row>
      </sheetData>
      <sheetData sheetId="2"/>
      <sheetData sheetId="3"/>
      <sheetData sheetId="4"/>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34028.080000000002</v>
          </cell>
        </row>
      </sheetData>
      <sheetData sheetId="2"/>
      <sheetData sheetId="3"/>
      <sheetData sheetId="4"/>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27107.88</v>
          </cell>
        </row>
      </sheetData>
      <sheetData sheetId="2"/>
      <sheetData sheetId="3"/>
      <sheetData sheetId="4"/>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PPA"/>
      <sheetName val="Summary"/>
    </sheetNames>
    <sheetDataSet>
      <sheetData sheetId="0"/>
      <sheetData sheetId="1">
        <row r="10">
          <cell r="I10">
            <v>28335.360000000001</v>
          </cell>
        </row>
      </sheetData>
      <sheetData sheetId="2"/>
      <sheetData sheetId="3"/>
      <sheetData sheetId="4"/>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448931.85</v>
          </cell>
        </row>
      </sheetData>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304990.96000000002</v>
          </cell>
        </row>
      </sheetData>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289705.84000000003</v>
          </cell>
        </row>
      </sheetData>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256655.74</v>
          </cell>
        </row>
      </sheetData>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323203.69</v>
          </cell>
        </row>
      </sheetData>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212994.86</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137606.96</v>
          </cell>
        </row>
        <row r="28">
          <cell r="E28">
            <v>330628.26</v>
          </cell>
        </row>
      </sheetData>
      <sheetData sheetId="2"/>
      <sheetData sheetId="3"/>
      <sheetData sheetId="4"/>
      <sheetData sheetId="5"/>
      <sheetData sheetId="6"/>
      <sheetData sheetId="7"/>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188460.75</v>
          </cell>
        </row>
      </sheetData>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232488.57</v>
          </cell>
        </row>
      </sheetData>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184886.99</v>
          </cell>
        </row>
      </sheetData>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168768.44</v>
          </cell>
        </row>
      </sheetData>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207361.4</v>
          </cell>
        </row>
      </sheetData>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301295.46000000002</v>
          </cell>
        </row>
      </sheetData>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331064.65999999997</v>
          </cell>
        </row>
      </sheetData>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306589.52</v>
          </cell>
        </row>
      </sheetData>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165696.46</v>
          </cell>
        </row>
      </sheetData>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236434.75</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318099.93</v>
          </cell>
        </row>
        <row r="28">
          <cell r="E28">
            <v>114201.81999999999</v>
          </cell>
        </row>
      </sheetData>
      <sheetData sheetId="2"/>
      <sheetData sheetId="3"/>
      <sheetData sheetId="4"/>
      <sheetData sheetId="5"/>
      <sheetData sheetId="6"/>
      <sheetData sheetId="7"/>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245937.07</v>
          </cell>
        </row>
      </sheetData>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354988.96</v>
          </cell>
        </row>
      </sheetData>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220815.66</v>
          </cell>
        </row>
      </sheetData>
    </sheetDataSet>
  </externalBook>
</externalLink>
</file>

<file path=xl/externalLinks/externalLink2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314938.65000000002</v>
          </cell>
        </row>
      </sheetData>
    </sheetDataSet>
  </externalBook>
</externalLink>
</file>

<file path=xl/externalLinks/externalLink2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186536.76</v>
          </cell>
        </row>
      </sheetData>
    </sheetDataSet>
  </externalBook>
</externalLink>
</file>

<file path=xl/externalLinks/externalLink2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364447.87</v>
          </cell>
        </row>
      </sheetData>
    </sheetDataSet>
  </externalBook>
</externalLink>
</file>

<file path=xl/externalLinks/externalLink2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426323.53</v>
          </cell>
        </row>
      </sheetData>
    </sheetDataSet>
  </externalBook>
</externalLink>
</file>

<file path=xl/externalLinks/externalLink2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333702.14</v>
          </cell>
        </row>
      </sheetData>
    </sheetDataSet>
  </externalBook>
</externalLink>
</file>

<file path=xl/externalLinks/externalLink2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335092.55</v>
          </cell>
        </row>
      </sheetData>
    </sheetDataSet>
  </externalBook>
</externalLink>
</file>

<file path=xl/externalLinks/externalLink2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388555.48</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476138.18</v>
          </cell>
        </row>
        <row r="28">
          <cell r="E28">
            <v>219836.1</v>
          </cell>
        </row>
      </sheetData>
      <sheetData sheetId="2"/>
      <sheetData sheetId="3"/>
      <sheetData sheetId="4"/>
      <sheetData sheetId="5"/>
      <sheetData sheetId="6"/>
      <sheetData sheetId="7"/>
    </sheetDataSet>
  </externalBook>
</externalLink>
</file>

<file path=xl/externalLinks/externalLink2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211342.34</v>
          </cell>
        </row>
      </sheetData>
    </sheetDataSet>
  </externalBook>
</externalLink>
</file>

<file path=xl/externalLinks/externalLink2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314896.5</v>
          </cell>
        </row>
      </sheetData>
    </sheetDataSet>
  </externalBook>
</externalLink>
</file>

<file path=xl/externalLinks/externalLink2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398673.47</v>
          </cell>
        </row>
      </sheetData>
    </sheetDataSet>
  </externalBook>
</externalLink>
</file>

<file path=xl/externalLinks/externalLink2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382233.65</v>
          </cell>
        </row>
      </sheetData>
    </sheetDataSet>
  </externalBook>
</externalLink>
</file>

<file path=xl/externalLinks/externalLink2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433655.91</v>
          </cell>
        </row>
      </sheetData>
    </sheetDataSet>
  </externalBook>
</externalLink>
</file>

<file path=xl/externalLinks/externalLink2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248256.96</v>
          </cell>
        </row>
      </sheetData>
    </sheetDataSet>
  </externalBook>
</externalLink>
</file>

<file path=xl/externalLinks/externalLink2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292053.07</v>
          </cell>
        </row>
      </sheetData>
    </sheetDataSet>
  </externalBook>
</externalLink>
</file>

<file path=xl/externalLinks/externalLink2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210705.58</v>
          </cell>
        </row>
      </sheetData>
    </sheetDataSet>
  </externalBook>
</externalLink>
</file>

<file path=xl/externalLinks/externalLink2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264782.69</v>
          </cell>
        </row>
      </sheetData>
    </sheetDataSet>
  </externalBook>
</externalLink>
</file>

<file path=xl/externalLinks/externalLink2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271316.68</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430754.02</v>
          </cell>
        </row>
        <row r="28">
          <cell r="E28">
            <v>174839.51</v>
          </cell>
        </row>
      </sheetData>
      <sheetData sheetId="2"/>
      <sheetData sheetId="3"/>
      <sheetData sheetId="4"/>
      <sheetData sheetId="5"/>
      <sheetData sheetId="6"/>
      <sheetData sheetId="7"/>
    </sheetDataSet>
  </externalBook>
</externalLink>
</file>

<file path=xl/externalLinks/externalLink2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278415.03000000003</v>
          </cell>
        </row>
      </sheetData>
    </sheetDataSet>
  </externalBook>
</externalLink>
</file>

<file path=xl/externalLinks/externalLink2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201535.04</v>
          </cell>
        </row>
      </sheetData>
    </sheetDataSet>
  </externalBook>
</externalLink>
</file>

<file path=xl/externalLinks/externalLink2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268056.40000000002</v>
          </cell>
        </row>
      </sheetData>
    </sheetDataSet>
  </externalBook>
</externalLink>
</file>

<file path=xl/externalLinks/externalLink2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181900.68</v>
          </cell>
        </row>
      </sheetData>
    </sheetDataSet>
  </externalBook>
</externalLink>
</file>

<file path=xl/externalLinks/externalLink2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232942.01</v>
          </cell>
        </row>
      </sheetData>
    </sheetDataSet>
  </externalBook>
</externalLink>
</file>

<file path=xl/externalLinks/externalLink2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579125.26</v>
          </cell>
        </row>
      </sheetData>
    </sheetDataSet>
  </externalBook>
</externalLink>
</file>

<file path=xl/externalLinks/externalLink2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223693.16</v>
          </cell>
        </row>
      </sheetData>
    </sheetDataSet>
  </externalBook>
</externalLink>
</file>

<file path=xl/externalLinks/externalLink2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207798.77</v>
          </cell>
        </row>
      </sheetData>
    </sheetDataSet>
  </externalBook>
</externalLink>
</file>

<file path=xl/externalLinks/externalLink2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290679.06</v>
          </cell>
        </row>
      </sheetData>
    </sheetDataSet>
  </externalBook>
</externalLink>
</file>

<file path=xl/externalLinks/externalLink2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292229.28000000003</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431946.26</v>
          </cell>
        </row>
        <row r="28">
          <cell r="E28">
            <v>536957.89</v>
          </cell>
        </row>
      </sheetData>
      <sheetData sheetId="2"/>
      <sheetData sheetId="3"/>
      <sheetData sheetId="4"/>
      <sheetData sheetId="5"/>
      <sheetData sheetId="6"/>
      <sheetData sheetId="7"/>
    </sheetDataSet>
  </externalBook>
</externalLink>
</file>

<file path=xl/externalLinks/externalLink2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377514.75</v>
          </cell>
        </row>
      </sheetData>
    </sheetDataSet>
  </externalBook>
</externalLink>
</file>

<file path=xl/externalLinks/externalLink2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374941.88</v>
          </cell>
        </row>
      </sheetData>
    </sheetDataSet>
  </externalBook>
</externalLink>
</file>

<file path=xl/externalLinks/externalLink2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381749.76000000001</v>
          </cell>
        </row>
      </sheetData>
    </sheetDataSet>
  </externalBook>
</externalLink>
</file>

<file path=xl/externalLinks/externalLink2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333658.03000000003</v>
          </cell>
        </row>
      </sheetData>
    </sheetDataSet>
  </externalBook>
</externalLink>
</file>

<file path=xl/externalLinks/externalLink2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I11">
            <v>326288.73</v>
          </cell>
        </row>
      </sheetData>
    </sheetDataSet>
  </externalBook>
</externalLink>
</file>

<file path=xl/externalLinks/externalLink2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432574.83</v>
          </cell>
        </row>
      </sheetData>
    </sheetDataSet>
  </externalBook>
</externalLink>
</file>

<file path=xl/externalLinks/externalLink2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479804.71</v>
          </cell>
        </row>
      </sheetData>
    </sheetDataSet>
  </externalBook>
</externalLink>
</file>

<file path=xl/externalLinks/externalLink2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522143.18</v>
          </cell>
        </row>
      </sheetData>
    </sheetDataSet>
  </externalBook>
</externalLink>
</file>

<file path=xl/externalLinks/externalLink2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414661.57</v>
          </cell>
        </row>
      </sheetData>
    </sheetDataSet>
  </externalBook>
</externalLink>
</file>

<file path=xl/externalLinks/externalLink2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402955.67</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422854.7</v>
          </cell>
        </row>
        <row r="28">
          <cell r="E28">
            <v>562098.99</v>
          </cell>
        </row>
      </sheetData>
      <sheetData sheetId="2"/>
      <sheetData sheetId="3"/>
      <sheetData sheetId="4"/>
      <sheetData sheetId="5"/>
      <sheetData sheetId="6"/>
      <sheetData sheetId="7"/>
    </sheetDataSet>
  </externalBook>
</externalLink>
</file>

<file path=xl/externalLinks/externalLink2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486462.09</v>
          </cell>
        </row>
      </sheetData>
    </sheetDataSet>
  </externalBook>
</externalLink>
</file>

<file path=xl/externalLinks/externalLink2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451524.94</v>
          </cell>
        </row>
      </sheetData>
    </sheetDataSet>
  </externalBook>
</externalLink>
</file>

<file path=xl/externalLinks/externalLink2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484240.72</v>
          </cell>
        </row>
      </sheetData>
    </sheetDataSet>
  </externalBook>
</externalLink>
</file>

<file path=xl/externalLinks/externalLink2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541954.38</v>
          </cell>
        </row>
      </sheetData>
    </sheetDataSet>
  </externalBook>
</externalLink>
</file>

<file path=xl/externalLinks/externalLink2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522758</v>
          </cell>
        </row>
      </sheetData>
    </sheetDataSet>
  </externalBook>
</externalLink>
</file>

<file path=xl/externalLinks/externalLink2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448693.2</v>
          </cell>
        </row>
      </sheetData>
    </sheetDataSet>
  </externalBook>
</externalLink>
</file>

<file path=xl/externalLinks/externalLink2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470576.29</v>
          </cell>
        </row>
      </sheetData>
    </sheetDataSet>
  </externalBook>
</externalLink>
</file>

<file path=xl/externalLinks/externalLink2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439707.23</v>
          </cell>
        </row>
      </sheetData>
    </sheetDataSet>
  </externalBook>
</externalLink>
</file>

<file path=xl/externalLinks/externalLink2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509881.45</v>
          </cell>
        </row>
      </sheetData>
    </sheetDataSet>
  </externalBook>
</externalLink>
</file>

<file path=xl/externalLinks/externalLink2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448402.57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200315.47</v>
          </cell>
        </row>
        <row r="28">
          <cell r="E28">
            <v>385030.87</v>
          </cell>
        </row>
      </sheetData>
      <sheetData sheetId="2"/>
      <sheetData sheetId="3"/>
      <sheetData sheetId="4"/>
      <sheetData sheetId="5"/>
      <sheetData sheetId="6"/>
      <sheetData sheetId="7"/>
    </sheetDataSet>
  </externalBook>
</externalLink>
</file>

<file path=xl/externalLinks/externalLink2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469370.97</v>
          </cell>
        </row>
      </sheetData>
    </sheetDataSet>
  </externalBook>
</externalLink>
</file>

<file path=xl/externalLinks/externalLink2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2"/>
    </sheetNames>
    <sheetDataSet>
      <sheetData sheetId="0">
        <row r="11">
          <cell r="J11">
            <v>375086.61</v>
          </cell>
        </row>
      </sheetData>
    </sheetDataSet>
  </externalBook>
</externalLink>
</file>

<file path=xl/externalLinks/externalLink2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neWorkBookProperties"/>
      <sheetName val="YTD Dec 2022"/>
      <sheetName val="Member (12.2022)"/>
      <sheetName val="Member (11.2022)"/>
      <sheetName val="Members (10.2022)"/>
      <sheetName val="Members (09.2022)"/>
      <sheetName val="Members (08.2022) "/>
      <sheetName val="Members (07.2022)"/>
      <sheetName val="Members (06.2022)"/>
      <sheetName val="Members (05.22)"/>
      <sheetName val="Members (04.22)"/>
      <sheetName val="Members (03.22)"/>
      <sheetName val="Members (02.22)"/>
      <sheetName val="Members (01.22)"/>
    </sheetNames>
    <sheetDataSet>
      <sheetData sheetId="0"/>
      <sheetData sheetId="1"/>
      <sheetData sheetId="2"/>
      <sheetData sheetId="3">
        <row r="31">
          <cell r="K31">
            <v>3402.35</v>
          </cell>
        </row>
      </sheetData>
      <sheetData sheetId="4">
        <row r="31">
          <cell r="K31">
            <v>18061.490000000002</v>
          </cell>
        </row>
      </sheetData>
      <sheetData sheetId="5">
        <row r="31">
          <cell r="K31">
            <v>2396.14</v>
          </cell>
        </row>
      </sheetData>
      <sheetData sheetId="6">
        <row r="31">
          <cell r="K31">
            <v>19319.259999999998</v>
          </cell>
        </row>
      </sheetData>
      <sheetData sheetId="7">
        <row r="35">
          <cell r="K35">
            <v>2808.5</v>
          </cell>
        </row>
      </sheetData>
      <sheetData sheetId="8"/>
      <sheetData sheetId="9"/>
      <sheetData sheetId="10"/>
      <sheetData sheetId="11"/>
      <sheetData sheetId="12"/>
      <sheetData sheetId="1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326585.09999999998</v>
          </cell>
        </row>
        <row r="28">
          <cell r="E28">
            <v>206925.5</v>
          </cell>
        </row>
      </sheetData>
      <sheetData sheetId="2"/>
      <sheetData sheetId="3"/>
      <sheetData sheetId="4"/>
      <sheetData sheetId="5"/>
      <sheetData sheetId="6"/>
      <sheetData sheetId="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394901.98</v>
          </cell>
        </row>
        <row r="28">
          <cell r="E28">
            <v>318981.36</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239192.89</v>
          </cell>
        </row>
        <row r="28">
          <cell r="E28">
            <v>329364.62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477803.83</v>
          </cell>
        </row>
        <row r="28">
          <cell r="E28">
            <v>235700.73</v>
          </cell>
        </row>
      </sheetData>
      <sheetData sheetId="2"/>
      <sheetData sheetId="3"/>
      <sheetData sheetId="4"/>
      <sheetData sheetId="5"/>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506563.45</v>
          </cell>
        </row>
        <row r="28">
          <cell r="E28">
            <v>437660.1</v>
          </cell>
        </row>
      </sheetData>
      <sheetData sheetId="2"/>
      <sheetData sheetId="3"/>
      <sheetData sheetId="4"/>
      <sheetData sheetId="5"/>
      <sheetData sheetId="6"/>
      <sheetData sheetId="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238667.04</v>
          </cell>
        </row>
        <row r="28">
          <cell r="E28">
            <v>558059.28</v>
          </cell>
        </row>
      </sheetData>
      <sheetData sheetId="2"/>
      <sheetData sheetId="3"/>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233855.15</v>
          </cell>
        </row>
        <row r="28">
          <cell r="E28">
            <v>367389.54</v>
          </cell>
        </row>
      </sheetData>
      <sheetData sheetId="2"/>
      <sheetData sheetId="3"/>
      <sheetData sheetId="4"/>
      <sheetData sheetId="5"/>
      <sheetData sheetId="6"/>
      <sheetData sheetId="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202427.9</v>
          </cell>
        </row>
        <row r="28">
          <cell r="E28">
            <v>366164.92</v>
          </cell>
        </row>
      </sheetData>
      <sheetData sheetId="2"/>
      <sheetData sheetId="3"/>
      <sheetData sheetId="4"/>
      <sheetData sheetId="5"/>
      <sheetData sheetId="6"/>
      <sheetData sheetId="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325316.21999999997</v>
          </cell>
        </row>
        <row r="28">
          <cell r="E28">
            <v>111694.83</v>
          </cell>
        </row>
      </sheetData>
      <sheetData sheetId="2"/>
      <sheetData sheetId="3"/>
      <sheetData sheetId="4"/>
      <sheetData sheetId="5"/>
      <sheetData sheetId="6"/>
      <sheetData sheetId="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303962.25</v>
          </cell>
        </row>
        <row r="28">
          <cell r="E28">
            <v>402649.7</v>
          </cell>
        </row>
      </sheetData>
      <sheetData sheetId="2"/>
      <sheetData sheetId="3"/>
      <sheetData sheetId="4"/>
      <sheetData sheetId="5"/>
      <sheetData sheetId="6"/>
      <sheetData sheetId="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293243.84000000003</v>
          </cell>
        </row>
        <row r="28">
          <cell r="E28">
            <v>401347.74</v>
          </cell>
        </row>
      </sheetData>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189384.13</v>
          </cell>
        </row>
        <row r="28">
          <cell r="E28">
            <v>385997.62</v>
          </cell>
        </row>
      </sheetData>
      <sheetData sheetId="2"/>
      <sheetData sheetId="3"/>
      <sheetData sheetId="4"/>
      <sheetData sheetId="5"/>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176547.85</v>
          </cell>
        </row>
        <row r="28">
          <cell r="E28">
            <v>189907.47</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230120.02</v>
          </cell>
        </row>
        <row r="28">
          <cell r="E28">
            <v>321067.99</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164143.84</v>
          </cell>
        </row>
        <row r="28">
          <cell r="E28">
            <v>134738.99</v>
          </cell>
        </row>
      </sheetData>
      <sheetData sheetId="2"/>
      <sheetData sheetId="3"/>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257052.95</v>
          </cell>
        </row>
        <row r="28">
          <cell r="E28">
            <v>111108.53</v>
          </cell>
        </row>
      </sheetData>
      <sheetData sheetId="2"/>
      <sheetData sheetId="3"/>
      <sheetData sheetId="4"/>
      <sheetData sheetId="5"/>
      <sheetData sheetId="6"/>
      <sheetData sheetId="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541939.52</v>
          </cell>
        </row>
        <row r="28">
          <cell r="E28">
            <v>275534.94</v>
          </cell>
        </row>
      </sheetData>
      <sheetData sheetId="2"/>
      <sheetData sheetId="3"/>
      <sheetData sheetId="4"/>
      <sheetData sheetId="5"/>
      <sheetData sheetId="6"/>
      <sheetData sheetId="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209532.46</v>
          </cell>
        </row>
        <row r="28">
          <cell r="E28">
            <v>270319.28000000003</v>
          </cell>
        </row>
      </sheetData>
      <sheetData sheetId="2"/>
      <sheetData sheetId="3"/>
      <sheetData sheetId="4"/>
      <sheetData sheetId="5"/>
      <sheetData sheetId="6"/>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173551.45</v>
          </cell>
        </row>
        <row r="28">
          <cell r="E28">
            <v>255922.58</v>
          </cell>
        </row>
      </sheetData>
      <sheetData sheetId="2"/>
      <sheetData sheetId="3"/>
      <sheetData sheetId="4"/>
      <sheetData sheetId="5"/>
      <sheetData sheetId="6"/>
      <sheetData sheetId="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197732.81</v>
          </cell>
        </row>
        <row r="28">
          <cell r="E28">
            <v>399624.01</v>
          </cell>
        </row>
      </sheetData>
      <sheetData sheetId="2"/>
      <sheetData sheetId="3"/>
      <sheetData sheetId="4"/>
      <sheetData sheetId="5"/>
      <sheetData sheetId="6"/>
      <sheetData sheetId="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251339.31</v>
          </cell>
        </row>
        <row r="28">
          <cell r="E28">
            <v>141733.53</v>
          </cell>
        </row>
      </sheetData>
      <sheetData sheetId="2"/>
      <sheetData sheetId="3"/>
      <sheetData sheetId="4"/>
      <sheetData sheetId="5"/>
      <sheetData sheetId="6"/>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384539.92</v>
          </cell>
        </row>
        <row r="28">
          <cell r="E28">
            <v>177261.03</v>
          </cell>
        </row>
      </sheetData>
      <sheetData sheetId="2"/>
      <sheetData sheetId="3"/>
      <sheetData sheetId="4"/>
      <sheetData sheetId="5"/>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427110.88</v>
          </cell>
        </row>
        <row r="28">
          <cell r="E28">
            <v>362893.36</v>
          </cell>
        </row>
      </sheetData>
      <sheetData sheetId="2"/>
      <sheetData sheetId="3"/>
      <sheetData sheetId="4"/>
      <sheetData sheetId="5"/>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411132.35</v>
          </cell>
        </row>
        <row r="28">
          <cell r="E28">
            <v>339671.25</v>
          </cell>
        </row>
      </sheetData>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refreshError="1"/>
      <sheetData sheetId="1">
        <row r="10">
          <cell r="J10">
            <v>296790.09000000003</v>
          </cell>
        </row>
        <row r="28">
          <cell r="E28">
            <v>163739.81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298035.76</v>
          </cell>
        </row>
        <row r="28">
          <cell r="E28">
            <v>463857.41</v>
          </cell>
        </row>
      </sheetData>
      <sheetData sheetId="2"/>
      <sheetData sheetId="3"/>
      <sheetData sheetId="4"/>
      <sheetData sheetId="5"/>
      <sheetData sheetId="6"/>
      <sheetData sheetId="7"/>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252691.08</v>
          </cell>
        </row>
        <row r="28">
          <cell r="E28">
            <v>315703</v>
          </cell>
        </row>
      </sheetData>
      <sheetData sheetId="2"/>
      <sheetData sheetId="3"/>
      <sheetData sheetId="4"/>
      <sheetData sheetId="5"/>
      <sheetData sheetId="6"/>
      <sheetData sheetId="7"/>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337666.53</v>
          </cell>
        </row>
        <row r="28">
          <cell r="E28">
            <v>253882.98</v>
          </cell>
        </row>
      </sheetData>
      <sheetData sheetId="2"/>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370357.72</v>
          </cell>
        </row>
        <row r="28">
          <cell r="E28">
            <v>201436.55</v>
          </cell>
        </row>
      </sheetData>
      <sheetData sheetId="2"/>
      <sheetData sheetId="3"/>
      <sheetData sheetId="4"/>
      <sheetData sheetId="5"/>
      <sheetData sheetId="6"/>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504687.45</v>
          </cell>
        </row>
        <row r="28">
          <cell r="E28">
            <v>312448.69</v>
          </cell>
        </row>
      </sheetData>
      <sheetData sheetId="2"/>
      <sheetData sheetId="3"/>
      <sheetData sheetId="4"/>
      <sheetData sheetId="5"/>
      <sheetData sheetId="6"/>
      <sheetData sheetId="7"/>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285368.06</v>
          </cell>
        </row>
        <row r="28">
          <cell r="E28">
            <v>546432.68999999994</v>
          </cell>
        </row>
      </sheetData>
      <sheetData sheetId="2"/>
      <sheetData sheetId="3"/>
      <sheetData sheetId="4"/>
      <sheetData sheetId="5"/>
      <sheetData sheetId="6"/>
      <sheetData sheetId="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235020.77</v>
          </cell>
        </row>
        <row r="28">
          <cell r="E28">
            <v>447504.66</v>
          </cell>
        </row>
      </sheetData>
      <sheetData sheetId="2"/>
      <sheetData sheetId="3"/>
      <sheetData sheetId="4"/>
      <sheetData sheetId="5"/>
      <sheetData sheetId="6"/>
      <sheetData sheetId="7"/>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285655.13</v>
          </cell>
        </row>
        <row r="28">
          <cell r="E28">
            <v>319431.76</v>
          </cell>
        </row>
      </sheetData>
      <sheetData sheetId="2"/>
      <sheetData sheetId="3"/>
      <sheetData sheetId="4"/>
      <sheetData sheetId="5"/>
      <sheetData sheetId="6"/>
      <sheetData sheetId="7"/>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305588.76</v>
          </cell>
        </row>
        <row r="28">
          <cell r="E28">
            <v>149197.67000000001</v>
          </cell>
        </row>
      </sheetData>
      <sheetData sheetId="2"/>
      <sheetData sheetId="3"/>
      <sheetData sheetId="4"/>
      <sheetData sheetId="5"/>
      <sheetData sheetId="6"/>
      <sheetData sheetId="7"/>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387644.66</v>
          </cell>
        </row>
        <row r="28">
          <cell r="E28">
            <v>202232.11</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refreshError="1"/>
      <sheetData sheetId="1">
        <row r="10">
          <cell r="J10">
            <v>192453.69</v>
          </cell>
        </row>
        <row r="28">
          <cell r="E28">
            <v>315842.46000000002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473253.22</v>
          </cell>
        </row>
        <row r="28">
          <cell r="E28">
            <v>550647.77</v>
          </cell>
        </row>
      </sheetData>
      <sheetData sheetId="2"/>
      <sheetData sheetId="3"/>
      <sheetData sheetId="4"/>
      <sheetData sheetId="5"/>
      <sheetData sheetId="6"/>
      <sheetData sheetId="7"/>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450351.69</v>
          </cell>
        </row>
        <row r="28">
          <cell r="E28">
            <v>407906.18</v>
          </cell>
        </row>
      </sheetData>
      <sheetData sheetId="2"/>
      <sheetData sheetId="3"/>
      <sheetData sheetId="4"/>
      <sheetData sheetId="5"/>
      <sheetData sheetId="6"/>
      <sheetData sheetId="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348433.91</v>
          </cell>
        </row>
        <row r="28">
          <cell r="E28">
            <v>424960.99</v>
          </cell>
        </row>
      </sheetData>
      <sheetData sheetId="2"/>
      <sheetData sheetId="3"/>
      <sheetData sheetId="4"/>
      <sheetData sheetId="5"/>
      <sheetData sheetId="6"/>
      <sheetData sheetId="7"/>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289970.05</v>
          </cell>
        </row>
        <row r="28">
          <cell r="E28">
            <v>325459.84999999998</v>
          </cell>
        </row>
      </sheetData>
      <sheetData sheetId="2"/>
      <sheetData sheetId="3"/>
      <sheetData sheetId="4"/>
      <sheetData sheetId="5"/>
      <sheetData sheetId="6"/>
      <sheetData sheetId="7"/>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272985.75</v>
          </cell>
        </row>
        <row r="28">
          <cell r="E28">
            <v>273839.24</v>
          </cell>
        </row>
      </sheetData>
      <sheetData sheetId="2"/>
      <sheetData sheetId="3"/>
      <sheetData sheetId="4"/>
      <sheetData sheetId="5"/>
      <sheetData sheetId="6"/>
      <sheetData sheetId="7"/>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412420.86</v>
          </cell>
        </row>
        <row r="28">
          <cell r="E28">
            <v>241299.34</v>
          </cell>
        </row>
      </sheetData>
      <sheetData sheetId="2"/>
      <sheetData sheetId="3"/>
      <sheetData sheetId="4"/>
      <sheetData sheetId="5"/>
      <sheetData sheetId="6"/>
      <sheetData sheetId="7"/>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452977.7</v>
          </cell>
        </row>
        <row r="28">
          <cell r="E28">
            <v>373841.65</v>
          </cell>
        </row>
      </sheetData>
      <sheetData sheetId="2"/>
      <sheetData sheetId="3"/>
      <sheetData sheetId="4"/>
      <sheetData sheetId="5"/>
      <sheetData sheetId="6"/>
      <sheetData sheetId="7"/>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MRSM"/>
      <sheetName val="MRSM-B"/>
      <sheetName val="PPA"/>
      <sheetName val="Summary-RSCF"/>
      <sheetName val="Summary-Other"/>
      <sheetName val="Line Loss"/>
    </sheetNames>
    <sheetDataSet>
      <sheetData sheetId="0"/>
      <sheetData sheetId="1">
        <row r="10">
          <cell r="J10">
            <v>414035.19</v>
          </cell>
        </row>
        <row r="28">
          <cell r="E28">
            <v>495710.47</v>
          </cell>
        </row>
      </sheetData>
      <sheetData sheetId="2"/>
      <sheetData sheetId="3"/>
      <sheetData sheetId="4"/>
      <sheetData sheetId="5"/>
      <sheetData sheetId="6"/>
      <sheetData sheetId="7"/>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ESCalcs(AS FILED)"/>
      <sheetName val="Reagent Detail by Month"/>
    </sheetNames>
    <sheetDataSet>
      <sheetData sheetId="0">
        <row r="46">
          <cell r="FB46">
            <v>5.6928850000000003E-2</v>
          </cell>
        </row>
      </sheetData>
      <sheetData sheetId="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808992.32</v>
          </cell>
        </row>
        <row r="29">
          <cell r="E29">
            <v>749725.80475738901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176449.79</v>
          </cell>
        </row>
        <row r="28">
          <cell r="E28">
            <v>291661.32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554766.97</v>
          </cell>
        </row>
        <row r="29">
          <cell r="E29">
            <v>600202.69259922393</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441953.87</v>
          </cell>
        </row>
        <row r="29">
          <cell r="E29">
            <v>626810.25877398299</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429901.35</v>
          </cell>
        </row>
        <row r="29">
          <cell r="E29">
            <v>462273.09931875003</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538480.65</v>
          </cell>
        </row>
        <row r="29">
          <cell r="E29">
            <v>600553.07531153492</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349674.7</v>
          </cell>
        </row>
        <row r="29">
          <cell r="E29">
            <v>566219.96563509991</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324519.11</v>
          </cell>
        </row>
        <row r="29">
          <cell r="E29">
            <v>460632.65489430592</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323649.59999999998</v>
          </cell>
        </row>
        <row r="29">
          <cell r="E29">
            <v>305306.18207743799</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262985.73</v>
          </cell>
        </row>
        <row r="29">
          <cell r="E29">
            <v>244592.648358048</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277665.15000000002</v>
          </cell>
        </row>
        <row r="29">
          <cell r="E29">
            <v>311133.81969721994</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390103.31</v>
          </cell>
        </row>
        <row r="29">
          <cell r="E29">
            <v>386372.67554743105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171249.61</v>
          </cell>
        </row>
        <row r="28">
          <cell r="E28">
            <v>345667.87</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678080.44000000006</v>
          </cell>
        </row>
        <row r="29">
          <cell r="E29">
            <v>451351.49195190001</v>
          </cell>
        </row>
      </sheetData>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705723.84</v>
          </cell>
        </row>
        <row r="29">
          <cell r="E29">
            <v>377219.90864970395</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527631.84</v>
          </cell>
        </row>
        <row r="29">
          <cell r="E29">
            <v>484172.46779706504</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212661.21000000002</v>
          </cell>
        </row>
        <row r="29">
          <cell r="E29">
            <v>507828.80069190008</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368440.27999999997</v>
          </cell>
        </row>
        <row r="29">
          <cell r="E29">
            <v>516912.12801040505</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473923.17</v>
          </cell>
        </row>
        <row r="29">
          <cell r="E29">
            <v>413324.30669568008</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666208.84</v>
          </cell>
        </row>
        <row r="29">
          <cell r="E29">
            <v>595650.08312791015</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487781.01</v>
          </cell>
        </row>
        <row r="29">
          <cell r="E29">
            <v>460152.94106976001</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477317.21</v>
          </cell>
        </row>
        <row r="29">
          <cell r="E29">
            <v>469621.85798731202</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252424.92</v>
          </cell>
        </row>
        <row r="29">
          <cell r="E29">
            <v>301554.17388064996</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
      <sheetName val="ES"/>
      <sheetName val="US"/>
      <sheetName val="RA"/>
      <sheetName val="MRSM"/>
      <sheetName val="MRSM-B"/>
      <sheetName val="RER"/>
      <sheetName val="RER-B"/>
      <sheetName val="PPA"/>
      <sheetName val="Summary-RSCF"/>
      <sheetName val="Summary-Other"/>
      <sheetName val="Line Loss"/>
    </sheetNames>
    <sheetDataSet>
      <sheetData sheetId="0"/>
      <sheetData sheetId="1">
        <row r="10">
          <cell r="J10">
            <v>138734.56</v>
          </cell>
        </row>
        <row r="28">
          <cell r="E28">
            <v>111868.53</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572639.61</v>
          </cell>
        </row>
        <row r="29">
          <cell r="E29">
            <v>464993.46650560002</v>
          </cell>
        </row>
      </sheetData>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861950.53</v>
          </cell>
        </row>
        <row r="29">
          <cell r="E29">
            <v>466922.38024075399</v>
          </cell>
        </row>
      </sheetData>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758349.88</v>
          </cell>
        </row>
        <row r="29">
          <cell r="E29">
            <v>866338.96434420103</v>
          </cell>
        </row>
      </sheetData>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780382.56</v>
          </cell>
        </row>
        <row r="29">
          <cell r="E29">
            <v>886791.84568546596</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770184.09</v>
          </cell>
        </row>
        <row r="29">
          <cell r="E29">
            <v>523540.22244209202</v>
          </cell>
        </row>
      </sheetData>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369930.96</v>
          </cell>
        </row>
        <row r="29">
          <cell r="E29">
            <v>537086.34204482799</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613123.41</v>
          </cell>
        </row>
        <row r="29">
          <cell r="E29">
            <v>696843.41739316087</v>
          </cell>
        </row>
      </sheetData>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718134.46</v>
          </cell>
        </row>
        <row r="29">
          <cell r="E29">
            <v>570367.87122838106</v>
          </cell>
        </row>
      </sheetData>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877485.3</v>
          </cell>
        </row>
        <row r="29">
          <cell r="E29">
            <v>757156.18273305404</v>
          </cell>
        </row>
      </sheetData>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age 2"/>
    </sheetNames>
    <sheetDataSet>
      <sheetData sheetId="0"/>
      <sheetData sheetId="1">
        <row r="11">
          <cell r="J11">
            <v>917962.41</v>
          </cell>
        </row>
        <row r="29">
          <cell r="E29">
            <v>885795.28893836401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P213"/>
  <sheetViews>
    <sheetView view="pageLayout" zoomScaleNormal="100" workbookViewId="0">
      <selection activeCell="B187" sqref="B187"/>
    </sheetView>
  </sheetViews>
  <sheetFormatPr defaultColWidth="9.140625" defaultRowHeight="15.75" outlineLevelRow="1" x14ac:dyDescent="0.25"/>
  <cols>
    <col min="1" max="1" width="3.7109375" style="108" customWidth="1"/>
    <col min="2" max="2" width="12.5703125" style="108" customWidth="1"/>
    <col min="3" max="3" width="23.7109375" style="138" bestFit="1" customWidth="1"/>
    <col min="4" max="4" width="12.5703125" style="126" customWidth="1"/>
    <col min="5" max="5" width="14.7109375" style="126" customWidth="1"/>
    <col min="6" max="6" width="20.7109375" style="115" customWidth="1"/>
    <col min="7" max="7" width="12.5703125" style="115" customWidth="1"/>
    <col min="8" max="8" width="23.7109375" style="115" customWidth="1"/>
    <col min="9" max="9" width="18.5703125" style="115" customWidth="1"/>
    <col min="10" max="10" width="20.7109375" style="115" customWidth="1"/>
    <col min="11" max="11" width="27" style="115" customWidth="1"/>
    <col min="12" max="12" width="1.140625" style="107" customWidth="1"/>
    <col min="13" max="13" width="28.28515625" style="107" bestFit="1" customWidth="1"/>
    <col min="14" max="14" width="15.7109375" style="107" bestFit="1" customWidth="1"/>
    <col min="15" max="15" width="15.85546875" style="107" bestFit="1" customWidth="1"/>
    <col min="16" max="17" width="14" style="107" bestFit="1" customWidth="1"/>
    <col min="18" max="18" width="13.5703125" style="107" bestFit="1" customWidth="1"/>
    <col min="19" max="19" width="11.7109375" style="107" bestFit="1" customWidth="1"/>
    <col min="20" max="20" width="10.5703125" style="107" bestFit="1" customWidth="1"/>
    <col min="21" max="22" width="11.7109375" style="107" bestFit="1" customWidth="1"/>
    <col min="23" max="23" width="10.5703125" style="107" bestFit="1" customWidth="1"/>
    <col min="24" max="16384" width="9.140625" style="107"/>
  </cols>
  <sheetData>
    <row r="1" spans="1:16" ht="16.899999999999999" customHeight="1" x14ac:dyDescent="0.25">
      <c r="A1" s="213" t="s">
        <v>98</v>
      </c>
      <c r="B1" s="214"/>
      <c r="C1" s="214"/>
      <c r="D1" s="214"/>
      <c r="E1" s="214"/>
      <c r="F1" s="214"/>
      <c r="G1" s="214"/>
      <c r="H1" s="214"/>
      <c r="I1" s="214"/>
      <c r="J1" s="214"/>
      <c r="K1" s="214"/>
      <c r="L1" s="214"/>
      <c r="N1" s="109"/>
      <c r="O1" s="109"/>
      <c r="P1" s="109"/>
    </row>
    <row r="2" spans="1:16" ht="16.899999999999999" customHeight="1" x14ac:dyDescent="0.25">
      <c r="A2" s="213" t="s">
        <v>158</v>
      </c>
      <c r="B2" s="214"/>
      <c r="C2" s="214"/>
      <c r="D2" s="214"/>
      <c r="E2" s="214"/>
      <c r="F2" s="214"/>
      <c r="G2" s="214"/>
      <c r="H2" s="214"/>
      <c r="I2" s="214"/>
      <c r="J2" s="214"/>
      <c r="K2" s="214"/>
      <c r="L2" s="214"/>
      <c r="N2" s="109"/>
      <c r="O2" s="109"/>
      <c r="P2" s="109"/>
    </row>
    <row r="3" spans="1:16" ht="16.899999999999999" customHeight="1" x14ac:dyDescent="0.25">
      <c r="A3" s="213" t="s">
        <v>160</v>
      </c>
      <c r="B3" s="214"/>
      <c r="C3" s="214"/>
      <c r="D3" s="214"/>
      <c r="E3" s="214"/>
      <c r="F3" s="214"/>
      <c r="G3" s="214"/>
      <c r="H3" s="214"/>
      <c r="I3" s="214"/>
      <c r="J3" s="214"/>
      <c r="K3" s="214"/>
      <c r="L3" s="214"/>
      <c r="N3" s="109"/>
      <c r="O3" s="109"/>
      <c r="P3" s="109"/>
    </row>
    <row r="4" spans="1:16" ht="16.899999999999999" customHeight="1" x14ac:dyDescent="0.25">
      <c r="A4" s="213" t="s">
        <v>154</v>
      </c>
      <c r="B4" s="214"/>
      <c r="C4" s="214"/>
      <c r="D4" s="214"/>
      <c r="E4" s="214"/>
      <c r="F4" s="214"/>
      <c r="G4" s="214"/>
      <c r="H4" s="214"/>
      <c r="I4" s="214"/>
      <c r="J4" s="214"/>
      <c r="K4" s="214"/>
      <c r="L4" s="214"/>
      <c r="N4" s="109"/>
      <c r="O4" s="109"/>
      <c r="P4" s="109"/>
    </row>
    <row r="5" spans="1:16" ht="9.9499999999999993" customHeight="1" x14ac:dyDescent="0.25">
      <c r="A5" s="144"/>
      <c r="B5" s="145"/>
      <c r="C5" s="145"/>
      <c r="D5" s="145"/>
      <c r="E5" s="145"/>
      <c r="F5" s="145"/>
      <c r="G5" s="145"/>
      <c r="H5" s="145"/>
      <c r="I5" s="145"/>
      <c r="J5" s="145"/>
      <c r="K5" s="145"/>
      <c r="L5" s="145"/>
      <c r="N5" s="109"/>
      <c r="O5" s="109"/>
      <c r="P5" s="109"/>
    </row>
    <row r="6" spans="1:16" ht="9.9499999999999993" customHeight="1" x14ac:dyDescent="0.25">
      <c r="A6" s="144"/>
      <c r="B6" s="145"/>
      <c r="C6" s="145"/>
      <c r="D6" s="145"/>
      <c r="E6" s="145"/>
      <c r="F6" s="145"/>
      <c r="G6" s="145"/>
      <c r="H6" s="145"/>
      <c r="I6" s="145"/>
      <c r="J6" s="145"/>
      <c r="K6" s="145"/>
      <c r="L6" s="145"/>
      <c r="N6" s="109"/>
      <c r="O6" s="109"/>
      <c r="P6" s="109"/>
    </row>
    <row r="7" spans="1:16" ht="18" customHeight="1" x14ac:dyDescent="0.25">
      <c r="B7" s="217" t="s">
        <v>99</v>
      </c>
      <c r="C7" s="218"/>
      <c r="D7" s="218"/>
      <c r="E7" s="218"/>
      <c r="F7" s="218"/>
      <c r="G7" s="218"/>
      <c r="H7" s="218"/>
      <c r="I7" s="218"/>
      <c r="J7" s="218"/>
      <c r="K7" s="219"/>
      <c r="L7" s="146"/>
    </row>
    <row r="8" spans="1:16" ht="18" customHeight="1" x14ac:dyDescent="0.25">
      <c r="B8" s="220" t="s">
        <v>100</v>
      </c>
      <c r="C8" s="221"/>
      <c r="D8" s="221"/>
      <c r="E8" s="221"/>
      <c r="F8" s="221"/>
      <c r="G8" s="221"/>
      <c r="H8" s="221"/>
      <c r="I8" s="221"/>
      <c r="J8" s="221"/>
      <c r="K8" s="222"/>
      <c r="L8" s="146"/>
    </row>
    <row r="9" spans="1:16" ht="18" customHeight="1" x14ac:dyDescent="0.25">
      <c r="B9" s="108" t="s">
        <v>1</v>
      </c>
      <c r="C9" s="138" t="s">
        <v>2</v>
      </c>
      <c r="D9" s="113" t="s">
        <v>3</v>
      </c>
      <c r="E9" s="113" t="s">
        <v>4</v>
      </c>
      <c r="F9" s="114" t="s">
        <v>5</v>
      </c>
      <c r="G9" s="114" t="s">
        <v>6</v>
      </c>
      <c r="H9" s="114" t="s">
        <v>94</v>
      </c>
      <c r="I9" s="136" t="s">
        <v>95</v>
      </c>
      <c r="J9" s="114" t="s">
        <v>96</v>
      </c>
      <c r="K9" s="136" t="s">
        <v>97</v>
      </c>
    </row>
    <row r="10" spans="1:16" ht="21.75" customHeight="1" x14ac:dyDescent="0.25">
      <c r="B10" s="211" t="s">
        <v>103</v>
      </c>
      <c r="C10" s="215" t="s">
        <v>104</v>
      </c>
      <c r="D10" s="211" t="s">
        <v>111</v>
      </c>
      <c r="E10" s="211" t="s">
        <v>116</v>
      </c>
      <c r="F10" s="223" t="s">
        <v>112</v>
      </c>
      <c r="G10" s="211" t="s">
        <v>118</v>
      </c>
      <c r="H10" s="223" t="s">
        <v>127</v>
      </c>
      <c r="I10" s="223" t="s">
        <v>113</v>
      </c>
      <c r="J10" s="223" t="s">
        <v>121</v>
      </c>
      <c r="K10" s="223" t="s">
        <v>122</v>
      </c>
    </row>
    <row r="11" spans="1:16" ht="18" customHeight="1" x14ac:dyDescent="0.25">
      <c r="B11" s="212"/>
      <c r="C11" s="216"/>
      <c r="D11" s="211"/>
      <c r="E11" s="212"/>
      <c r="F11" s="224"/>
      <c r="G11" s="212"/>
      <c r="H11" s="225"/>
      <c r="I11" s="225"/>
      <c r="J11" s="225"/>
      <c r="K11" s="224"/>
      <c r="O11" s="127"/>
    </row>
    <row r="12" spans="1:16" ht="20.25" customHeight="1" x14ac:dyDescent="0.25">
      <c r="B12" s="212"/>
      <c r="C12" s="216"/>
      <c r="D12" s="211"/>
      <c r="E12" s="212"/>
      <c r="F12" s="224"/>
      <c r="G12" s="212"/>
      <c r="H12" s="225"/>
      <c r="I12" s="225"/>
      <c r="J12" s="225"/>
      <c r="K12" s="224"/>
      <c r="O12" s="128"/>
    </row>
    <row r="13" spans="1:16" ht="18" customHeight="1" x14ac:dyDescent="0.25">
      <c r="B13" s="212"/>
      <c r="C13" s="216"/>
      <c r="D13" s="211"/>
      <c r="E13" s="212"/>
      <c r="F13" s="224"/>
      <c r="G13" s="212"/>
      <c r="H13" s="225"/>
      <c r="I13" s="225"/>
      <c r="J13" s="225"/>
      <c r="K13" s="224"/>
      <c r="O13" s="128"/>
    </row>
    <row r="14" spans="1:16" ht="16.899999999999999" hidden="1" customHeight="1" outlineLevel="1" x14ac:dyDescent="0.25">
      <c r="B14" s="154"/>
      <c r="C14" s="155"/>
      <c r="D14" s="117">
        <v>39995</v>
      </c>
      <c r="E14" s="154"/>
      <c r="F14" s="116">
        <v>76268</v>
      </c>
      <c r="G14" s="154"/>
      <c r="H14" s="118">
        <v>0</v>
      </c>
      <c r="I14" s="118">
        <v>0</v>
      </c>
      <c r="J14" s="116">
        <f t="shared" ref="J14:J45" si="0">+F14+I14</f>
        <v>76268</v>
      </c>
      <c r="K14" s="118">
        <v>0</v>
      </c>
    </row>
    <row r="15" spans="1:16" ht="16.899999999999999" hidden="1" customHeight="1" outlineLevel="1" x14ac:dyDescent="0.25">
      <c r="B15" s="154"/>
      <c r="C15" s="155"/>
      <c r="D15" s="117">
        <f t="shared" ref="D15:D53" si="1">EOMONTH(D14,1)</f>
        <v>40056</v>
      </c>
      <c r="E15" s="154"/>
      <c r="F15" s="116">
        <v>145395</v>
      </c>
      <c r="G15" s="154"/>
      <c r="H15" s="118">
        <v>0</v>
      </c>
      <c r="I15" s="118">
        <f>K15</f>
        <v>0</v>
      </c>
      <c r="J15" s="116">
        <f t="shared" si="0"/>
        <v>145395</v>
      </c>
      <c r="K15" s="118">
        <v>0</v>
      </c>
    </row>
    <row r="16" spans="1:16" ht="16.899999999999999" hidden="1" customHeight="1" outlineLevel="1" x14ac:dyDescent="0.25">
      <c r="B16" s="154"/>
      <c r="C16" s="155"/>
      <c r="D16" s="117">
        <f t="shared" si="1"/>
        <v>40086</v>
      </c>
      <c r="E16" s="154"/>
      <c r="F16" s="116">
        <v>106638</v>
      </c>
      <c r="G16" s="154"/>
      <c r="H16" s="118">
        <v>0</v>
      </c>
      <c r="I16" s="118">
        <f t="shared" ref="I16:I41" si="2">K16</f>
        <v>0</v>
      </c>
      <c r="J16" s="116">
        <f t="shared" si="0"/>
        <v>106638</v>
      </c>
      <c r="K16" s="118">
        <v>0</v>
      </c>
    </row>
    <row r="17" spans="1:16" s="120" customFormat="1" ht="18" hidden="1" customHeight="1" outlineLevel="1" x14ac:dyDescent="0.25">
      <c r="A17" s="108"/>
      <c r="B17" s="156"/>
      <c r="C17" s="155"/>
      <c r="D17" s="117">
        <f t="shared" si="1"/>
        <v>40117</v>
      </c>
      <c r="E17" s="156"/>
      <c r="F17" s="121">
        <v>103076</v>
      </c>
      <c r="G17" s="156"/>
      <c r="H17" s="121">
        <v>72960</v>
      </c>
      <c r="I17" s="123">
        <f t="shared" si="2"/>
        <v>3308</v>
      </c>
      <c r="J17" s="121">
        <f t="shared" si="0"/>
        <v>106384</v>
      </c>
      <c r="K17" s="121">
        <f t="shared" ref="K17:K52" si="3">J14-H17</f>
        <v>3308</v>
      </c>
      <c r="N17" s="129"/>
      <c r="O17" s="129"/>
      <c r="P17" s="129"/>
    </row>
    <row r="18" spans="1:16" s="120" customFormat="1" ht="18" hidden="1" customHeight="1" outlineLevel="1" collapsed="1" x14ac:dyDescent="0.25">
      <c r="A18" s="108"/>
      <c r="B18" s="156"/>
      <c r="C18" s="155"/>
      <c r="D18" s="117">
        <f t="shared" si="1"/>
        <v>40147</v>
      </c>
      <c r="E18" s="156"/>
      <c r="F18" s="121">
        <v>90752</v>
      </c>
      <c r="G18" s="156"/>
      <c r="H18" s="121">
        <v>110149</v>
      </c>
      <c r="I18" s="123">
        <f t="shared" si="2"/>
        <v>35246</v>
      </c>
      <c r="J18" s="121">
        <f t="shared" si="0"/>
        <v>125998</v>
      </c>
      <c r="K18" s="121">
        <f t="shared" si="3"/>
        <v>35246</v>
      </c>
      <c r="N18" s="129"/>
      <c r="O18" s="129"/>
      <c r="P18" s="129"/>
    </row>
    <row r="19" spans="1:16" s="120" customFormat="1" ht="18" hidden="1" customHeight="1" outlineLevel="1" collapsed="1" x14ac:dyDescent="0.25">
      <c r="A19" s="108"/>
      <c r="B19" s="156"/>
      <c r="C19" s="155"/>
      <c r="D19" s="117">
        <f t="shared" si="1"/>
        <v>40178</v>
      </c>
      <c r="E19" s="156"/>
      <c r="F19" s="121">
        <v>143372</v>
      </c>
      <c r="G19" s="156"/>
      <c r="H19" s="121">
        <v>84269</v>
      </c>
      <c r="I19" s="123">
        <f t="shared" si="2"/>
        <v>22369</v>
      </c>
      <c r="J19" s="121">
        <f t="shared" si="0"/>
        <v>165741</v>
      </c>
      <c r="K19" s="121">
        <f t="shared" si="3"/>
        <v>22369</v>
      </c>
      <c r="N19" s="129"/>
      <c r="O19" s="129"/>
      <c r="P19" s="129"/>
    </row>
    <row r="20" spans="1:16" s="120" customFormat="1" ht="18" hidden="1" customHeight="1" outlineLevel="1" collapsed="1" x14ac:dyDescent="0.25">
      <c r="A20" s="108"/>
      <c r="B20" s="156"/>
      <c r="C20" s="155"/>
      <c r="D20" s="139">
        <f t="shared" si="1"/>
        <v>40209</v>
      </c>
      <c r="E20" s="156"/>
      <c r="F20" s="121">
        <v>140679</v>
      </c>
      <c r="G20" s="156"/>
      <c r="H20" s="121">
        <v>134910</v>
      </c>
      <c r="I20" s="123">
        <f t="shared" si="2"/>
        <v>-28526</v>
      </c>
      <c r="J20" s="121">
        <f t="shared" si="0"/>
        <v>112153</v>
      </c>
      <c r="K20" s="121">
        <f t="shared" si="3"/>
        <v>-28526</v>
      </c>
      <c r="N20" s="129"/>
      <c r="O20" s="129"/>
      <c r="P20" s="129"/>
    </row>
    <row r="21" spans="1:16" s="120" customFormat="1" ht="18" hidden="1" customHeight="1" outlineLevel="1" collapsed="1" x14ac:dyDescent="0.25">
      <c r="A21" s="108"/>
      <c r="B21" s="156"/>
      <c r="C21" s="155"/>
      <c r="D21" s="139">
        <f t="shared" si="1"/>
        <v>40237</v>
      </c>
      <c r="E21" s="156"/>
      <c r="F21" s="121">
        <v>107542</v>
      </c>
      <c r="G21" s="156"/>
      <c r="H21" s="121">
        <v>199452</v>
      </c>
      <c r="I21" s="123">
        <f t="shared" si="2"/>
        <v>-73454</v>
      </c>
      <c r="J21" s="121">
        <f t="shared" si="0"/>
        <v>34088</v>
      </c>
      <c r="K21" s="121">
        <f t="shared" si="3"/>
        <v>-73454</v>
      </c>
      <c r="N21" s="129"/>
      <c r="O21" s="129"/>
      <c r="P21" s="129"/>
    </row>
    <row r="22" spans="1:16" s="120" customFormat="1" ht="18" hidden="1" customHeight="1" outlineLevel="1" collapsed="1" x14ac:dyDescent="0.25">
      <c r="A22" s="108"/>
      <c r="B22" s="156"/>
      <c r="C22" s="155"/>
      <c r="D22" s="139">
        <f t="shared" si="1"/>
        <v>40268</v>
      </c>
      <c r="E22" s="156"/>
      <c r="F22" s="121">
        <v>102962</v>
      </c>
      <c r="G22" s="156"/>
      <c r="H22" s="121">
        <v>155670</v>
      </c>
      <c r="I22" s="123">
        <f t="shared" si="2"/>
        <v>10071</v>
      </c>
      <c r="J22" s="121">
        <f t="shared" si="0"/>
        <v>113033</v>
      </c>
      <c r="K22" s="121">
        <f t="shared" si="3"/>
        <v>10071</v>
      </c>
      <c r="N22" s="129"/>
      <c r="O22" s="129"/>
      <c r="P22" s="129"/>
    </row>
    <row r="23" spans="1:16" s="120" customFormat="1" ht="18" hidden="1" customHeight="1" outlineLevel="1" collapsed="1" x14ac:dyDescent="0.25">
      <c r="A23" s="108"/>
      <c r="B23" s="156"/>
      <c r="C23" s="155"/>
      <c r="D23" s="139">
        <f t="shared" si="1"/>
        <v>40298</v>
      </c>
      <c r="E23" s="156"/>
      <c r="F23" s="121">
        <v>94101</v>
      </c>
      <c r="G23" s="156"/>
      <c r="H23" s="121">
        <v>89387</v>
      </c>
      <c r="I23" s="123">
        <f t="shared" si="2"/>
        <v>22766</v>
      </c>
      <c r="J23" s="121">
        <f t="shared" si="0"/>
        <v>116867</v>
      </c>
      <c r="K23" s="121">
        <f t="shared" si="3"/>
        <v>22766</v>
      </c>
      <c r="N23" s="129"/>
      <c r="O23" s="129"/>
      <c r="P23" s="129"/>
    </row>
    <row r="24" spans="1:16" s="120" customFormat="1" ht="18" hidden="1" customHeight="1" outlineLevel="1" collapsed="1" x14ac:dyDescent="0.25">
      <c r="A24" s="108"/>
      <c r="B24" s="156"/>
      <c r="C24" s="155"/>
      <c r="D24" s="139">
        <f t="shared" si="1"/>
        <v>40329</v>
      </c>
      <c r="E24" s="156"/>
      <c r="F24" s="121">
        <v>109912</v>
      </c>
      <c r="G24" s="156"/>
      <c r="H24" s="121">
        <v>26458</v>
      </c>
      <c r="I24" s="123">
        <f t="shared" si="2"/>
        <v>7630</v>
      </c>
      <c r="J24" s="121">
        <f t="shared" si="0"/>
        <v>117542</v>
      </c>
      <c r="K24" s="121">
        <f t="shared" si="3"/>
        <v>7630</v>
      </c>
      <c r="N24" s="129"/>
      <c r="O24" s="129"/>
      <c r="P24" s="129"/>
    </row>
    <row r="25" spans="1:16" s="120" customFormat="1" ht="18" hidden="1" customHeight="1" outlineLevel="1" collapsed="1" x14ac:dyDescent="0.25">
      <c r="A25" s="108"/>
      <c r="B25" s="156"/>
      <c r="C25" s="155"/>
      <c r="D25" s="139">
        <f t="shared" si="1"/>
        <v>40359</v>
      </c>
      <c r="E25" s="156"/>
      <c r="F25" s="121">
        <v>151977</v>
      </c>
      <c r="G25" s="156"/>
      <c r="H25" s="121">
        <v>95000</v>
      </c>
      <c r="I25" s="123">
        <f t="shared" si="2"/>
        <v>18033</v>
      </c>
      <c r="J25" s="121">
        <f t="shared" si="0"/>
        <v>170010</v>
      </c>
      <c r="K25" s="121">
        <f t="shared" si="3"/>
        <v>18033</v>
      </c>
      <c r="N25" s="129"/>
      <c r="O25" s="129"/>
      <c r="P25" s="129"/>
    </row>
    <row r="26" spans="1:16" s="120" customFormat="1" ht="18" hidden="1" customHeight="1" outlineLevel="1" collapsed="1" x14ac:dyDescent="0.25">
      <c r="A26" s="108"/>
      <c r="B26" s="156"/>
      <c r="C26" s="155"/>
      <c r="D26" s="139">
        <f t="shared" si="1"/>
        <v>40390</v>
      </c>
      <c r="E26" s="156"/>
      <c r="F26" s="121">
        <v>179949</v>
      </c>
      <c r="G26" s="156"/>
      <c r="H26" s="121">
        <v>171989</v>
      </c>
      <c r="I26" s="123">
        <f t="shared" si="2"/>
        <v>-55122</v>
      </c>
      <c r="J26" s="121">
        <f t="shared" si="0"/>
        <v>124827</v>
      </c>
      <c r="K26" s="121">
        <f t="shared" si="3"/>
        <v>-55122</v>
      </c>
      <c r="N26" s="129"/>
      <c r="O26" s="129"/>
      <c r="P26" s="129"/>
    </row>
    <row r="27" spans="1:16" s="120" customFormat="1" ht="18" hidden="1" customHeight="1" outlineLevel="1" collapsed="1" x14ac:dyDescent="0.25">
      <c r="A27" s="108"/>
      <c r="B27" s="156"/>
      <c r="C27" s="155"/>
      <c r="D27" s="139">
        <f t="shared" si="1"/>
        <v>40421</v>
      </c>
      <c r="E27" s="156"/>
      <c r="F27" s="121">
        <v>171248</v>
      </c>
      <c r="G27" s="156"/>
      <c r="H27" s="121">
        <v>166482</v>
      </c>
      <c r="I27" s="123">
        <f t="shared" si="2"/>
        <v>-48940</v>
      </c>
      <c r="J27" s="121">
        <f t="shared" si="0"/>
        <v>122308</v>
      </c>
      <c r="K27" s="121">
        <f t="shared" si="3"/>
        <v>-48940</v>
      </c>
      <c r="N27" s="129"/>
      <c r="O27" s="129"/>
      <c r="P27" s="129"/>
    </row>
    <row r="28" spans="1:16" s="120" customFormat="1" ht="18" hidden="1" customHeight="1" outlineLevel="1" collapsed="1" x14ac:dyDescent="0.25">
      <c r="A28" s="108"/>
      <c r="B28" s="156"/>
      <c r="C28" s="155"/>
      <c r="D28" s="139">
        <f t="shared" si="1"/>
        <v>40451</v>
      </c>
      <c r="E28" s="156"/>
      <c r="F28" s="121">
        <v>119364</v>
      </c>
      <c r="G28" s="156"/>
      <c r="H28" s="121">
        <v>193002</v>
      </c>
      <c r="I28" s="123">
        <f t="shared" si="2"/>
        <v>-22992</v>
      </c>
      <c r="J28" s="121">
        <f t="shared" si="0"/>
        <v>96372</v>
      </c>
      <c r="K28" s="121">
        <f t="shared" si="3"/>
        <v>-22992</v>
      </c>
      <c r="N28" s="129"/>
      <c r="O28" s="129"/>
      <c r="P28" s="129"/>
    </row>
    <row r="29" spans="1:16" s="120" customFormat="1" ht="18" hidden="1" customHeight="1" outlineLevel="1" collapsed="1" x14ac:dyDescent="0.25">
      <c r="A29" s="108"/>
      <c r="B29" s="156"/>
      <c r="C29" s="155"/>
      <c r="D29" s="139">
        <f t="shared" si="1"/>
        <v>40482</v>
      </c>
      <c r="E29" s="156"/>
      <c r="F29" s="121">
        <v>99597</v>
      </c>
      <c r="G29" s="156"/>
      <c r="H29" s="121">
        <v>110624</v>
      </c>
      <c r="I29" s="123">
        <f t="shared" si="2"/>
        <v>14203</v>
      </c>
      <c r="J29" s="121">
        <f t="shared" si="0"/>
        <v>113800</v>
      </c>
      <c r="K29" s="121">
        <f t="shared" si="3"/>
        <v>14203</v>
      </c>
      <c r="N29" s="129"/>
      <c r="O29" s="129"/>
      <c r="P29" s="129"/>
    </row>
    <row r="30" spans="1:16" s="120" customFormat="1" ht="18" hidden="1" customHeight="1" outlineLevel="1" collapsed="1" x14ac:dyDescent="0.25">
      <c r="A30" s="108"/>
      <c r="B30" s="156"/>
      <c r="C30" s="155"/>
      <c r="D30" s="139">
        <f t="shared" si="1"/>
        <v>40512</v>
      </c>
      <c r="E30" s="156"/>
      <c r="F30" s="121">
        <v>133941</v>
      </c>
      <c r="G30" s="156"/>
      <c r="H30" s="121">
        <v>76717</v>
      </c>
      <c r="I30" s="123">
        <f t="shared" si="2"/>
        <v>45591</v>
      </c>
      <c r="J30" s="121">
        <f t="shared" si="0"/>
        <v>179532</v>
      </c>
      <c r="K30" s="121">
        <f t="shared" si="3"/>
        <v>45591</v>
      </c>
      <c r="N30" s="129"/>
      <c r="O30" s="129"/>
      <c r="P30" s="129"/>
    </row>
    <row r="31" spans="1:16" s="120" customFormat="1" ht="18" hidden="1" customHeight="1" outlineLevel="1" collapsed="1" x14ac:dyDescent="0.25">
      <c r="A31" s="108"/>
      <c r="B31" s="156"/>
      <c r="C31" s="155"/>
      <c r="D31" s="139">
        <f t="shared" si="1"/>
        <v>40543</v>
      </c>
      <c r="E31" s="156"/>
      <c r="F31" s="121">
        <v>165291</v>
      </c>
      <c r="G31" s="156"/>
      <c r="H31" s="121">
        <v>76138</v>
      </c>
      <c r="I31" s="123">
        <f t="shared" si="2"/>
        <v>20234</v>
      </c>
      <c r="J31" s="121">
        <f t="shared" si="0"/>
        <v>185525</v>
      </c>
      <c r="K31" s="121">
        <f t="shared" si="3"/>
        <v>20234</v>
      </c>
      <c r="N31" s="129"/>
      <c r="O31" s="129"/>
      <c r="P31" s="129"/>
    </row>
    <row r="32" spans="1:16" s="120" customFormat="1" ht="18" hidden="1" customHeight="1" outlineLevel="1" collapsed="1" x14ac:dyDescent="0.25">
      <c r="A32" s="108"/>
      <c r="B32" s="156"/>
      <c r="C32" s="155"/>
      <c r="D32" s="139">
        <f t="shared" si="1"/>
        <v>40574</v>
      </c>
      <c r="E32" s="156"/>
      <c r="F32" s="121">
        <v>144991</v>
      </c>
      <c r="G32" s="156"/>
      <c r="H32" s="121">
        <v>160939</v>
      </c>
      <c r="I32" s="123">
        <f t="shared" si="2"/>
        <v>-47139</v>
      </c>
      <c r="J32" s="121">
        <f t="shared" si="0"/>
        <v>97852</v>
      </c>
      <c r="K32" s="121">
        <f t="shared" si="3"/>
        <v>-47139</v>
      </c>
      <c r="N32" s="129"/>
      <c r="O32" s="129"/>
      <c r="P32" s="129"/>
    </row>
    <row r="33" spans="1:16" s="120" customFormat="1" ht="18" hidden="1" customHeight="1" outlineLevel="1" collapsed="1" x14ac:dyDescent="0.25">
      <c r="A33" s="108"/>
      <c r="B33" s="156"/>
      <c r="C33" s="155"/>
      <c r="D33" s="139">
        <f t="shared" si="1"/>
        <v>40602</v>
      </c>
      <c r="E33" s="156"/>
      <c r="F33" s="121">
        <v>106243</v>
      </c>
      <c r="G33" s="156"/>
      <c r="H33" s="121">
        <v>272809</v>
      </c>
      <c r="I33" s="123">
        <f t="shared" si="2"/>
        <v>-93277</v>
      </c>
      <c r="J33" s="121">
        <f t="shared" si="0"/>
        <v>12966</v>
      </c>
      <c r="K33" s="121">
        <f t="shared" si="3"/>
        <v>-93277</v>
      </c>
      <c r="N33" s="129"/>
      <c r="O33" s="129"/>
      <c r="P33" s="129"/>
    </row>
    <row r="34" spans="1:16" s="120" customFormat="1" ht="18" hidden="1" customHeight="1" outlineLevel="1" collapsed="1" x14ac:dyDescent="0.25">
      <c r="A34" s="108"/>
      <c r="B34" s="156"/>
      <c r="C34" s="155"/>
      <c r="D34" s="139">
        <f t="shared" si="1"/>
        <v>40633</v>
      </c>
      <c r="E34" s="156"/>
      <c r="F34" s="121">
        <v>104279</v>
      </c>
      <c r="G34" s="156"/>
      <c r="H34" s="121">
        <v>173641</v>
      </c>
      <c r="I34" s="123">
        <f t="shared" si="2"/>
        <v>11884</v>
      </c>
      <c r="J34" s="121">
        <f t="shared" si="0"/>
        <v>116163</v>
      </c>
      <c r="K34" s="121">
        <f t="shared" si="3"/>
        <v>11884</v>
      </c>
      <c r="N34" s="129"/>
      <c r="O34" s="129"/>
      <c r="P34" s="129"/>
    </row>
    <row r="35" spans="1:16" s="120" customFormat="1" ht="18" hidden="1" customHeight="1" outlineLevel="1" collapsed="1" x14ac:dyDescent="0.25">
      <c r="A35" s="108"/>
      <c r="B35" s="156"/>
      <c r="C35" s="155"/>
      <c r="D35" s="139">
        <f t="shared" si="1"/>
        <v>40663</v>
      </c>
      <c r="E35" s="156"/>
      <c r="F35" s="121">
        <v>99503</v>
      </c>
      <c r="G35" s="156"/>
      <c r="H35" s="121">
        <v>71117</v>
      </c>
      <c r="I35" s="123">
        <f t="shared" si="2"/>
        <v>26735</v>
      </c>
      <c r="J35" s="121">
        <f t="shared" si="0"/>
        <v>126238</v>
      </c>
      <c r="K35" s="121">
        <f t="shared" si="3"/>
        <v>26735</v>
      </c>
      <c r="N35" s="129"/>
      <c r="O35" s="129"/>
      <c r="P35" s="129"/>
    </row>
    <row r="36" spans="1:16" s="120" customFormat="1" ht="18" hidden="1" customHeight="1" outlineLevel="1" collapsed="1" x14ac:dyDescent="0.25">
      <c r="A36" s="108"/>
      <c r="B36" s="156"/>
      <c r="C36" s="155"/>
      <c r="D36" s="139">
        <f t="shared" si="1"/>
        <v>40694</v>
      </c>
      <c r="E36" s="156"/>
      <c r="F36" s="121">
        <v>84395</v>
      </c>
      <c r="G36" s="156"/>
      <c r="H36" s="121">
        <v>10270</v>
      </c>
      <c r="I36" s="123">
        <f t="shared" si="2"/>
        <v>2696</v>
      </c>
      <c r="J36" s="121">
        <f t="shared" si="0"/>
        <v>87091</v>
      </c>
      <c r="K36" s="121">
        <f t="shared" si="3"/>
        <v>2696</v>
      </c>
      <c r="N36" s="129"/>
      <c r="O36" s="129"/>
      <c r="P36" s="129"/>
    </row>
    <row r="37" spans="1:16" s="120" customFormat="1" ht="18" hidden="1" customHeight="1" outlineLevel="1" collapsed="1" x14ac:dyDescent="0.25">
      <c r="A37" s="108"/>
      <c r="B37" s="156"/>
      <c r="C37" s="155"/>
      <c r="D37" s="139">
        <f t="shared" si="1"/>
        <v>40724</v>
      </c>
      <c r="E37" s="156"/>
      <c r="F37" s="121">
        <v>144106</v>
      </c>
      <c r="G37" s="156"/>
      <c r="H37" s="121">
        <v>101730</v>
      </c>
      <c r="I37" s="123">
        <f t="shared" si="2"/>
        <v>14433</v>
      </c>
      <c r="J37" s="121">
        <f t="shared" si="0"/>
        <v>158539</v>
      </c>
      <c r="K37" s="121">
        <f t="shared" si="3"/>
        <v>14433</v>
      </c>
      <c r="N37" s="129"/>
      <c r="O37" s="129"/>
      <c r="P37" s="129"/>
    </row>
    <row r="38" spans="1:16" s="120" customFormat="1" ht="18" hidden="1" customHeight="1" outlineLevel="1" collapsed="1" x14ac:dyDescent="0.25">
      <c r="A38" s="108"/>
      <c r="B38" s="156"/>
      <c r="C38" s="155"/>
      <c r="D38" s="139">
        <f t="shared" si="1"/>
        <v>40755</v>
      </c>
      <c r="E38" s="156"/>
      <c r="F38" s="121">
        <v>161441</v>
      </c>
      <c r="G38" s="156"/>
      <c r="H38" s="121">
        <v>173049</v>
      </c>
      <c r="I38" s="123">
        <f t="shared" si="2"/>
        <v>-46811</v>
      </c>
      <c r="J38" s="121">
        <f t="shared" si="0"/>
        <v>114630</v>
      </c>
      <c r="K38" s="121">
        <f t="shared" si="3"/>
        <v>-46811</v>
      </c>
      <c r="N38" s="129"/>
      <c r="O38" s="129"/>
      <c r="P38" s="129"/>
    </row>
    <row r="39" spans="1:16" s="120" customFormat="1" ht="18" hidden="1" customHeight="1" outlineLevel="1" collapsed="1" x14ac:dyDescent="0.25">
      <c r="A39" s="108"/>
      <c r="B39" s="156"/>
      <c r="C39" s="155"/>
      <c r="D39" s="139">
        <f t="shared" si="1"/>
        <v>40786</v>
      </c>
      <c r="E39" s="156"/>
      <c r="F39" s="121">
        <v>150142</v>
      </c>
      <c r="G39" s="156"/>
      <c r="H39" s="121">
        <v>118726</v>
      </c>
      <c r="I39" s="123">
        <f t="shared" si="2"/>
        <v>-31635</v>
      </c>
      <c r="J39" s="121">
        <f t="shared" si="0"/>
        <v>118507</v>
      </c>
      <c r="K39" s="121">
        <f t="shared" si="3"/>
        <v>-31635</v>
      </c>
      <c r="N39" s="129"/>
      <c r="O39" s="129"/>
      <c r="P39" s="129"/>
    </row>
    <row r="40" spans="1:16" s="120" customFormat="1" ht="18" hidden="1" customHeight="1" outlineLevel="1" collapsed="1" x14ac:dyDescent="0.25">
      <c r="A40" s="108"/>
      <c r="B40" s="156"/>
      <c r="C40" s="155"/>
      <c r="D40" s="139">
        <f t="shared" si="1"/>
        <v>40816</v>
      </c>
      <c r="E40" s="156"/>
      <c r="F40" s="121">
        <v>91106</v>
      </c>
      <c r="G40" s="156"/>
      <c r="H40" s="121">
        <v>197787</v>
      </c>
      <c r="I40" s="123">
        <f t="shared" si="2"/>
        <v>-39248</v>
      </c>
      <c r="J40" s="121">
        <f t="shared" si="0"/>
        <v>51858</v>
      </c>
      <c r="K40" s="121">
        <f t="shared" si="3"/>
        <v>-39248</v>
      </c>
      <c r="N40" s="129"/>
      <c r="O40" s="129"/>
      <c r="P40" s="129"/>
    </row>
    <row r="41" spans="1:16" s="120" customFormat="1" ht="18" hidden="1" customHeight="1" outlineLevel="1" collapsed="1" x14ac:dyDescent="0.25">
      <c r="A41" s="108"/>
      <c r="B41" s="156"/>
      <c r="C41" s="155"/>
      <c r="D41" s="139">
        <f t="shared" si="1"/>
        <v>40847</v>
      </c>
      <c r="E41" s="156"/>
      <c r="F41" s="121">
        <v>108148</v>
      </c>
      <c r="G41" s="156"/>
      <c r="H41" s="121">
        <v>84656</v>
      </c>
      <c r="I41" s="123">
        <f t="shared" si="2"/>
        <v>29974</v>
      </c>
      <c r="J41" s="121">
        <f t="shared" si="0"/>
        <v>138122</v>
      </c>
      <c r="K41" s="121">
        <f t="shared" si="3"/>
        <v>29974</v>
      </c>
      <c r="N41" s="129"/>
      <c r="O41" s="129"/>
      <c r="P41" s="129"/>
    </row>
    <row r="42" spans="1:16" s="120" customFormat="1" ht="18" hidden="1" customHeight="1" outlineLevel="1" collapsed="1" x14ac:dyDescent="0.25">
      <c r="A42" s="108"/>
      <c r="B42" s="156"/>
      <c r="C42" s="155"/>
      <c r="D42" s="139">
        <f t="shared" si="1"/>
        <v>40877</v>
      </c>
      <c r="E42" s="156"/>
      <c r="F42" s="121">
        <v>133425</v>
      </c>
      <c r="G42" s="156"/>
      <c r="H42" s="121">
        <v>76981</v>
      </c>
      <c r="I42" s="123">
        <f t="shared" ref="I42:I48" si="4">K42</f>
        <v>41526</v>
      </c>
      <c r="J42" s="121">
        <f t="shared" si="0"/>
        <v>174951</v>
      </c>
      <c r="K42" s="121">
        <f t="shared" si="3"/>
        <v>41526</v>
      </c>
      <c r="N42" s="129"/>
      <c r="O42" s="129"/>
      <c r="P42" s="129"/>
    </row>
    <row r="43" spans="1:16" s="120" customFormat="1" ht="18" hidden="1" customHeight="1" outlineLevel="1" collapsed="1" x14ac:dyDescent="0.25">
      <c r="A43" s="108"/>
      <c r="B43" s="156"/>
      <c r="C43" s="155"/>
      <c r="D43" s="139">
        <f t="shared" si="1"/>
        <v>40908</v>
      </c>
      <c r="E43" s="156"/>
      <c r="F43" s="121">
        <v>136326</v>
      </c>
      <c r="G43" s="156"/>
      <c r="H43" s="121">
        <v>46361</v>
      </c>
      <c r="I43" s="123">
        <f t="shared" si="4"/>
        <v>5497</v>
      </c>
      <c r="J43" s="121">
        <f t="shared" si="0"/>
        <v>141823</v>
      </c>
      <c r="K43" s="121">
        <f t="shared" si="3"/>
        <v>5497</v>
      </c>
      <c r="N43" s="129"/>
      <c r="O43" s="129"/>
      <c r="P43" s="129"/>
    </row>
    <row r="44" spans="1:16" s="120" customFormat="1" ht="18" hidden="1" customHeight="1" outlineLevel="1" collapsed="1" x14ac:dyDescent="0.25">
      <c r="A44" s="108"/>
      <c r="B44" s="156"/>
      <c r="C44" s="155"/>
      <c r="D44" s="139">
        <f t="shared" si="1"/>
        <v>40939</v>
      </c>
      <c r="E44" s="156"/>
      <c r="F44" s="121">
        <v>141807</v>
      </c>
      <c r="G44" s="156"/>
      <c r="H44" s="121">
        <v>164666</v>
      </c>
      <c r="I44" s="123">
        <f t="shared" si="4"/>
        <v>-26544</v>
      </c>
      <c r="J44" s="121">
        <f t="shared" si="0"/>
        <v>115263</v>
      </c>
      <c r="K44" s="121">
        <f t="shared" si="3"/>
        <v>-26544</v>
      </c>
      <c r="N44" s="129"/>
      <c r="O44" s="129"/>
      <c r="P44" s="129"/>
    </row>
    <row r="45" spans="1:16" s="120" customFormat="1" ht="18" hidden="1" customHeight="1" outlineLevel="1" collapsed="1" x14ac:dyDescent="0.25">
      <c r="A45" s="108"/>
      <c r="B45" s="156"/>
      <c r="C45" s="155"/>
      <c r="D45" s="139">
        <f t="shared" si="1"/>
        <v>40968</v>
      </c>
      <c r="E45" s="156"/>
      <c r="F45" s="121">
        <v>100203</v>
      </c>
      <c r="G45" s="156"/>
      <c r="H45" s="121">
        <v>235118</v>
      </c>
      <c r="I45" s="123">
        <f t="shared" si="4"/>
        <v>-60167</v>
      </c>
      <c r="J45" s="121">
        <f t="shared" si="0"/>
        <v>40036</v>
      </c>
      <c r="K45" s="121">
        <f t="shared" si="3"/>
        <v>-60167</v>
      </c>
      <c r="N45" s="129"/>
      <c r="O45" s="129"/>
      <c r="P45" s="129"/>
    </row>
    <row r="46" spans="1:16" s="120" customFormat="1" ht="18" hidden="1" customHeight="1" outlineLevel="1" collapsed="1" x14ac:dyDescent="0.25">
      <c r="A46" s="108"/>
      <c r="B46" s="156"/>
      <c r="C46" s="155"/>
      <c r="D46" s="139">
        <f t="shared" si="1"/>
        <v>40999</v>
      </c>
      <c r="E46" s="156"/>
      <c r="F46" s="121">
        <v>87448</v>
      </c>
      <c r="G46" s="156"/>
      <c r="H46" s="121">
        <v>128563</v>
      </c>
      <c r="I46" s="123">
        <f t="shared" si="4"/>
        <v>13260</v>
      </c>
      <c r="J46" s="121">
        <f t="shared" ref="J46:J77" si="5">+F46+I46</f>
        <v>100708</v>
      </c>
      <c r="K46" s="121">
        <f t="shared" si="3"/>
        <v>13260</v>
      </c>
      <c r="N46" s="129"/>
      <c r="O46" s="129"/>
      <c r="P46" s="129"/>
    </row>
    <row r="47" spans="1:16" s="120" customFormat="1" ht="18" hidden="1" customHeight="1" outlineLevel="1" collapsed="1" x14ac:dyDescent="0.25">
      <c r="A47" s="108"/>
      <c r="B47" s="156"/>
      <c r="C47" s="155"/>
      <c r="D47" s="139">
        <f t="shared" si="1"/>
        <v>41029</v>
      </c>
      <c r="E47" s="156"/>
      <c r="F47" s="121">
        <v>98801</v>
      </c>
      <c r="G47" s="156"/>
      <c r="H47" s="121">
        <v>92649</v>
      </c>
      <c r="I47" s="123">
        <f t="shared" si="4"/>
        <v>22614</v>
      </c>
      <c r="J47" s="121">
        <f t="shared" si="5"/>
        <v>121415</v>
      </c>
      <c r="K47" s="121">
        <f t="shared" si="3"/>
        <v>22614</v>
      </c>
      <c r="N47" s="129"/>
      <c r="O47" s="129"/>
      <c r="P47" s="129"/>
    </row>
    <row r="48" spans="1:16" s="120" customFormat="1" ht="18" hidden="1" customHeight="1" outlineLevel="1" collapsed="1" x14ac:dyDescent="0.25">
      <c r="A48" s="108"/>
      <c r="B48" s="156"/>
      <c r="C48" s="155"/>
      <c r="D48" s="139">
        <f t="shared" si="1"/>
        <v>41060</v>
      </c>
      <c r="E48" s="156"/>
      <c r="F48" s="121">
        <v>107604</v>
      </c>
      <c r="G48" s="156"/>
      <c r="H48" s="121">
        <v>33962</v>
      </c>
      <c r="I48" s="123">
        <f t="shared" si="4"/>
        <v>6074</v>
      </c>
      <c r="J48" s="121">
        <f t="shared" si="5"/>
        <v>113678</v>
      </c>
      <c r="K48" s="121">
        <f t="shared" si="3"/>
        <v>6074</v>
      </c>
      <c r="N48" s="129"/>
      <c r="O48" s="129"/>
      <c r="P48" s="129"/>
    </row>
    <row r="49" spans="1:16" s="120" customFormat="1" ht="18" hidden="1" customHeight="1" outlineLevel="1" collapsed="1" x14ac:dyDescent="0.25">
      <c r="A49" s="108"/>
      <c r="B49" s="156"/>
      <c r="C49" s="155"/>
      <c r="D49" s="139">
        <f t="shared" si="1"/>
        <v>41090</v>
      </c>
      <c r="E49" s="156"/>
      <c r="F49" s="121">
        <v>137485</v>
      </c>
      <c r="G49" s="156"/>
      <c r="H49" s="121">
        <v>108826</v>
      </c>
      <c r="I49" s="123">
        <f t="shared" ref="I49:I54" si="6">K49</f>
        <v>-8118</v>
      </c>
      <c r="J49" s="121">
        <f t="shared" si="5"/>
        <v>129367</v>
      </c>
      <c r="K49" s="121">
        <f t="shared" si="3"/>
        <v>-8118</v>
      </c>
      <c r="N49" s="129"/>
      <c r="O49" s="129"/>
      <c r="P49" s="129"/>
    </row>
    <row r="50" spans="1:16" s="120" customFormat="1" ht="18" hidden="1" customHeight="1" outlineLevel="1" collapsed="1" x14ac:dyDescent="0.25">
      <c r="A50" s="108"/>
      <c r="B50" s="156"/>
      <c r="C50" s="155"/>
      <c r="D50" s="139">
        <f t="shared" si="1"/>
        <v>41121</v>
      </c>
      <c r="E50" s="156"/>
      <c r="F50" s="121">
        <v>159783</v>
      </c>
      <c r="G50" s="156"/>
      <c r="H50" s="121">
        <v>162458</v>
      </c>
      <c r="I50" s="123">
        <f t="shared" si="6"/>
        <v>-41043</v>
      </c>
      <c r="J50" s="121">
        <f t="shared" si="5"/>
        <v>118740</v>
      </c>
      <c r="K50" s="121">
        <f t="shared" si="3"/>
        <v>-41043</v>
      </c>
      <c r="N50" s="129"/>
      <c r="O50" s="129"/>
      <c r="P50" s="129"/>
    </row>
    <row r="51" spans="1:16" s="120" customFormat="1" ht="18" hidden="1" customHeight="1" outlineLevel="1" collapsed="1" x14ac:dyDescent="0.25">
      <c r="A51" s="108"/>
      <c r="B51" s="156"/>
      <c r="C51" s="155"/>
      <c r="D51" s="139">
        <f t="shared" si="1"/>
        <v>41152</v>
      </c>
      <c r="E51" s="156"/>
      <c r="F51" s="121">
        <v>149078</v>
      </c>
      <c r="G51" s="156"/>
      <c r="H51" s="121">
        <v>153552</v>
      </c>
      <c r="I51" s="123">
        <f t="shared" si="6"/>
        <v>-39874</v>
      </c>
      <c r="J51" s="121">
        <f t="shared" si="5"/>
        <v>109204</v>
      </c>
      <c r="K51" s="121">
        <f t="shared" si="3"/>
        <v>-39874</v>
      </c>
      <c r="N51" s="129"/>
      <c r="O51" s="129"/>
      <c r="P51" s="129"/>
    </row>
    <row r="52" spans="1:16" s="120" customFormat="1" ht="18" hidden="1" customHeight="1" outlineLevel="1" collapsed="1" x14ac:dyDescent="0.25">
      <c r="A52" s="108"/>
      <c r="B52" s="156"/>
      <c r="C52" s="155"/>
      <c r="D52" s="139">
        <f t="shared" si="1"/>
        <v>41182</v>
      </c>
      <c r="E52" s="156"/>
      <c r="F52" s="121">
        <v>102979</v>
      </c>
      <c r="G52" s="156"/>
      <c r="H52" s="121">
        <v>154688</v>
      </c>
      <c r="I52" s="123">
        <f t="shared" si="6"/>
        <v>-25321</v>
      </c>
      <c r="J52" s="121">
        <f t="shared" si="5"/>
        <v>77658</v>
      </c>
      <c r="K52" s="121">
        <f t="shared" si="3"/>
        <v>-25321</v>
      </c>
      <c r="N52" s="129"/>
      <c r="O52" s="129"/>
      <c r="P52" s="129"/>
    </row>
    <row r="53" spans="1:16" s="120" customFormat="1" ht="18" hidden="1" customHeight="1" outlineLevel="1" collapsed="1" x14ac:dyDescent="0.25">
      <c r="A53" s="108"/>
      <c r="B53" s="156"/>
      <c r="C53" s="155"/>
      <c r="D53" s="139">
        <f t="shared" si="1"/>
        <v>41213</v>
      </c>
      <c r="E53" s="156"/>
      <c r="F53" s="121">
        <v>124094.21</v>
      </c>
      <c r="G53" s="156"/>
      <c r="H53" s="121">
        <v>88728.89</v>
      </c>
      <c r="I53" s="123">
        <f t="shared" si="6"/>
        <v>30011.439999999999</v>
      </c>
      <c r="J53" s="121">
        <f t="shared" si="5"/>
        <v>154105.65</v>
      </c>
      <c r="K53" s="121">
        <v>30011.439999999999</v>
      </c>
      <c r="N53" s="129"/>
      <c r="O53" s="129"/>
      <c r="P53" s="129"/>
    </row>
    <row r="54" spans="1:16" s="120" customFormat="1" ht="18" hidden="1" customHeight="1" outlineLevel="1" collapsed="1" x14ac:dyDescent="0.25">
      <c r="A54" s="108"/>
      <c r="B54" s="156"/>
      <c r="C54" s="155"/>
      <c r="D54" s="139">
        <f>EOMONTH(D53,1)</f>
        <v>41243</v>
      </c>
      <c r="E54" s="156"/>
      <c r="F54" s="121">
        <v>130063.46</v>
      </c>
      <c r="G54" s="156"/>
      <c r="H54" s="121">
        <v>70984.98</v>
      </c>
      <c r="I54" s="123">
        <f t="shared" si="6"/>
        <v>38219.43</v>
      </c>
      <c r="J54" s="121">
        <f t="shared" si="5"/>
        <v>168282.89</v>
      </c>
      <c r="K54" s="121">
        <v>38219.43</v>
      </c>
      <c r="N54" s="129"/>
      <c r="O54" s="129"/>
      <c r="P54" s="129"/>
    </row>
    <row r="55" spans="1:16" s="120" customFormat="1" ht="18" hidden="1" customHeight="1" outlineLevel="1" collapsed="1" x14ac:dyDescent="0.25">
      <c r="A55" s="108"/>
      <c r="B55" s="156"/>
      <c r="C55" s="155"/>
      <c r="D55" s="139">
        <f t="shared" ref="D55:D100" si="7">EOMONTH(D54,1)</f>
        <v>41274</v>
      </c>
      <c r="E55" s="156"/>
      <c r="F55" s="121">
        <v>149678.62</v>
      </c>
      <c r="G55" s="156"/>
      <c r="H55" s="121">
        <v>71750.460000000006</v>
      </c>
      <c r="I55" s="123">
        <f t="shared" ref="I55:I85" si="8">K55</f>
        <v>5905.24</v>
      </c>
      <c r="J55" s="121">
        <f t="shared" si="5"/>
        <v>155583.85999999999</v>
      </c>
      <c r="K55" s="121">
        <v>5905.24</v>
      </c>
      <c r="N55" s="129"/>
      <c r="O55" s="129"/>
      <c r="P55" s="129"/>
    </row>
    <row r="56" spans="1:16" s="120" customFormat="1" ht="18" hidden="1" customHeight="1" outlineLevel="1" collapsed="1" x14ac:dyDescent="0.25">
      <c r="A56" s="108"/>
      <c r="B56" s="156"/>
      <c r="C56" s="155"/>
      <c r="D56" s="139">
        <f t="shared" si="7"/>
        <v>41305</v>
      </c>
      <c r="E56" s="156"/>
      <c r="F56" s="121">
        <v>171745.62</v>
      </c>
      <c r="G56" s="156"/>
      <c r="H56" s="121">
        <v>183288.85</v>
      </c>
      <c r="I56" s="123">
        <f t="shared" si="8"/>
        <v>-29183.200000000012</v>
      </c>
      <c r="J56" s="121">
        <f t="shared" si="5"/>
        <v>142562.41999999998</v>
      </c>
      <c r="K56" s="121">
        <f t="shared" ref="K56:K99" si="9">J53-H56</f>
        <v>-29183.200000000012</v>
      </c>
      <c r="N56" s="129"/>
      <c r="O56" s="129"/>
      <c r="P56" s="129"/>
    </row>
    <row r="57" spans="1:16" s="120" customFormat="1" ht="18" hidden="1" customHeight="1" outlineLevel="1" collapsed="1" x14ac:dyDescent="0.25">
      <c r="A57" s="108"/>
      <c r="B57" s="156"/>
      <c r="C57" s="155"/>
      <c r="D57" s="139">
        <f t="shared" si="7"/>
        <v>41333</v>
      </c>
      <c r="E57" s="156"/>
      <c r="F57" s="121">
        <v>160815.41</v>
      </c>
      <c r="G57" s="156"/>
      <c r="H57" s="121">
        <v>219530.05</v>
      </c>
      <c r="I57" s="123">
        <f t="shared" si="8"/>
        <v>-51247.159999999974</v>
      </c>
      <c r="J57" s="121">
        <f t="shared" si="5"/>
        <v>109568.25000000003</v>
      </c>
      <c r="K57" s="121">
        <f t="shared" si="9"/>
        <v>-51247.159999999974</v>
      </c>
      <c r="N57" s="129"/>
      <c r="O57" s="129"/>
      <c r="P57" s="129"/>
    </row>
    <row r="58" spans="1:16" s="120" customFormat="1" ht="18" hidden="1" customHeight="1" outlineLevel="1" collapsed="1" x14ac:dyDescent="0.25">
      <c r="A58" s="108"/>
      <c r="B58" s="156"/>
      <c r="C58" s="155"/>
      <c r="D58" s="139">
        <f t="shared" si="7"/>
        <v>41364</v>
      </c>
      <c r="E58" s="156"/>
      <c r="F58" s="121">
        <v>142065.26999999999</v>
      </c>
      <c r="G58" s="156"/>
      <c r="H58" s="121">
        <v>170003.9</v>
      </c>
      <c r="I58" s="123">
        <f t="shared" si="8"/>
        <v>-14420.040000000008</v>
      </c>
      <c r="J58" s="121">
        <f t="shared" si="5"/>
        <v>127645.22999999998</v>
      </c>
      <c r="K58" s="121">
        <f t="shared" si="9"/>
        <v>-14420.040000000008</v>
      </c>
      <c r="N58" s="129"/>
      <c r="O58" s="129"/>
      <c r="P58" s="129"/>
    </row>
    <row r="59" spans="1:16" s="120" customFormat="1" ht="18" hidden="1" customHeight="1" outlineLevel="1" collapsed="1" x14ac:dyDescent="0.25">
      <c r="A59" s="108"/>
      <c r="B59" s="156"/>
      <c r="C59" s="155"/>
      <c r="D59" s="139">
        <f t="shared" si="7"/>
        <v>41394</v>
      </c>
      <c r="E59" s="156"/>
      <c r="F59" s="121">
        <v>118373.04</v>
      </c>
      <c r="G59" s="156"/>
      <c r="H59" s="121">
        <v>122808.32000000001</v>
      </c>
      <c r="I59" s="123">
        <f t="shared" si="8"/>
        <v>19754.099999999977</v>
      </c>
      <c r="J59" s="121">
        <f t="shared" si="5"/>
        <v>138127.13999999996</v>
      </c>
      <c r="K59" s="121">
        <f t="shared" si="9"/>
        <v>19754.099999999977</v>
      </c>
      <c r="N59" s="129"/>
      <c r="O59" s="129"/>
      <c r="P59" s="129"/>
    </row>
    <row r="60" spans="1:16" s="120" customFormat="1" ht="18" hidden="1" customHeight="1" outlineLevel="1" collapsed="1" x14ac:dyDescent="0.25">
      <c r="A60" s="108"/>
      <c r="B60" s="156"/>
      <c r="C60" s="155"/>
      <c r="D60" s="139">
        <f t="shared" si="7"/>
        <v>41425</v>
      </c>
      <c r="E60" s="156"/>
      <c r="F60" s="121">
        <v>128778.98</v>
      </c>
      <c r="G60" s="156"/>
      <c r="H60" s="121">
        <v>103089.74</v>
      </c>
      <c r="I60" s="123">
        <f t="shared" si="8"/>
        <v>6478.5100000000239</v>
      </c>
      <c r="J60" s="121">
        <f t="shared" si="5"/>
        <v>135257.49000000002</v>
      </c>
      <c r="K60" s="121">
        <f t="shared" si="9"/>
        <v>6478.5100000000239</v>
      </c>
      <c r="N60" s="129"/>
      <c r="O60" s="129"/>
      <c r="P60" s="129"/>
    </row>
    <row r="61" spans="1:16" s="120" customFormat="1" ht="18" hidden="1" customHeight="1" outlineLevel="1" collapsed="1" x14ac:dyDescent="0.25">
      <c r="A61" s="108"/>
      <c r="B61" s="156"/>
      <c r="C61" s="155"/>
      <c r="D61" s="139">
        <f t="shared" si="7"/>
        <v>41455</v>
      </c>
      <c r="E61" s="156"/>
      <c r="F61" s="121">
        <v>168911.55</v>
      </c>
      <c r="G61" s="156"/>
      <c r="H61" s="121">
        <v>104648.86</v>
      </c>
      <c r="I61" s="123">
        <f t="shared" si="8"/>
        <v>22996.369999999981</v>
      </c>
      <c r="J61" s="121">
        <f t="shared" si="5"/>
        <v>191907.91999999998</v>
      </c>
      <c r="K61" s="121">
        <f t="shared" si="9"/>
        <v>22996.369999999981</v>
      </c>
      <c r="N61" s="129"/>
      <c r="O61" s="129"/>
      <c r="P61" s="129"/>
    </row>
    <row r="62" spans="1:16" s="120" customFormat="1" ht="18" hidden="1" customHeight="1" outlineLevel="1" collapsed="1" x14ac:dyDescent="0.25">
      <c r="A62" s="108"/>
      <c r="B62" s="156"/>
      <c r="C62" s="155"/>
      <c r="D62" s="139">
        <f t="shared" si="7"/>
        <v>41486</v>
      </c>
      <c r="E62" s="156"/>
      <c r="F62" s="121">
        <v>174263.38</v>
      </c>
      <c r="G62" s="156"/>
      <c r="H62" s="121">
        <v>159445.1</v>
      </c>
      <c r="I62" s="123">
        <f t="shared" si="8"/>
        <v>-21317.96000000005</v>
      </c>
      <c r="J62" s="121">
        <f t="shared" si="5"/>
        <v>152945.41999999995</v>
      </c>
      <c r="K62" s="121">
        <f t="shared" si="9"/>
        <v>-21317.96000000005</v>
      </c>
      <c r="N62" s="129"/>
      <c r="O62" s="129"/>
      <c r="P62" s="129"/>
    </row>
    <row r="63" spans="1:16" s="120" customFormat="1" ht="18" hidden="1" customHeight="1" outlineLevel="1" collapsed="1" x14ac:dyDescent="0.25">
      <c r="A63" s="108"/>
      <c r="B63" s="156"/>
      <c r="C63" s="155"/>
      <c r="D63" s="139">
        <f t="shared" si="7"/>
        <v>41517</v>
      </c>
      <c r="E63" s="156"/>
      <c r="F63" s="121">
        <v>192807.41</v>
      </c>
      <c r="G63" s="156"/>
      <c r="H63" s="121">
        <v>169345.07</v>
      </c>
      <c r="I63" s="123">
        <f t="shared" si="8"/>
        <v>-34087.579999999987</v>
      </c>
      <c r="J63" s="121">
        <f t="shared" si="5"/>
        <v>158719.83000000002</v>
      </c>
      <c r="K63" s="121">
        <f t="shared" si="9"/>
        <v>-34087.579999999987</v>
      </c>
      <c r="N63" s="129"/>
      <c r="O63" s="129"/>
      <c r="P63" s="129"/>
    </row>
    <row r="64" spans="1:16" s="120" customFormat="1" ht="18" hidden="1" customHeight="1" outlineLevel="1" collapsed="1" x14ac:dyDescent="0.25">
      <c r="A64" s="108"/>
      <c r="B64" s="156"/>
      <c r="C64" s="155"/>
      <c r="D64" s="139">
        <f t="shared" si="7"/>
        <v>41547</v>
      </c>
      <c r="E64" s="156"/>
      <c r="F64" s="121">
        <v>187242.94</v>
      </c>
      <c r="G64" s="156"/>
      <c r="H64" s="121">
        <v>202974.25</v>
      </c>
      <c r="I64" s="123">
        <f t="shared" si="8"/>
        <v>-11066.330000000016</v>
      </c>
      <c r="J64" s="121">
        <f t="shared" si="5"/>
        <v>176176.61</v>
      </c>
      <c r="K64" s="121">
        <f t="shared" si="9"/>
        <v>-11066.330000000016</v>
      </c>
      <c r="N64" s="129"/>
      <c r="O64" s="129"/>
      <c r="P64" s="129"/>
    </row>
    <row r="65" spans="1:16" s="120" customFormat="1" ht="18" hidden="1" customHeight="1" outlineLevel="1" collapsed="1" x14ac:dyDescent="0.25">
      <c r="A65" s="108"/>
      <c r="B65" s="156"/>
      <c r="C65" s="155"/>
      <c r="D65" s="139">
        <f t="shared" si="7"/>
        <v>41578</v>
      </c>
      <c r="E65" s="156"/>
      <c r="F65" s="121">
        <v>131619.32</v>
      </c>
      <c r="G65" s="156"/>
      <c r="H65" s="121">
        <v>153165.44</v>
      </c>
      <c r="I65" s="123">
        <f t="shared" si="8"/>
        <v>-220.02000000004773</v>
      </c>
      <c r="J65" s="121">
        <f t="shared" si="5"/>
        <v>131399.29999999996</v>
      </c>
      <c r="K65" s="121">
        <f t="shared" si="9"/>
        <v>-220.02000000004773</v>
      </c>
      <c r="N65" s="129"/>
      <c r="O65" s="129"/>
      <c r="P65" s="129"/>
    </row>
    <row r="66" spans="1:16" s="120" customFormat="1" ht="18" hidden="1" customHeight="1" outlineLevel="1" collapsed="1" x14ac:dyDescent="0.25">
      <c r="A66" s="108"/>
      <c r="B66" s="156"/>
      <c r="C66" s="155"/>
      <c r="D66" s="139">
        <f t="shared" si="7"/>
        <v>41608</v>
      </c>
      <c r="E66" s="156"/>
      <c r="F66" s="121">
        <v>220902.3</v>
      </c>
      <c r="G66" s="156"/>
      <c r="H66" s="121">
        <v>120217.47</v>
      </c>
      <c r="I66" s="123">
        <f t="shared" si="8"/>
        <v>38502.360000000015</v>
      </c>
      <c r="J66" s="121">
        <f t="shared" si="5"/>
        <v>259404.66</v>
      </c>
      <c r="K66" s="121">
        <f t="shared" si="9"/>
        <v>38502.360000000015</v>
      </c>
      <c r="N66" s="129"/>
      <c r="O66" s="129"/>
      <c r="P66" s="129"/>
    </row>
    <row r="67" spans="1:16" s="120" customFormat="1" ht="18" hidden="1" customHeight="1" outlineLevel="1" collapsed="1" x14ac:dyDescent="0.25">
      <c r="A67" s="108"/>
      <c r="B67" s="156"/>
      <c r="C67" s="155"/>
      <c r="D67" s="139">
        <f t="shared" si="7"/>
        <v>41639</v>
      </c>
      <c r="E67" s="156"/>
      <c r="F67" s="121">
        <v>246576.2</v>
      </c>
      <c r="G67" s="156"/>
      <c r="H67" s="121">
        <v>162440.51999999999</v>
      </c>
      <c r="I67" s="123">
        <f t="shared" si="8"/>
        <v>13736.089999999997</v>
      </c>
      <c r="J67" s="121">
        <f t="shared" si="5"/>
        <v>260312.29</v>
      </c>
      <c r="K67" s="121">
        <f t="shared" si="9"/>
        <v>13736.089999999997</v>
      </c>
      <c r="N67" s="129"/>
      <c r="O67" s="129"/>
      <c r="P67" s="129"/>
    </row>
    <row r="68" spans="1:16" s="120" customFormat="1" ht="18" hidden="1" customHeight="1" outlineLevel="1" collapsed="1" x14ac:dyDescent="0.25">
      <c r="A68" s="108"/>
      <c r="B68" s="156"/>
      <c r="C68" s="155"/>
      <c r="D68" s="139">
        <f t="shared" si="7"/>
        <v>41670</v>
      </c>
      <c r="E68" s="156"/>
      <c r="F68" s="121">
        <v>314415.48</v>
      </c>
      <c r="G68" s="156"/>
      <c r="H68" s="121">
        <v>179756.16</v>
      </c>
      <c r="I68" s="123">
        <f t="shared" si="8"/>
        <v>-48356.860000000044</v>
      </c>
      <c r="J68" s="121">
        <f t="shared" si="5"/>
        <v>266058.61999999994</v>
      </c>
      <c r="K68" s="121">
        <f t="shared" si="9"/>
        <v>-48356.860000000044</v>
      </c>
      <c r="N68" s="129"/>
      <c r="O68" s="129"/>
      <c r="P68" s="129"/>
    </row>
    <row r="69" spans="1:16" s="120" customFormat="1" ht="18" hidden="1" customHeight="1" outlineLevel="1" collapsed="1" x14ac:dyDescent="0.25">
      <c r="A69" s="108"/>
      <c r="B69" s="156"/>
      <c r="C69" s="155"/>
      <c r="D69" s="139">
        <f t="shared" si="7"/>
        <v>41698</v>
      </c>
      <c r="E69" s="156"/>
      <c r="F69" s="121">
        <v>263353.44</v>
      </c>
      <c r="G69" s="156"/>
      <c r="H69" s="121">
        <v>369256.77</v>
      </c>
      <c r="I69" s="123">
        <f t="shared" si="8"/>
        <v>-109852.11000000002</v>
      </c>
      <c r="J69" s="121">
        <f t="shared" si="5"/>
        <v>153501.32999999999</v>
      </c>
      <c r="K69" s="121">
        <f t="shared" si="9"/>
        <v>-109852.11000000002</v>
      </c>
      <c r="N69" s="129"/>
      <c r="O69" s="129"/>
      <c r="P69" s="129"/>
    </row>
    <row r="70" spans="1:16" s="120" customFormat="1" ht="18" hidden="1" customHeight="1" outlineLevel="1" collapsed="1" x14ac:dyDescent="0.25">
      <c r="A70" s="108"/>
      <c r="B70" s="156"/>
      <c r="C70" s="155"/>
      <c r="D70" s="139">
        <f t="shared" si="7"/>
        <v>41729</v>
      </c>
      <c r="E70" s="156"/>
      <c r="F70" s="121">
        <v>123239.66</v>
      </c>
      <c r="G70" s="156"/>
      <c r="H70" s="121">
        <v>281843.78000000003</v>
      </c>
      <c r="I70" s="123">
        <f t="shared" si="8"/>
        <v>-21531.49000000002</v>
      </c>
      <c r="J70" s="121">
        <f t="shared" si="5"/>
        <v>101708.16999999998</v>
      </c>
      <c r="K70" s="121">
        <f t="shared" si="9"/>
        <v>-21531.49000000002</v>
      </c>
      <c r="N70" s="129"/>
      <c r="O70" s="129"/>
      <c r="P70" s="129"/>
    </row>
    <row r="71" spans="1:16" s="120" customFormat="1" ht="18" hidden="1" customHeight="1" outlineLevel="1" collapsed="1" x14ac:dyDescent="0.25">
      <c r="A71" s="108"/>
      <c r="B71" s="156"/>
      <c r="C71" s="155"/>
      <c r="D71" s="139">
        <f t="shared" si="7"/>
        <v>41759</v>
      </c>
      <c r="E71" s="156"/>
      <c r="F71" s="121">
        <v>150660.98000000001</v>
      </c>
      <c r="G71" s="156"/>
      <c r="H71" s="121">
        <v>206987.48</v>
      </c>
      <c r="I71" s="123">
        <f t="shared" si="8"/>
        <v>59071.139999999927</v>
      </c>
      <c r="J71" s="121">
        <f t="shared" si="5"/>
        <v>209732.11999999994</v>
      </c>
      <c r="K71" s="121">
        <f t="shared" si="9"/>
        <v>59071.139999999927</v>
      </c>
      <c r="N71" s="129"/>
      <c r="O71" s="129"/>
      <c r="P71" s="129"/>
    </row>
    <row r="72" spans="1:16" s="120" customFormat="1" ht="18" hidden="1" customHeight="1" outlineLevel="1" collapsed="1" x14ac:dyDescent="0.25">
      <c r="A72" s="108"/>
      <c r="B72" s="156"/>
      <c r="C72" s="155"/>
      <c r="D72" s="139">
        <f t="shared" si="7"/>
        <v>41790</v>
      </c>
      <c r="E72" s="156"/>
      <c r="F72" s="121">
        <v>149717.82</v>
      </c>
      <c r="G72" s="156"/>
      <c r="H72" s="121">
        <v>111598.23</v>
      </c>
      <c r="I72" s="123">
        <f t="shared" si="8"/>
        <v>41903.099999999991</v>
      </c>
      <c r="J72" s="121">
        <f t="shared" si="5"/>
        <v>191620.91999999998</v>
      </c>
      <c r="K72" s="121">
        <f t="shared" si="9"/>
        <v>41903.099999999991</v>
      </c>
      <c r="N72" s="129"/>
      <c r="O72" s="129"/>
      <c r="P72" s="129"/>
    </row>
    <row r="73" spans="1:16" s="120" customFormat="1" ht="18" hidden="1" customHeight="1" outlineLevel="1" collapsed="1" x14ac:dyDescent="0.25">
      <c r="A73" s="108"/>
      <c r="B73" s="156"/>
      <c r="C73" s="155"/>
      <c r="D73" s="139">
        <f t="shared" si="7"/>
        <v>41820</v>
      </c>
      <c r="E73" s="156"/>
      <c r="F73" s="121">
        <v>263769.78999999998</v>
      </c>
      <c r="G73" s="156"/>
      <c r="H73" s="121">
        <v>85621.35</v>
      </c>
      <c r="I73" s="123">
        <f t="shared" si="8"/>
        <v>16086.819999999978</v>
      </c>
      <c r="J73" s="121">
        <f t="shared" si="5"/>
        <v>279856.61</v>
      </c>
      <c r="K73" s="121">
        <f t="shared" si="9"/>
        <v>16086.819999999978</v>
      </c>
      <c r="N73" s="129"/>
      <c r="O73" s="129"/>
      <c r="P73" s="129"/>
    </row>
    <row r="74" spans="1:16" s="120" customFormat="1" ht="18" hidden="1" customHeight="1" outlineLevel="1" collapsed="1" x14ac:dyDescent="0.25">
      <c r="A74" s="108"/>
      <c r="B74" s="156"/>
      <c r="C74" s="155"/>
      <c r="D74" s="139">
        <f t="shared" si="7"/>
        <v>41851</v>
      </c>
      <c r="E74" s="156"/>
      <c r="F74" s="121">
        <v>262555.78999999998</v>
      </c>
      <c r="G74" s="156"/>
      <c r="H74" s="121">
        <v>261573.81</v>
      </c>
      <c r="I74" s="123">
        <f t="shared" si="8"/>
        <v>-51841.690000000061</v>
      </c>
      <c r="J74" s="121">
        <f t="shared" si="5"/>
        <v>210714.09999999992</v>
      </c>
      <c r="K74" s="121">
        <f t="shared" si="9"/>
        <v>-51841.690000000061</v>
      </c>
      <c r="N74" s="129"/>
      <c r="O74" s="129"/>
      <c r="P74" s="129"/>
    </row>
    <row r="75" spans="1:16" s="120" customFormat="1" ht="18" hidden="1" customHeight="1" outlineLevel="1" collapsed="1" x14ac:dyDescent="0.25">
      <c r="A75" s="108"/>
      <c r="B75" s="156"/>
      <c r="C75" s="155"/>
      <c r="D75" s="139">
        <f t="shared" si="7"/>
        <v>41882</v>
      </c>
      <c r="E75" s="156"/>
      <c r="F75" s="121">
        <v>349876.95</v>
      </c>
      <c r="G75" s="156"/>
      <c r="H75" s="121">
        <v>230611.87</v>
      </c>
      <c r="I75" s="123">
        <f t="shared" si="8"/>
        <v>-38990.950000000012</v>
      </c>
      <c r="J75" s="121">
        <f t="shared" si="5"/>
        <v>310886</v>
      </c>
      <c r="K75" s="121">
        <f t="shared" si="9"/>
        <v>-38990.950000000012</v>
      </c>
      <c r="N75" s="129"/>
      <c r="O75" s="129"/>
      <c r="P75" s="129"/>
    </row>
    <row r="76" spans="1:16" s="120" customFormat="1" ht="18" hidden="1" customHeight="1" outlineLevel="1" collapsed="1" x14ac:dyDescent="0.25">
      <c r="A76" s="108"/>
      <c r="B76" s="156"/>
      <c r="C76" s="155"/>
      <c r="D76" s="139">
        <f t="shared" si="7"/>
        <v>41912</v>
      </c>
      <c r="E76" s="156"/>
      <c r="F76" s="121">
        <v>282790.87</v>
      </c>
      <c r="G76" s="156"/>
      <c r="H76" s="121">
        <v>283392.99</v>
      </c>
      <c r="I76" s="123">
        <f t="shared" si="8"/>
        <v>-3536.3800000000047</v>
      </c>
      <c r="J76" s="121">
        <f t="shared" si="5"/>
        <v>279254.49</v>
      </c>
      <c r="K76" s="121">
        <f t="shared" si="9"/>
        <v>-3536.3800000000047</v>
      </c>
      <c r="N76" s="129"/>
      <c r="O76" s="129"/>
      <c r="P76" s="129"/>
    </row>
    <row r="77" spans="1:16" s="120" customFormat="1" ht="18" hidden="1" customHeight="1" outlineLevel="1" collapsed="1" x14ac:dyDescent="0.25">
      <c r="A77" s="108"/>
      <c r="B77" s="156"/>
      <c r="C77" s="155"/>
      <c r="D77" s="139">
        <f t="shared" si="7"/>
        <v>41943</v>
      </c>
      <c r="E77" s="156"/>
      <c r="F77" s="121">
        <v>205582.1</v>
      </c>
      <c r="G77" s="156"/>
      <c r="H77" s="121">
        <v>211965.02</v>
      </c>
      <c r="I77" s="123">
        <f t="shared" si="8"/>
        <v>-1250.920000000071</v>
      </c>
      <c r="J77" s="121">
        <f t="shared" si="5"/>
        <v>204331.17999999993</v>
      </c>
      <c r="K77" s="121">
        <f t="shared" si="9"/>
        <v>-1250.920000000071</v>
      </c>
      <c r="N77" s="129"/>
      <c r="O77" s="129"/>
      <c r="P77" s="129"/>
    </row>
    <row r="78" spans="1:16" s="120" customFormat="1" ht="18" hidden="1" customHeight="1" outlineLevel="1" collapsed="1" x14ac:dyDescent="0.25">
      <c r="A78" s="108"/>
      <c r="B78" s="156"/>
      <c r="C78" s="155"/>
      <c r="D78" s="139">
        <f t="shared" si="7"/>
        <v>41973</v>
      </c>
      <c r="E78" s="156"/>
      <c r="F78" s="121">
        <v>257034.88</v>
      </c>
      <c r="G78" s="156"/>
      <c r="H78" s="121">
        <v>211898.57</v>
      </c>
      <c r="I78" s="123">
        <f t="shared" si="8"/>
        <v>98987.43</v>
      </c>
      <c r="J78" s="121">
        <f t="shared" ref="J78:J99" si="10">+F78+I78</f>
        <v>356022.31</v>
      </c>
      <c r="K78" s="121">
        <f t="shared" si="9"/>
        <v>98987.43</v>
      </c>
      <c r="N78" s="129"/>
      <c r="O78" s="129"/>
      <c r="P78" s="129"/>
    </row>
    <row r="79" spans="1:16" s="120" customFormat="1" ht="18" hidden="1" customHeight="1" outlineLevel="1" collapsed="1" x14ac:dyDescent="0.25">
      <c r="A79" s="108"/>
      <c r="B79" s="156"/>
      <c r="C79" s="155"/>
      <c r="D79" s="139">
        <f t="shared" si="7"/>
        <v>42004</v>
      </c>
      <c r="E79" s="156"/>
      <c r="F79" s="121">
        <v>288423.62</v>
      </c>
      <c r="G79" s="156"/>
      <c r="H79" s="121">
        <v>267927.27</v>
      </c>
      <c r="I79" s="123">
        <f t="shared" si="8"/>
        <v>11327.219999999972</v>
      </c>
      <c r="J79" s="121">
        <f t="shared" si="10"/>
        <v>299750.83999999997</v>
      </c>
      <c r="K79" s="121">
        <f t="shared" si="9"/>
        <v>11327.219999999972</v>
      </c>
      <c r="N79" s="129"/>
      <c r="O79" s="129"/>
      <c r="P79" s="129"/>
    </row>
    <row r="80" spans="1:16" s="120" customFormat="1" ht="18" hidden="1" customHeight="1" outlineLevel="1" collapsed="1" x14ac:dyDescent="0.25">
      <c r="A80" s="108"/>
      <c r="B80" s="156"/>
      <c r="C80" s="155"/>
      <c r="D80" s="139">
        <f t="shared" si="7"/>
        <v>42035</v>
      </c>
      <c r="E80" s="156"/>
      <c r="F80" s="121">
        <v>335944.8</v>
      </c>
      <c r="G80" s="156"/>
      <c r="H80" s="121">
        <v>270700.96999999997</v>
      </c>
      <c r="I80" s="123">
        <f t="shared" si="8"/>
        <v>-66369.790000000037</v>
      </c>
      <c r="J80" s="121">
        <f t="shared" si="10"/>
        <v>269575.00999999995</v>
      </c>
      <c r="K80" s="121">
        <f t="shared" si="9"/>
        <v>-66369.790000000037</v>
      </c>
      <c r="N80" s="129"/>
      <c r="O80" s="129"/>
      <c r="P80" s="129"/>
    </row>
    <row r="81" spans="1:16" s="120" customFormat="1" ht="18" hidden="1" customHeight="1" outlineLevel="1" collapsed="1" x14ac:dyDescent="0.25">
      <c r="A81" s="108"/>
      <c r="B81" s="156"/>
      <c r="C81" s="155"/>
      <c r="D81" s="139">
        <f t="shared" si="7"/>
        <v>42063</v>
      </c>
      <c r="E81" s="156"/>
      <c r="F81" s="121">
        <v>341027</v>
      </c>
      <c r="G81" s="156"/>
      <c r="H81" s="121">
        <v>436077.36</v>
      </c>
      <c r="I81" s="123">
        <f t="shared" si="8"/>
        <v>-80055.049999999988</v>
      </c>
      <c r="J81" s="121">
        <f t="shared" si="10"/>
        <v>260971.95</v>
      </c>
      <c r="K81" s="121">
        <f t="shared" si="9"/>
        <v>-80055.049999999988</v>
      </c>
      <c r="N81" s="129"/>
      <c r="O81" s="129"/>
      <c r="P81" s="129"/>
    </row>
    <row r="82" spans="1:16" s="120" customFormat="1" ht="18" hidden="1" customHeight="1" outlineLevel="1" collapsed="1" x14ac:dyDescent="0.25">
      <c r="A82" s="108"/>
      <c r="B82" s="156"/>
      <c r="C82" s="155"/>
      <c r="D82" s="139">
        <f t="shared" si="7"/>
        <v>42094</v>
      </c>
      <c r="E82" s="156"/>
      <c r="F82" s="121">
        <v>187264.51</v>
      </c>
      <c r="G82" s="156"/>
      <c r="H82" s="121">
        <f>303687.12-0.3</f>
        <v>303686.82</v>
      </c>
      <c r="I82" s="123">
        <f t="shared" si="8"/>
        <v>-3935.9800000000396</v>
      </c>
      <c r="J82" s="121">
        <f t="shared" si="10"/>
        <v>183328.52999999997</v>
      </c>
      <c r="K82" s="121">
        <f t="shared" si="9"/>
        <v>-3935.9800000000396</v>
      </c>
      <c r="N82" s="129"/>
      <c r="O82" s="129"/>
      <c r="P82" s="129"/>
    </row>
    <row r="83" spans="1:16" s="120" customFormat="1" ht="18" hidden="1" customHeight="1" outlineLevel="1" collapsed="1" x14ac:dyDescent="0.25">
      <c r="A83" s="108"/>
      <c r="B83" s="156"/>
      <c r="C83" s="155"/>
      <c r="D83" s="139">
        <f t="shared" si="7"/>
        <v>42124</v>
      </c>
      <c r="E83" s="156"/>
      <c r="F83" s="121">
        <v>99396.95</v>
      </c>
      <c r="G83" s="156"/>
      <c r="H83" s="121">
        <v>260224.06</v>
      </c>
      <c r="I83" s="123">
        <f t="shared" si="8"/>
        <v>9350.9499999999534</v>
      </c>
      <c r="J83" s="121">
        <f t="shared" si="10"/>
        <v>108747.89999999995</v>
      </c>
      <c r="K83" s="121">
        <f t="shared" si="9"/>
        <v>9350.9499999999534</v>
      </c>
      <c r="N83" s="129"/>
      <c r="O83" s="129"/>
      <c r="P83" s="129"/>
    </row>
    <row r="84" spans="1:16" s="120" customFormat="1" ht="18" hidden="1" customHeight="1" outlineLevel="1" collapsed="1" x14ac:dyDescent="0.25">
      <c r="A84" s="108"/>
      <c r="B84" s="156"/>
      <c r="C84" s="155"/>
      <c r="D84" s="139">
        <f t="shared" si="7"/>
        <v>42155</v>
      </c>
      <c r="E84" s="156"/>
      <c r="F84" s="121">
        <v>124144.78</v>
      </c>
      <c r="G84" s="156"/>
      <c r="H84" s="121">
        <v>187772.27</v>
      </c>
      <c r="I84" s="123">
        <f t="shared" si="8"/>
        <v>73199.680000000022</v>
      </c>
      <c r="J84" s="121">
        <f t="shared" si="10"/>
        <v>197344.46000000002</v>
      </c>
      <c r="K84" s="121">
        <f t="shared" si="9"/>
        <v>73199.680000000022</v>
      </c>
      <c r="N84" s="129"/>
      <c r="O84" s="129"/>
      <c r="P84" s="129"/>
    </row>
    <row r="85" spans="1:16" s="120" customFormat="1" ht="18" hidden="1" customHeight="1" outlineLevel="1" collapsed="1" x14ac:dyDescent="0.25">
      <c r="A85" s="108"/>
      <c r="B85" s="156"/>
      <c r="C85" s="155"/>
      <c r="D85" s="139">
        <f t="shared" si="7"/>
        <v>42185</v>
      </c>
      <c r="E85" s="156"/>
      <c r="F85" s="121">
        <v>340139.53</v>
      </c>
      <c r="G85" s="156"/>
      <c r="H85" s="121">
        <v>143350.41</v>
      </c>
      <c r="I85" s="123">
        <f t="shared" si="8"/>
        <v>39978.119999999966</v>
      </c>
      <c r="J85" s="121">
        <f t="shared" si="10"/>
        <v>380117.65</v>
      </c>
      <c r="K85" s="121">
        <f t="shared" si="9"/>
        <v>39978.119999999966</v>
      </c>
      <c r="N85" s="129"/>
      <c r="O85" s="129"/>
      <c r="P85" s="129"/>
    </row>
    <row r="86" spans="1:16" s="120" customFormat="1" ht="18" hidden="1" customHeight="1" outlineLevel="1" x14ac:dyDescent="0.25">
      <c r="A86" s="108"/>
      <c r="B86" s="156"/>
      <c r="C86" s="155"/>
      <c r="D86" s="139">
        <f t="shared" si="7"/>
        <v>42216</v>
      </c>
      <c r="E86" s="156"/>
      <c r="F86" s="121">
        <v>255350.29</v>
      </c>
      <c r="G86" s="156"/>
      <c r="H86" s="121">
        <v>142458.25</v>
      </c>
      <c r="I86" s="123">
        <f t="shared" ref="I86:I93" si="11">K86</f>
        <v>-33710.350000000049</v>
      </c>
      <c r="J86" s="121">
        <f t="shared" si="10"/>
        <v>221639.93999999994</v>
      </c>
      <c r="K86" s="121">
        <f t="shared" si="9"/>
        <v>-33710.350000000049</v>
      </c>
      <c r="N86" s="129"/>
      <c r="O86" s="129"/>
      <c r="P86" s="129"/>
    </row>
    <row r="87" spans="1:16" s="120" customFormat="1" ht="18" hidden="1" customHeight="1" outlineLevel="1" collapsed="1" x14ac:dyDescent="0.25">
      <c r="A87" s="108"/>
      <c r="B87" s="156"/>
      <c r="C87" s="155"/>
      <c r="D87" s="139">
        <f t="shared" si="7"/>
        <v>42247</v>
      </c>
      <c r="E87" s="156"/>
      <c r="F87" s="121">
        <v>281154.81</v>
      </c>
      <c r="G87" s="156"/>
      <c r="H87" s="121">
        <v>287168.90000000002</v>
      </c>
      <c r="I87" s="123">
        <f t="shared" si="11"/>
        <v>-89824.44</v>
      </c>
      <c r="J87" s="121">
        <f t="shared" si="10"/>
        <v>191330.37</v>
      </c>
      <c r="K87" s="121">
        <f t="shared" si="9"/>
        <v>-89824.44</v>
      </c>
      <c r="N87" s="129"/>
      <c r="O87" s="129"/>
      <c r="P87" s="129"/>
    </row>
    <row r="88" spans="1:16" s="120" customFormat="1" ht="18" hidden="1" customHeight="1" outlineLevel="1" collapsed="1" x14ac:dyDescent="0.25">
      <c r="A88" s="108"/>
      <c r="B88" s="156"/>
      <c r="C88" s="155"/>
      <c r="D88" s="139">
        <f t="shared" si="7"/>
        <v>42277</v>
      </c>
      <c r="E88" s="156"/>
      <c r="F88" s="121">
        <v>204337.66</v>
      </c>
      <c r="G88" s="156"/>
      <c r="H88" s="121">
        <v>420541.13</v>
      </c>
      <c r="I88" s="123">
        <f t="shared" si="11"/>
        <v>-40423.479999999981</v>
      </c>
      <c r="J88" s="121">
        <f t="shared" si="10"/>
        <v>163914.18000000002</v>
      </c>
      <c r="K88" s="121">
        <f t="shared" si="9"/>
        <v>-40423.479999999981</v>
      </c>
      <c r="N88" s="129"/>
      <c r="O88" s="129"/>
      <c r="P88" s="129"/>
    </row>
    <row r="89" spans="1:16" s="120" customFormat="1" ht="18" hidden="1" customHeight="1" outlineLevel="1" collapsed="1" x14ac:dyDescent="0.25">
      <c r="A89" s="108"/>
      <c r="B89" s="156"/>
      <c r="C89" s="155"/>
      <c r="D89" s="139">
        <f t="shared" si="7"/>
        <v>42308</v>
      </c>
      <c r="E89" s="156"/>
      <c r="F89" s="121">
        <v>154649.41</v>
      </c>
      <c r="G89" s="156"/>
      <c r="H89" s="121">
        <v>181038.28</v>
      </c>
      <c r="I89" s="123">
        <f t="shared" si="11"/>
        <v>40601.659999999945</v>
      </c>
      <c r="J89" s="121">
        <f t="shared" si="10"/>
        <v>195251.06999999995</v>
      </c>
      <c r="K89" s="121">
        <f t="shared" si="9"/>
        <v>40601.659999999945</v>
      </c>
      <c r="N89" s="129"/>
      <c r="O89" s="129"/>
      <c r="P89" s="129"/>
    </row>
    <row r="90" spans="1:16" s="120" customFormat="1" ht="18" hidden="1" customHeight="1" outlineLevel="1" collapsed="1" x14ac:dyDescent="0.25">
      <c r="A90" s="108"/>
      <c r="B90" s="156"/>
      <c r="C90" s="155"/>
      <c r="D90" s="139">
        <f t="shared" si="7"/>
        <v>42338</v>
      </c>
      <c r="E90" s="156"/>
      <c r="F90" s="121">
        <v>135153.66</v>
      </c>
      <c r="G90" s="156"/>
      <c r="H90" s="121">
        <v>143464.37</v>
      </c>
      <c r="I90" s="123">
        <f t="shared" si="11"/>
        <v>47866</v>
      </c>
      <c r="J90" s="121">
        <f t="shared" si="10"/>
        <v>183019.66</v>
      </c>
      <c r="K90" s="121">
        <f t="shared" si="9"/>
        <v>47866</v>
      </c>
      <c r="N90" s="129"/>
      <c r="O90" s="129"/>
      <c r="P90" s="129"/>
    </row>
    <row r="91" spans="1:16" s="120" customFormat="1" ht="18" hidden="1" customHeight="1" outlineLevel="1" collapsed="1" x14ac:dyDescent="0.25">
      <c r="A91" s="108"/>
      <c r="B91" s="156"/>
      <c r="C91" s="155"/>
      <c r="D91" s="139">
        <f t="shared" si="7"/>
        <v>42369</v>
      </c>
      <c r="E91" s="156"/>
      <c r="F91" s="121">
        <v>221202.4</v>
      </c>
      <c r="G91" s="156"/>
      <c r="H91" s="121">
        <v>125495.09</v>
      </c>
      <c r="I91" s="123">
        <f t="shared" si="11"/>
        <v>38419.090000000026</v>
      </c>
      <c r="J91" s="121">
        <f t="shared" si="10"/>
        <v>259621.49000000002</v>
      </c>
      <c r="K91" s="121">
        <f t="shared" si="9"/>
        <v>38419.090000000026</v>
      </c>
      <c r="N91" s="129"/>
      <c r="O91" s="129"/>
      <c r="P91" s="129"/>
    </row>
    <row r="92" spans="1:16" s="120" customFormat="1" ht="18" hidden="1" customHeight="1" outlineLevel="1" collapsed="1" x14ac:dyDescent="0.25">
      <c r="A92" s="108"/>
      <c r="B92" s="156"/>
      <c r="C92" s="155"/>
      <c r="D92" s="139">
        <f t="shared" si="7"/>
        <v>42400</v>
      </c>
      <c r="E92" s="156"/>
      <c r="F92" s="121">
        <v>313020.82</v>
      </c>
      <c r="G92" s="156"/>
      <c r="H92" s="121">
        <v>219834.32</v>
      </c>
      <c r="I92" s="123">
        <f t="shared" si="11"/>
        <v>-24583.250000000058</v>
      </c>
      <c r="J92" s="121">
        <f t="shared" si="10"/>
        <v>288437.56999999995</v>
      </c>
      <c r="K92" s="121">
        <f t="shared" si="9"/>
        <v>-24583.250000000058</v>
      </c>
      <c r="N92" s="129"/>
      <c r="O92" s="129"/>
      <c r="P92" s="129"/>
    </row>
    <row r="93" spans="1:16" s="120" customFormat="1" ht="18" hidden="1" customHeight="1" outlineLevel="1" collapsed="1" x14ac:dyDescent="0.25">
      <c r="A93" s="108"/>
      <c r="B93" s="156"/>
      <c r="C93" s="155"/>
      <c r="D93" s="139">
        <f t="shared" si="7"/>
        <v>42429</v>
      </c>
      <c r="E93" s="156"/>
      <c r="F93" s="121">
        <v>253821.12</v>
      </c>
      <c r="G93" s="156"/>
      <c r="H93" s="121">
        <v>245088.32</v>
      </c>
      <c r="I93" s="123">
        <f t="shared" si="11"/>
        <v>-62068.66</v>
      </c>
      <c r="J93" s="121">
        <f t="shared" si="10"/>
        <v>191752.46</v>
      </c>
      <c r="K93" s="121">
        <f t="shared" si="9"/>
        <v>-62068.66</v>
      </c>
      <c r="N93" s="129"/>
      <c r="O93" s="129"/>
      <c r="P93" s="129"/>
    </row>
    <row r="94" spans="1:16" s="120" customFormat="1" ht="18" hidden="1" customHeight="1" outlineLevel="1" x14ac:dyDescent="0.25">
      <c r="A94" s="108"/>
      <c r="B94" s="156"/>
      <c r="C94" s="155"/>
      <c r="D94" s="139">
        <f t="shared" si="7"/>
        <v>42460</v>
      </c>
      <c r="E94" s="156"/>
      <c r="F94" s="121">
        <v>173511.73</v>
      </c>
      <c r="G94" s="156"/>
      <c r="H94" s="121">
        <v>304780.38</v>
      </c>
      <c r="I94" s="123">
        <f t="shared" ref="I94:I99" si="12">K94</f>
        <v>-45158.889999999985</v>
      </c>
      <c r="J94" s="121">
        <f t="shared" si="10"/>
        <v>128352.84000000003</v>
      </c>
      <c r="K94" s="121">
        <f t="shared" si="9"/>
        <v>-45158.889999999985</v>
      </c>
      <c r="N94" s="129"/>
      <c r="O94" s="129"/>
      <c r="P94" s="129"/>
    </row>
    <row r="95" spans="1:16" s="120" customFormat="1" ht="18" hidden="1" customHeight="1" outlineLevel="1" x14ac:dyDescent="0.25">
      <c r="A95" s="108"/>
      <c r="B95" s="156"/>
      <c r="C95" s="155"/>
      <c r="D95" s="139">
        <f t="shared" si="7"/>
        <v>42490</v>
      </c>
      <c r="E95" s="156"/>
      <c r="F95" s="121">
        <v>205494.39999999999</v>
      </c>
      <c r="G95" s="156"/>
      <c r="H95" s="121">
        <v>225393.42</v>
      </c>
      <c r="I95" s="123">
        <f t="shared" si="12"/>
        <v>63044.149999999936</v>
      </c>
      <c r="J95" s="121">
        <f t="shared" si="10"/>
        <v>268538.54999999993</v>
      </c>
      <c r="K95" s="121">
        <f t="shared" si="9"/>
        <v>63044.149999999936</v>
      </c>
      <c r="N95" s="129"/>
      <c r="O95" s="129"/>
      <c r="P95" s="129"/>
    </row>
    <row r="96" spans="1:16" s="120" customFormat="1" ht="18" hidden="1" customHeight="1" outlineLevel="1" x14ac:dyDescent="0.25">
      <c r="A96" s="108"/>
      <c r="B96" s="156"/>
      <c r="C96" s="155"/>
      <c r="D96" s="139">
        <f t="shared" si="7"/>
        <v>42521</v>
      </c>
      <c r="E96" s="156"/>
      <c r="F96" s="121">
        <v>264612.27</v>
      </c>
      <c r="G96" s="156"/>
      <c r="H96" s="121">
        <v>147147.38</v>
      </c>
      <c r="I96" s="123">
        <f t="shared" si="12"/>
        <v>44605.079999999987</v>
      </c>
      <c r="J96" s="121">
        <f t="shared" si="10"/>
        <v>309217.34999999998</v>
      </c>
      <c r="K96" s="121">
        <f t="shared" si="9"/>
        <v>44605.079999999987</v>
      </c>
      <c r="M96" s="147"/>
      <c r="N96" s="129"/>
      <c r="O96" s="129"/>
      <c r="P96" s="129"/>
    </row>
    <row r="97" spans="1:16" s="120" customFormat="1" ht="18" hidden="1" customHeight="1" outlineLevel="1" x14ac:dyDescent="0.25">
      <c r="A97" s="108"/>
      <c r="B97" s="156"/>
      <c r="C97" s="155"/>
      <c r="D97" s="139">
        <f t="shared" si="7"/>
        <v>42551</v>
      </c>
      <c r="E97" s="156"/>
      <c r="F97" s="121">
        <v>363164.24</v>
      </c>
      <c r="G97" s="156"/>
      <c r="H97" s="121">
        <v>115931.92</v>
      </c>
      <c r="I97" s="123">
        <f t="shared" si="12"/>
        <v>12420.920000000027</v>
      </c>
      <c r="J97" s="121">
        <f t="shared" si="10"/>
        <v>375585.16000000003</v>
      </c>
      <c r="K97" s="121">
        <f t="shared" si="9"/>
        <v>12420.920000000027</v>
      </c>
      <c r="N97" s="129"/>
      <c r="O97" s="129"/>
      <c r="P97" s="129"/>
    </row>
    <row r="98" spans="1:16" s="120" customFormat="1" ht="18" hidden="1" customHeight="1" outlineLevel="1" x14ac:dyDescent="0.25">
      <c r="A98" s="108"/>
      <c r="B98" s="156"/>
      <c r="C98" s="155"/>
      <c r="D98" s="139">
        <f t="shared" si="7"/>
        <v>42582</v>
      </c>
      <c r="E98" s="156"/>
      <c r="F98" s="121">
        <v>487297.93</v>
      </c>
      <c r="G98" s="156"/>
      <c r="H98" s="121">
        <v>336615.14</v>
      </c>
      <c r="I98" s="123">
        <f t="shared" si="12"/>
        <v>-68076.590000000084</v>
      </c>
      <c r="J98" s="121">
        <f t="shared" si="10"/>
        <v>419221.33999999991</v>
      </c>
      <c r="K98" s="121">
        <f t="shared" si="9"/>
        <v>-68076.590000000084</v>
      </c>
      <c r="N98" s="129"/>
      <c r="O98" s="129"/>
      <c r="P98" s="129"/>
    </row>
    <row r="99" spans="1:16" s="120" customFormat="1" ht="18" hidden="1" customHeight="1" outlineLevel="1" x14ac:dyDescent="0.25">
      <c r="A99" s="108"/>
      <c r="B99" s="156"/>
      <c r="C99" s="155"/>
      <c r="D99" s="139">
        <f t="shared" si="7"/>
        <v>42613</v>
      </c>
      <c r="E99" s="156"/>
      <c r="F99" s="121">
        <v>373881.68</v>
      </c>
      <c r="G99" s="156"/>
      <c r="H99" s="121">
        <v>452973.38</v>
      </c>
      <c r="I99" s="123">
        <f t="shared" si="12"/>
        <v>-143756.03000000003</v>
      </c>
      <c r="J99" s="121">
        <f t="shared" si="10"/>
        <v>230125.64999999997</v>
      </c>
      <c r="K99" s="121">
        <f t="shared" si="9"/>
        <v>-143756.03000000003</v>
      </c>
      <c r="N99" s="129"/>
      <c r="O99" s="129"/>
      <c r="P99" s="129"/>
    </row>
    <row r="100" spans="1:16" s="120" customFormat="1" ht="18" hidden="1" customHeight="1" outlineLevel="1" x14ac:dyDescent="0.25">
      <c r="A100" s="108"/>
      <c r="B100" s="156"/>
      <c r="C100" s="155"/>
      <c r="D100" s="139">
        <f t="shared" si="7"/>
        <v>42643</v>
      </c>
      <c r="E100" s="156"/>
      <c r="F100" s="121">
        <v>339482.93</v>
      </c>
      <c r="G100" s="156"/>
      <c r="H100" s="121">
        <v>430773.13</v>
      </c>
      <c r="I100" s="123">
        <f>K100</f>
        <v>-55187.969999999972</v>
      </c>
      <c r="J100" s="121">
        <f>+F100+I100</f>
        <v>284294.96000000002</v>
      </c>
      <c r="K100" s="121">
        <f>J97-H100</f>
        <v>-55187.969999999972</v>
      </c>
      <c r="N100" s="129"/>
      <c r="O100" s="129"/>
      <c r="P100" s="129"/>
    </row>
    <row r="101" spans="1:16" s="120" customFormat="1" ht="18" hidden="1" customHeight="1" outlineLevel="1" x14ac:dyDescent="0.25">
      <c r="A101" s="108"/>
      <c r="B101" s="156"/>
      <c r="C101" s="155"/>
      <c r="D101" s="139">
        <f t="shared" ref="D101:D109" si="13">EOMONTH(D100,1)</f>
        <v>42674</v>
      </c>
      <c r="E101" s="156"/>
      <c r="F101" s="121">
        <v>223899.93</v>
      </c>
      <c r="G101" s="156"/>
      <c r="H101" s="121">
        <v>399102.61</v>
      </c>
      <c r="I101" s="123">
        <f t="shared" ref="I101:I111" si="14">K101</f>
        <v>20118.729999999923</v>
      </c>
      <c r="J101" s="121">
        <f t="shared" ref="J101:J111" si="15">+F101+I101</f>
        <v>244018.65999999992</v>
      </c>
      <c r="K101" s="121">
        <f t="shared" ref="K101:K111" si="16">J98-H101</f>
        <v>20118.729999999923</v>
      </c>
      <c r="N101" s="129"/>
      <c r="O101" s="129"/>
      <c r="P101" s="129"/>
    </row>
    <row r="102" spans="1:16" s="120" customFormat="1" ht="18" hidden="1" customHeight="1" outlineLevel="1" x14ac:dyDescent="0.25">
      <c r="A102" s="108"/>
      <c r="B102" s="156"/>
      <c r="C102" s="155"/>
      <c r="D102" s="139">
        <f t="shared" si="13"/>
        <v>42704</v>
      </c>
      <c r="E102" s="156"/>
      <c r="F102" s="121">
        <v>280120.12</v>
      </c>
      <c r="G102" s="156"/>
      <c r="H102" s="121">
        <v>165135.49</v>
      </c>
      <c r="I102" s="123">
        <f t="shared" si="14"/>
        <v>64990.159999999974</v>
      </c>
      <c r="J102" s="121">
        <f t="shared" si="15"/>
        <v>345110.27999999997</v>
      </c>
      <c r="K102" s="121">
        <f t="shared" si="16"/>
        <v>64990.159999999974</v>
      </c>
      <c r="N102" s="129"/>
      <c r="O102" s="129"/>
      <c r="P102" s="129"/>
    </row>
    <row r="103" spans="1:16" s="120" customFormat="1" ht="18" hidden="1" customHeight="1" outlineLevel="1" x14ac:dyDescent="0.25">
      <c r="A103" s="108"/>
      <c r="B103" s="156"/>
      <c r="C103" s="155"/>
      <c r="D103" s="139">
        <f t="shared" si="13"/>
        <v>42735</v>
      </c>
      <c r="E103" s="156"/>
      <c r="F103" s="121">
        <v>516885.13</v>
      </c>
      <c r="G103" s="156"/>
      <c r="H103" s="121">
        <v>200357.08</v>
      </c>
      <c r="I103" s="123">
        <f t="shared" si="14"/>
        <v>83937.880000000034</v>
      </c>
      <c r="J103" s="121">
        <f t="shared" si="15"/>
        <v>600823.01</v>
      </c>
      <c r="K103" s="121">
        <f t="shared" si="16"/>
        <v>83937.880000000034</v>
      </c>
      <c r="N103" s="129"/>
      <c r="O103" s="129"/>
      <c r="P103" s="129"/>
    </row>
    <row r="104" spans="1:16" s="120" customFormat="1" ht="18" hidden="1" customHeight="1" outlineLevel="1" x14ac:dyDescent="0.25">
      <c r="A104" s="108"/>
      <c r="B104" s="156"/>
      <c r="C104" s="155"/>
      <c r="D104" s="139">
        <f t="shared" si="13"/>
        <v>42766</v>
      </c>
      <c r="E104" s="156"/>
      <c r="F104" s="121">
        <v>478999.19</v>
      </c>
      <c r="G104" s="156"/>
      <c r="H104" s="121">
        <v>287377.3</v>
      </c>
      <c r="I104" s="123">
        <f t="shared" si="14"/>
        <v>-43358.640000000072</v>
      </c>
      <c r="J104" s="121">
        <f t="shared" si="15"/>
        <v>435640.54999999993</v>
      </c>
      <c r="K104" s="121">
        <f t="shared" si="16"/>
        <v>-43358.640000000072</v>
      </c>
      <c r="N104" s="129"/>
      <c r="O104" s="129"/>
      <c r="P104" s="129"/>
    </row>
    <row r="105" spans="1:16" s="120" customFormat="1" ht="18" hidden="1" customHeight="1" outlineLevel="1" x14ac:dyDescent="0.25">
      <c r="A105" s="108"/>
      <c r="B105" s="156"/>
      <c r="C105" s="155"/>
      <c r="D105" s="139">
        <f t="shared" si="13"/>
        <v>42794</v>
      </c>
      <c r="E105" s="156"/>
      <c r="F105" s="121">
        <v>299988.32</v>
      </c>
      <c r="G105" s="156"/>
      <c r="H105" s="121">
        <v>492614.86</v>
      </c>
      <c r="I105" s="123">
        <f t="shared" si="14"/>
        <v>-147504.58000000002</v>
      </c>
      <c r="J105" s="121">
        <f t="shared" si="15"/>
        <v>152483.74</v>
      </c>
      <c r="K105" s="121">
        <f t="shared" si="16"/>
        <v>-147504.58000000002</v>
      </c>
      <c r="N105" s="129"/>
      <c r="O105" s="129"/>
      <c r="P105" s="129"/>
    </row>
    <row r="106" spans="1:16" s="120" customFormat="1" ht="18" hidden="1" customHeight="1" outlineLevel="1" x14ac:dyDescent="0.25">
      <c r="A106" s="108"/>
      <c r="B106" s="156"/>
      <c r="C106" s="155"/>
      <c r="D106" s="139">
        <f t="shared" si="13"/>
        <v>42825</v>
      </c>
      <c r="E106" s="156"/>
      <c r="F106" s="121">
        <v>224095.57</v>
      </c>
      <c r="G106" s="156"/>
      <c r="H106" s="121">
        <v>560959.46</v>
      </c>
      <c r="I106" s="123">
        <f t="shared" si="14"/>
        <v>39863.550000000047</v>
      </c>
      <c r="J106" s="121">
        <f t="shared" si="15"/>
        <v>263959.12000000005</v>
      </c>
      <c r="K106" s="121">
        <f t="shared" si="16"/>
        <v>39863.550000000047</v>
      </c>
      <c r="N106" s="129"/>
      <c r="O106" s="129"/>
      <c r="P106" s="129"/>
    </row>
    <row r="107" spans="1:16" s="120" customFormat="1" ht="18" hidden="1" customHeight="1" outlineLevel="1" x14ac:dyDescent="0.25">
      <c r="A107" s="108"/>
      <c r="B107" s="156"/>
      <c r="C107" s="155"/>
      <c r="D107" s="139">
        <f t="shared" si="13"/>
        <v>42855</v>
      </c>
      <c r="E107" s="156"/>
      <c r="F107" s="121">
        <v>231131.59</v>
      </c>
      <c r="G107" s="156"/>
      <c r="H107" s="121">
        <v>334448.18</v>
      </c>
      <c r="I107" s="123">
        <f t="shared" si="14"/>
        <v>101192.36999999994</v>
      </c>
      <c r="J107" s="121">
        <f t="shared" si="15"/>
        <v>332323.95999999996</v>
      </c>
      <c r="K107" s="121">
        <f t="shared" si="16"/>
        <v>101192.36999999994</v>
      </c>
      <c r="N107" s="129"/>
      <c r="O107" s="129"/>
      <c r="P107" s="129"/>
    </row>
    <row r="108" spans="1:16" s="120" customFormat="1" ht="18" hidden="1" customHeight="1" outlineLevel="1" x14ac:dyDescent="0.25">
      <c r="A108" s="108"/>
      <c r="B108" s="156"/>
      <c r="C108" s="155"/>
      <c r="D108" s="139">
        <f t="shared" si="13"/>
        <v>42886</v>
      </c>
      <c r="E108" s="156"/>
      <c r="F108" s="121">
        <v>284515.27</v>
      </c>
      <c r="G108" s="156"/>
      <c r="H108" s="121">
        <v>137484.81</v>
      </c>
      <c r="I108" s="123">
        <f t="shared" si="14"/>
        <v>14998.929999999993</v>
      </c>
      <c r="J108" s="121">
        <f t="shared" si="15"/>
        <v>299514.2</v>
      </c>
      <c r="K108" s="121">
        <f t="shared" si="16"/>
        <v>14998.929999999993</v>
      </c>
      <c r="N108" s="129"/>
      <c r="O108" s="129"/>
      <c r="P108" s="129"/>
    </row>
    <row r="109" spans="1:16" s="120" customFormat="1" ht="18" hidden="1" customHeight="1" outlineLevel="1" x14ac:dyDescent="0.25">
      <c r="A109" s="108"/>
      <c r="B109" s="156"/>
      <c r="C109" s="155"/>
      <c r="D109" s="139">
        <f t="shared" si="13"/>
        <v>42916</v>
      </c>
      <c r="E109" s="156"/>
      <c r="F109" s="121">
        <v>445835.68</v>
      </c>
      <c r="G109" s="156"/>
      <c r="H109" s="121">
        <v>254790.39999999999</v>
      </c>
      <c r="I109" s="123">
        <f t="shared" si="14"/>
        <v>9168.7200000000594</v>
      </c>
      <c r="J109" s="121">
        <f t="shared" si="15"/>
        <v>455004.4</v>
      </c>
      <c r="K109" s="121">
        <f t="shared" si="16"/>
        <v>9168.7200000000594</v>
      </c>
      <c r="N109" s="129"/>
      <c r="O109" s="129"/>
      <c r="P109" s="129"/>
    </row>
    <row r="110" spans="1:16" s="120" customFormat="1" ht="18" hidden="1" customHeight="1" outlineLevel="1" x14ac:dyDescent="0.25">
      <c r="A110" s="108">
        <v>8</v>
      </c>
      <c r="B110" s="131">
        <v>42887</v>
      </c>
      <c r="C110" s="140">
        <v>0.10875093</v>
      </c>
      <c r="D110" s="139">
        <v>42917</v>
      </c>
      <c r="E110" s="131">
        <v>42948</v>
      </c>
      <c r="F110" s="121">
        <v>579585.24</v>
      </c>
      <c r="G110" s="131">
        <f t="shared" ref="G110:G135" si="17">EOMONTH(E110,1)</f>
        <v>43008</v>
      </c>
      <c r="H110" s="121">
        <v>414021.18</v>
      </c>
      <c r="I110" s="123">
        <f t="shared" si="14"/>
        <v>-81697.22000000003</v>
      </c>
      <c r="J110" s="121">
        <f t="shared" si="15"/>
        <v>497888.01999999996</v>
      </c>
      <c r="K110" s="121">
        <f t="shared" si="16"/>
        <v>-81697.22000000003</v>
      </c>
      <c r="N110" s="129"/>
      <c r="O110" s="129"/>
      <c r="P110" s="129"/>
    </row>
    <row r="111" spans="1:16" s="120" customFormat="1" ht="18" hidden="1" customHeight="1" outlineLevel="1" x14ac:dyDescent="0.25">
      <c r="A111" s="108">
        <v>9</v>
      </c>
      <c r="B111" s="131">
        <f t="shared" ref="B111:B174" si="18">EOMONTH(B110,1)</f>
        <v>42947</v>
      </c>
      <c r="C111" s="140">
        <v>8.6012889999999995E-2</v>
      </c>
      <c r="D111" s="139">
        <f t="shared" ref="D111:D142" si="19">EOMONTH(D110,1)</f>
        <v>42978</v>
      </c>
      <c r="E111" s="131">
        <f t="shared" ref="E111:E142" si="20">EOMONTH(E110,1)</f>
        <v>43008</v>
      </c>
      <c r="F111" s="121">
        <v>401720.58</v>
      </c>
      <c r="G111" s="131">
        <f t="shared" si="17"/>
        <v>43039</v>
      </c>
      <c r="H111" s="121">
        <v>404567.69</v>
      </c>
      <c r="I111" s="123">
        <f t="shared" si="14"/>
        <v>-105053.48999999999</v>
      </c>
      <c r="J111" s="121">
        <f t="shared" si="15"/>
        <v>296667.09000000003</v>
      </c>
      <c r="K111" s="121">
        <f t="shared" si="16"/>
        <v>-105053.48999999999</v>
      </c>
      <c r="N111" s="129"/>
      <c r="O111" s="129"/>
      <c r="P111" s="129"/>
    </row>
    <row r="112" spans="1:16" s="120" customFormat="1" ht="18" hidden="1" customHeight="1" outlineLevel="1" x14ac:dyDescent="0.25">
      <c r="A112" s="108">
        <v>10</v>
      </c>
      <c r="B112" s="131">
        <f t="shared" si="18"/>
        <v>42978</v>
      </c>
      <c r="C112" s="140">
        <v>4.5882630000000001E-2</v>
      </c>
      <c r="D112" s="139">
        <f t="shared" si="19"/>
        <v>43008</v>
      </c>
      <c r="E112" s="131">
        <f t="shared" si="20"/>
        <v>43039</v>
      </c>
      <c r="F112" s="121">
        <v>190989.9</v>
      </c>
      <c r="G112" s="131">
        <f t="shared" si="17"/>
        <v>43069</v>
      </c>
      <c r="H112" s="121">
        <v>500928.02</v>
      </c>
      <c r="I112" s="123">
        <f t="shared" ref="I112:I135" si="21">K112</f>
        <v>-45923.619999999995</v>
      </c>
      <c r="J112" s="121">
        <f t="shared" ref="J112:J135" si="22">+F112+I112</f>
        <v>145066.28</v>
      </c>
      <c r="K112" s="121">
        <f t="shared" ref="K112:K135" si="23">J109-H112</f>
        <v>-45923.619999999995</v>
      </c>
      <c r="N112" s="129"/>
      <c r="O112" s="129"/>
      <c r="P112" s="129"/>
    </row>
    <row r="113" spans="1:16" s="120" customFormat="1" ht="18" hidden="1" customHeight="1" outlineLevel="1" x14ac:dyDescent="0.25">
      <c r="A113" s="108">
        <v>11</v>
      </c>
      <c r="B113" s="131">
        <f t="shared" si="18"/>
        <v>43008</v>
      </c>
      <c r="C113" s="140">
        <v>8.1473870000000004E-2</v>
      </c>
      <c r="D113" s="139">
        <f t="shared" si="19"/>
        <v>43039</v>
      </c>
      <c r="E113" s="131">
        <f t="shared" si="20"/>
        <v>43069</v>
      </c>
      <c r="F113" s="121">
        <v>283083.86</v>
      </c>
      <c r="G113" s="131">
        <f t="shared" si="17"/>
        <v>43100</v>
      </c>
      <c r="H113" s="121">
        <v>385929.36</v>
      </c>
      <c r="I113" s="123">
        <f t="shared" si="21"/>
        <v>111958.65999999997</v>
      </c>
      <c r="J113" s="121">
        <f t="shared" si="22"/>
        <v>395042.51999999996</v>
      </c>
      <c r="K113" s="121">
        <f t="shared" si="23"/>
        <v>111958.65999999997</v>
      </c>
      <c r="N113" s="129"/>
      <c r="O113" s="129"/>
      <c r="P113" s="129"/>
    </row>
    <row r="114" spans="1:16" s="120" customFormat="1" ht="18" hidden="1" customHeight="1" outlineLevel="1" x14ac:dyDescent="0.25">
      <c r="A114" s="108">
        <v>12</v>
      </c>
      <c r="B114" s="131">
        <f t="shared" si="18"/>
        <v>43039</v>
      </c>
      <c r="C114" s="140">
        <v>8.3922060000000007E-2</v>
      </c>
      <c r="D114" s="139">
        <f t="shared" si="19"/>
        <v>43069</v>
      </c>
      <c r="E114" s="131">
        <f t="shared" si="20"/>
        <v>43100</v>
      </c>
      <c r="F114" s="121">
        <v>306514.34999999998</v>
      </c>
      <c r="G114" s="131">
        <f t="shared" si="17"/>
        <v>43131</v>
      </c>
      <c r="H114" s="121">
        <v>254646.28</v>
      </c>
      <c r="I114" s="123">
        <f t="shared" si="21"/>
        <v>42020.810000000027</v>
      </c>
      <c r="J114" s="121">
        <f t="shared" si="22"/>
        <v>348535.16000000003</v>
      </c>
      <c r="K114" s="121">
        <f t="shared" si="23"/>
        <v>42020.810000000027</v>
      </c>
      <c r="N114" s="129"/>
      <c r="O114" s="129"/>
      <c r="P114" s="129"/>
    </row>
    <row r="115" spans="1:16" s="120" customFormat="1" ht="18" hidden="1" customHeight="1" outlineLevel="1" x14ac:dyDescent="0.25">
      <c r="A115" s="108">
        <v>13</v>
      </c>
      <c r="B115" s="131">
        <f t="shared" si="18"/>
        <v>43069</v>
      </c>
      <c r="C115" s="140">
        <v>9.3462320000000002E-2</v>
      </c>
      <c r="D115" s="139">
        <f t="shared" si="19"/>
        <v>43100</v>
      </c>
      <c r="E115" s="131">
        <f t="shared" si="20"/>
        <v>43131</v>
      </c>
      <c r="F115" s="121">
        <v>438370.51</v>
      </c>
      <c r="G115" s="131">
        <f t="shared" si="17"/>
        <v>43159</v>
      </c>
      <c r="H115" s="121">
        <v>122079.41</v>
      </c>
      <c r="I115" s="123">
        <f t="shared" si="21"/>
        <v>22986.869999999995</v>
      </c>
      <c r="J115" s="121">
        <f t="shared" si="22"/>
        <v>461357.38</v>
      </c>
      <c r="K115" s="121">
        <f t="shared" si="23"/>
        <v>22986.869999999995</v>
      </c>
      <c r="N115" s="129"/>
      <c r="O115" s="129"/>
      <c r="P115" s="129"/>
    </row>
    <row r="116" spans="1:16" s="120" customFormat="1" ht="18" hidden="1" customHeight="1" outlineLevel="1" x14ac:dyDescent="0.25">
      <c r="A116" s="108">
        <v>14</v>
      </c>
      <c r="B116" s="131">
        <f t="shared" si="18"/>
        <v>43100</v>
      </c>
      <c r="C116" s="140">
        <v>8.6848540000000002E-2</v>
      </c>
      <c r="D116" s="139">
        <f t="shared" si="19"/>
        <v>43131</v>
      </c>
      <c r="E116" s="131">
        <f t="shared" si="20"/>
        <v>43159</v>
      </c>
      <c r="F116" s="121">
        <v>464677.15</v>
      </c>
      <c r="G116" s="131">
        <f t="shared" si="17"/>
        <v>43190</v>
      </c>
      <c r="H116" s="121">
        <v>440509</v>
      </c>
      <c r="I116" s="123">
        <f t="shared" si="21"/>
        <v>-45466.48000000004</v>
      </c>
      <c r="J116" s="121">
        <f t="shared" si="22"/>
        <v>419210.67</v>
      </c>
      <c r="K116" s="121">
        <f t="shared" si="23"/>
        <v>-45466.48000000004</v>
      </c>
      <c r="N116" s="129"/>
      <c r="O116" s="129"/>
      <c r="P116" s="129"/>
    </row>
    <row r="117" spans="1:16" s="120" customFormat="1" ht="18" hidden="1" customHeight="1" outlineLevel="1" x14ac:dyDescent="0.25">
      <c r="A117" s="108">
        <v>15</v>
      </c>
      <c r="B117" s="131">
        <f t="shared" si="18"/>
        <v>43131</v>
      </c>
      <c r="C117" s="140">
        <v>8.9125689999999994E-2</v>
      </c>
      <c r="D117" s="139">
        <f t="shared" si="19"/>
        <v>43159</v>
      </c>
      <c r="E117" s="131">
        <f t="shared" si="20"/>
        <v>43190</v>
      </c>
      <c r="F117" s="121">
        <v>362494.38</v>
      </c>
      <c r="G117" s="131">
        <f t="shared" si="17"/>
        <v>43220</v>
      </c>
      <c r="H117" s="121">
        <v>535576.56999999995</v>
      </c>
      <c r="I117" s="123">
        <f t="shared" si="21"/>
        <v>-187041.40999999992</v>
      </c>
      <c r="J117" s="121">
        <f t="shared" si="22"/>
        <v>175452.97000000009</v>
      </c>
      <c r="K117" s="121">
        <f t="shared" si="23"/>
        <v>-187041.40999999992</v>
      </c>
      <c r="N117" s="129"/>
      <c r="O117" s="129"/>
      <c r="P117" s="129"/>
    </row>
    <row r="118" spans="1:16" s="120" customFormat="1" ht="18" hidden="1" customHeight="1" outlineLevel="1" x14ac:dyDescent="0.25">
      <c r="A118" s="108">
        <v>16</v>
      </c>
      <c r="B118" s="131">
        <f t="shared" si="18"/>
        <v>43159</v>
      </c>
      <c r="C118" s="140">
        <v>6.4310989999999998E-2</v>
      </c>
      <c r="D118" s="139">
        <f t="shared" si="19"/>
        <v>43190</v>
      </c>
      <c r="E118" s="131">
        <f t="shared" si="20"/>
        <v>43220</v>
      </c>
      <c r="F118" s="121">
        <v>242231.37</v>
      </c>
      <c r="G118" s="131">
        <f t="shared" si="17"/>
        <v>43251</v>
      </c>
      <c r="H118" s="121">
        <v>451786.6</v>
      </c>
      <c r="I118" s="123">
        <f t="shared" si="21"/>
        <v>9570.7800000000279</v>
      </c>
      <c r="J118" s="121">
        <f t="shared" si="22"/>
        <v>251802.15000000002</v>
      </c>
      <c r="K118" s="121">
        <f t="shared" si="23"/>
        <v>9570.7800000000279</v>
      </c>
      <c r="N118" s="129"/>
      <c r="O118" s="129"/>
      <c r="P118" s="129"/>
    </row>
    <row r="119" spans="1:16" s="120" customFormat="1" ht="18" hidden="1" customHeight="1" outlineLevel="1" x14ac:dyDescent="0.25">
      <c r="A119" s="108">
        <v>17</v>
      </c>
      <c r="B119" s="131">
        <f t="shared" si="18"/>
        <v>43190</v>
      </c>
      <c r="C119" s="140">
        <v>8.5307889999999997E-2</v>
      </c>
      <c r="D119" s="139">
        <f t="shared" si="19"/>
        <v>43220</v>
      </c>
      <c r="E119" s="131">
        <f t="shared" si="20"/>
        <v>43251</v>
      </c>
      <c r="F119" s="121">
        <v>278445.89</v>
      </c>
      <c r="G119" s="131">
        <f t="shared" si="17"/>
        <v>43281</v>
      </c>
      <c r="H119" s="121">
        <v>293705.95</v>
      </c>
      <c r="I119" s="123">
        <f t="shared" si="21"/>
        <v>125504.71999999997</v>
      </c>
      <c r="J119" s="121">
        <f t="shared" si="22"/>
        <v>403950.61</v>
      </c>
      <c r="K119" s="121">
        <f t="shared" si="23"/>
        <v>125504.71999999997</v>
      </c>
      <c r="N119" s="129"/>
      <c r="O119" s="129"/>
      <c r="P119" s="129"/>
    </row>
    <row r="120" spans="1:16" s="120" customFormat="1" ht="18" hidden="1" customHeight="1" outlineLevel="1" x14ac:dyDescent="0.25">
      <c r="A120" s="108">
        <v>18</v>
      </c>
      <c r="B120" s="131">
        <f t="shared" si="18"/>
        <v>43220</v>
      </c>
      <c r="C120" s="140">
        <v>8.1429319999999999E-2</v>
      </c>
      <c r="D120" s="139">
        <f t="shared" si="19"/>
        <v>43251</v>
      </c>
      <c r="E120" s="131">
        <f t="shared" si="20"/>
        <v>43281</v>
      </c>
      <c r="F120" s="121">
        <v>336732.7</v>
      </c>
      <c r="G120" s="131">
        <f t="shared" si="17"/>
        <v>43312</v>
      </c>
      <c r="H120" s="121">
        <v>162863.39000000001</v>
      </c>
      <c r="I120" s="123">
        <f t="shared" si="21"/>
        <v>12589.580000000075</v>
      </c>
      <c r="J120" s="121">
        <f t="shared" si="22"/>
        <v>349322.28000000009</v>
      </c>
      <c r="K120" s="121">
        <f t="shared" si="23"/>
        <v>12589.580000000075</v>
      </c>
      <c r="N120" s="129"/>
      <c r="O120" s="129"/>
      <c r="P120" s="129"/>
    </row>
    <row r="121" spans="1:16" s="120" customFormat="1" ht="18" hidden="1" customHeight="1" outlineLevel="1" x14ac:dyDescent="0.25">
      <c r="A121" s="108">
        <v>19</v>
      </c>
      <c r="B121" s="131">
        <f t="shared" si="18"/>
        <v>43251</v>
      </c>
      <c r="C121" s="140">
        <v>9.4201789999999994E-2</v>
      </c>
      <c r="D121" s="139">
        <f t="shared" si="19"/>
        <v>43281</v>
      </c>
      <c r="E121" s="131">
        <f t="shared" si="20"/>
        <v>43312</v>
      </c>
      <c r="F121" s="121">
        <v>446625.86</v>
      </c>
      <c r="G121" s="131">
        <f t="shared" si="17"/>
        <v>43343</v>
      </c>
      <c r="H121" s="121">
        <v>233566.62</v>
      </c>
      <c r="I121" s="123">
        <f t="shared" si="21"/>
        <v>18235.530000000028</v>
      </c>
      <c r="J121" s="121">
        <f t="shared" si="22"/>
        <v>464861.39</v>
      </c>
      <c r="K121" s="121">
        <f t="shared" si="23"/>
        <v>18235.530000000028</v>
      </c>
      <c r="N121" s="129"/>
      <c r="O121" s="129"/>
      <c r="P121" s="129"/>
    </row>
    <row r="122" spans="1:16" s="120" customFormat="1" ht="18" hidden="1" customHeight="1" outlineLevel="1" x14ac:dyDescent="0.25">
      <c r="A122" s="108">
        <v>20</v>
      </c>
      <c r="B122" s="131">
        <f t="shared" si="18"/>
        <v>43281</v>
      </c>
      <c r="C122" s="140">
        <v>8.5653030000000005E-2</v>
      </c>
      <c r="D122" s="139">
        <f t="shared" si="19"/>
        <v>43312</v>
      </c>
      <c r="E122" s="131">
        <f t="shared" si="20"/>
        <v>43343</v>
      </c>
      <c r="F122" s="121">
        <v>439516.08</v>
      </c>
      <c r="G122" s="131">
        <f t="shared" si="17"/>
        <v>43373</v>
      </c>
      <c r="H122" s="121">
        <v>517934.03</v>
      </c>
      <c r="I122" s="123">
        <f t="shared" si="21"/>
        <v>-113983.42000000004</v>
      </c>
      <c r="J122" s="121">
        <f t="shared" si="22"/>
        <v>325532.65999999997</v>
      </c>
      <c r="K122" s="121">
        <f t="shared" si="23"/>
        <v>-113983.42000000004</v>
      </c>
      <c r="N122" s="129"/>
      <c r="O122" s="129"/>
      <c r="P122" s="129"/>
    </row>
    <row r="123" spans="1:16" s="120" customFormat="1" ht="18" hidden="1" customHeight="1" outlineLevel="1" x14ac:dyDescent="0.25">
      <c r="A123" s="108">
        <v>21</v>
      </c>
      <c r="B123" s="131">
        <f t="shared" si="18"/>
        <v>43312</v>
      </c>
      <c r="C123" s="140">
        <v>9.7209050000000005E-2</v>
      </c>
      <c r="D123" s="139">
        <f t="shared" si="19"/>
        <v>43343</v>
      </c>
      <c r="E123" s="131">
        <f t="shared" si="20"/>
        <v>43373</v>
      </c>
      <c r="F123" s="121">
        <v>461234.75</v>
      </c>
      <c r="G123" s="131">
        <f t="shared" si="17"/>
        <v>43404</v>
      </c>
      <c r="H123" s="121">
        <v>464720.77</v>
      </c>
      <c r="I123" s="123">
        <f t="shared" si="21"/>
        <v>-115398.48999999993</v>
      </c>
      <c r="J123" s="121">
        <f t="shared" si="22"/>
        <v>345836.26000000007</v>
      </c>
      <c r="K123" s="121">
        <f t="shared" si="23"/>
        <v>-115398.48999999993</v>
      </c>
      <c r="N123" s="129"/>
      <c r="O123" s="129"/>
      <c r="P123" s="129"/>
    </row>
    <row r="124" spans="1:16" s="120" customFormat="1" ht="18" hidden="1" customHeight="1" outlineLevel="1" x14ac:dyDescent="0.25">
      <c r="A124" s="108">
        <v>22</v>
      </c>
      <c r="B124" s="131">
        <f t="shared" si="18"/>
        <v>43343</v>
      </c>
      <c r="C124" s="140">
        <v>6.773962E-2</v>
      </c>
      <c r="D124" s="139">
        <f t="shared" si="19"/>
        <v>43373</v>
      </c>
      <c r="E124" s="131">
        <f t="shared" si="20"/>
        <v>43404</v>
      </c>
      <c r="F124" s="121">
        <v>298073.62</v>
      </c>
      <c r="G124" s="131">
        <f t="shared" si="17"/>
        <v>43434</v>
      </c>
      <c r="H124" s="121">
        <v>472321.28000000003</v>
      </c>
      <c r="I124" s="123">
        <f t="shared" si="21"/>
        <v>-7459.890000000014</v>
      </c>
      <c r="J124" s="121">
        <f t="shared" si="22"/>
        <v>290613.73</v>
      </c>
      <c r="K124" s="121">
        <f t="shared" si="23"/>
        <v>-7459.890000000014</v>
      </c>
      <c r="N124" s="129"/>
      <c r="O124" s="129"/>
      <c r="P124" s="129"/>
    </row>
    <row r="125" spans="1:16" s="120" customFormat="1" ht="18" hidden="1" customHeight="1" outlineLevel="1" x14ac:dyDescent="0.25">
      <c r="A125" s="108">
        <v>23</v>
      </c>
      <c r="B125" s="131">
        <f t="shared" si="18"/>
        <v>43373</v>
      </c>
      <c r="C125" s="140">
        <v>9.6567710000000001E-2</v>
      </c>
      <c r="D125" s="139">
        <f t="shared" si="19"/>
        <v>43404</v>
      </c>
      <c r="E125" s="131">
        <f t="shared" si="20"/>
        <v>43434</v>
      </c>
      <c r="F125" s="121">
        <v>369178.3</v>
      </c>
      <c r="G125" s="131">
        <f t="shared" si="17"/>
        <v>43465</v>
      </c>
      <c r="H125" s="121">
        <v>283651</v>
      </c>
      <c r="I125" s="123">
        <f t="shared" si="21"/>
        <v>41881.659999999974</v>
      </c>
      <c r="J125" s="121">
        <f t="shared" si="22"/>
        <v>411059.95999999996</v>
      </c>
      <c r="K125" s="121">
        <f t="shared" si="23"/>
        <v>41881.659999999974</v>
      </c>
      <c r="N125" s="129"/>
      <c r="O125" s="129"/>
      <c r="P125" s="129"/>
    </row>
    <row r="126" spans="1:16" s="120" customFormat="1" ht="18" hidden="1" customHeight="1" outlineLevel="1" x14ac:dyDescent="0.25">
      <c r="A126" s="108">
        <v>24</v>
      </c>
      <c r="B126" s="131">
        <f t="shared" si="18"/>
        <v>43404</v>
      </c>
      <c r="C126" s="140">
        <v>9.6868129999999997E-2</v>
      </c>
      <c r="D126" s="139">
        <f t="shared" si="19"/>
        <v>43434</v>
      </c>
      <c r="E126" s="131">
        <f t="shared" si="20"/>
        <v>43465</v>
      </c>
      <c r="F126" s="121">
        <v>391919.34</v>
      </c>
      <c r="G126" s="131">
        <f t="shared" si="17"/>
        <v>43496</v>
      </c>
      <c r="H126" s="121">
        <v>302808.98</v>
      </c>
      <c r="I126" s="123">
        <f t="shared" si="21"/>
        <v>43027.280000000086</v>
      </c>
      <c r="J126" s="121">
        <f t="shared" si="22"/>
        <v>434946.62000000011</v>
      </c>
      <c r="K126" s="121">
        <f t="shared" si="23"/>
        <v>43027.280000000086</v>
      </c>
      <c r="N126" s="129"/>
      <c r="O126" s="129"/>
      <c r="P126" s="129"/>
    </row>
    <row r="127" spans="1:16" s="120" customFormat="1" ht="18" hidden="1" customHeight="1" outlineLevel="1" x14ac:dyDescent="0.25">
      <c r="A127" s="108">
        <v>25</v>
      </c>
      <c r="B127" s="131">
        <f t="shared" si="18"/>
        <v>43434</v>
      </c>
      <c r="C127" s="140">
        <v>0.10872047</v>
      </c>
      <c r="D127" s="139">
        <f t="shared" si="19"/>
        <v>43465</v>
      </c>
      <c r="E127" s="131">
        <f t="shared" si="20"/>
        <v>43496</v>
      </c>
      <c r="F127" s="121">
        <v>449389.71</v>
      </c>
      <c r="G127" s="131">
        <f t="shared" si="17"/>
        <v>43524</v>
      </c>
      <c r="H127" s="121">
        <v>233972.52</v>
      </c>
      <c r="I127" s="123">
        <f t="shared" si="21"/>
        <v>56641.209999999992</v>
      </c>
      <c r="J127" s="121">
        <f t="shared" si="22"/>
        <v>506030.92000000004</v>
      </c>
      <c r="K127" s="121">
        <f t="shared" si="23"/>
        <v>56641.209999999992</v>
      </c>
      <c r="N127" s="129"/>
      <c r="O127" s="129"/>
      <c r="P127" s="129"/>
    </row>
    <row r="128" spans="1:16" s="120" customFormat="1" ht="18" hidden="1" customHeight="1" outlineLevel="1" x14ac:dyDescent="0.25">
      <c r="A128" s="108">
        <v>26</v>
      </c>
      <c r="B128" s="131">
        <f t="shared" si="18"/>
        <v>43465</v>
      </c>
      <c r="C128" s="140">
        <v>0.10952069</v>
      </c>
      <c r="D128" s="139">
        <f t="shared" si="19"/>
        <v>43496</v>
      </c>
      <c r="E128" s="131">
        <f t="shared" si="20"/>
        <v>43524</v>
      </c>
      <c r="F128" s="121">
        <v>503242.71</v>
      </c>
      <c r="G128" s="131">
        <f t="shared" si="17"/>
        <v>43555</v>
      </c>
      <c r="H128" s="121">
        <v>490283.27</v>
      </c>
      <c r="I128" s="123">
        <f t="shared" si="21"/>
        <v>-79223.310000000056</v>
      </c>
      <c r="J128" s="121">
        <f t="shared" si="22"/>
        <v>424019.39999999997</v>
      </c>
      <c r="K128" s="121">
        <f t="shared" si="23"/>
        <v>-79223.310000000056</v>
      </c>
      <c r="N128" s="129"/>
      <c r="O128" s="129"/>
      <c r="P128" s="129"/>
    </row>
    <row r="129" spans="1:16" s="120" customFormat="1" ht="18" hidden="1" customHeight="1" outlineLevel="1" x14ac:dyDescent="0.25">
      <c r="A129" s="108">
        <v>27</v>
      </c>
      <c r="B129" s="131">
        <f t="shared" si="18"/>
        <v>43496</v>
      </c>
      <c r="C129" s="140">
        <v>9.6100149999999995E-2</v>
      </c>
      <c r="D129" s="139">
        <f t="shared" si="19"/>
        <v>43524</v>
      </c>
      <c r="E129" s="131">
        <f t="shared" si="20"/>
        <v>43555</v>
      </c>
      <c r="F129" s="121">
        <v>364772.34</v>
      </c>
      <c r="G129" s="131">
        <f t="shared" si="17"/>
        <v>43585</v>
      </c>
      <c r="H129" s="121">
        <v>481713.31</v>
      </c>
      <c r="I129" s="123">
        <f t="shared" si="21"/>
        <v>-46766.689999999886</v>
      </c>
      <c r="J129" s="121">
        <f t="shared" si="22"/>
        <v>318005.65000000014</v>
      </c>
      <c r="K129" s="121">
        <f t="shared" si="23"/>
        <v>-46766.689999999886</v>
      </c>
      <c r="N129" s="129"/>
      <c r="O129" s="129"/>
      <c r="P129" s="129"/>
    </row>
    <row r="130" spans="1:16" s="120" customFormat="1" ht="18" hidden="1" customHeight="1" outlineLevel="1" x14ac:dyDescent="0.25">
      <c r="A130" s="108">
        <v>28</v>
      </c>
      <c r="B130" s="131">
        <f t="shared" si="18"/>
        <v>43524</v>
      </c>
      <c r="C130" s="140">
        <v>7.8860360000000004E-2</v>
      </c>
      <c r="D130" s="139">
        <f t="shared" si="19"/>
        <v>43555</v>
      </c>
      <c r="E130" s="131">
        <f t="shared" si="20"/>
        <v>43585</v>
      </c>
      <c r="F130" s="121">
        <v>308687.08</v>
      </c>
      <c r="G130" s="131">
        <f t="shared" si="17"/>
        <v>43616</v>
      </c>
      <c r="H130" s="121">
        <v>499322.58</v>
      </c>
      <c r="I130" s="123">
        <f t="shared" si="21"/>
        <v>6708.3400000000256</v>
      </c>
      <c r="J130" s="121">
        <f t="shared" si="22"/>
        <v>315395.42000000004</v>
      </c>
      <c r="K130" s="121">
        <f t="shared" si="23"/>
        <v>6708.3400000000256</v>
      </c>
      <c r="N130" s="129"/>
      <c r="O130" s="129"/>
      <c r="P130" s="129"/>
    </row>
    <row r="131" spans="1:16" s="120" customFormat="1" ht="18" hidden="1" customHeight="1" outlineLevel="1" x14ac:dyDescent="0.25">
      <c r="A131" s="108">
        <v>29</v>
      </c>
      <c r="B131" s="131">
        <f t="shared" si="18"/>
        <v>43555</v>
      </c>
      <c r="C131" s="140">
        <v>8.642946E-2</v>
      </c>
      <c r="D131" s="139">
        <f t="shared" si="19"/>
        <v>43585</v>
      </c>
      <c r="E131" s="131">
        <f t="shared" si="20"/>
        <v>43616</v>
      </c>
      <c r="F131" s="121">
        <v>260319.05</v>
      </c>
      <c r="G131" s="131">
        <f t="shared" si="17"/>
        <v>43646</v>
      </c>
      <c r="H131" s="121">
        <v>344988.18</v>
      </c>
      <c r="I131" s="123">
        <f t="shared" si="21"/>
        <v>79031.219999999972</v>
      </c>
      <c r="J131" s="121">
        <f t="shared" si="22"/>
        <v>339350.26999999996</v>
      </c>
      <c r="K131" s="121">
        <f t="shared" si="23"/>
        <v>79031.219999999972</v>
      </c>
      <c r="N131" s="129"/>
      <c r="O131" s="129"/>
      <c r="P131" s="129"/>
    </row>
    <row r="132" spans="1:16" s="120" customFormat="1" ht="18" hidden="1" customHeight="1" outlineLevel="1" x14ac:dyDescent="0.25">
      <c r="A132" s="108">
        <v>30</v>
      </c>
      <c r="B132" s="131">
        <f t="shared" si="18"/>
        <v>43585</v>
      </c>
      <c r="C132" s="140">
        <v>7.4784340000000005E-2</v>
      </c>
      <c r="D132" s="139">
        <f t="shared" si="19"/>
        <v>43616</v>
      </c>
      <c r="E132" s="131">
        <f t="shared" si="20"/>
        <v>43646</v>
      </c>
      <c r="F132" s="121">
        <v>289858.08</v>
      </c>
      <c r="G132" s="131">
        <f t="shared" si="17"/>
        <v>43677</v>
      </c>
      <c r="H132" s="121">
        <v>287521.61</v>
      </c>
      <c r="I132" s="123">
        <f>K132</f>
        <v>30484.040000000154</v>
      </c>
      <c r="J132" s="121">
        <f t="shared" si="22"/>
        <v>320342.12000000017</v>
      </c>
      <c r="K132" s="121">
        <f>J129-H132</f>
        <v>30484.040000000154</v>
      </c>
      <c r="N132" s="129"/>
      <c r="O132" s="129"/>
      <c r="P132" s="129"/>
    </row>
    <row r="133" spans="1:16" s="120" customFormat="1" ht="18" hidden="1" customHeight="1" outlineLevel="1" x14ac:dyDescent="0.25">
      <c r="A133" s="108">
        <v>31</v>
      </c>
      <c r="B133" s="131">
        <f t="shared" si="18"/>
        <v>43616</v>
      </c>
      <c r="C133" s="140">
        <v>9.9774479999999999E-2</v>
      </c>
      <c r="D133" s="139">
        <f t="shared" si="19"/>
        <v>43646</v>
      </c>
      <c r="E133" s="131">
        <f t="shared" si="20"/>
        <v>43677</v>
      </c>
      <c r="F133" s="121">
        <v>416946.82</v>
      </c>
      <c r="G133" s="131">
        <f t="shared" si="17"/>
        <v>43708</v>
      </c>
      <c r="H133" s="121">
        <v>267074.96000000002</v>
      </c>
      <c r="I133" s="123">
        <f t="shared" si="21"/>
        <v>48320.460000000021</v>
      </c>
      <c r="J133" s="121">
        <f t="shared" si="22"/>
        <v>465267.28</v>
      </c>
      <c r="K133" s="121">
        <f t="shared" si="23"/>
        <v>48320.460000000021</v>
      </c>
      <c r="N133" s="129"/>
      <c r="O133" s="129"/>
      <c r="P133" s="129"/>
    </row>
    <row r="134" spans="1:16" s="120" customFormat="1" ht="18" hidden="1" customHeight="1" outlineLevel="1" x14ac:dyDescent="0.25">
      <c r="A134" s="108">
        <v>32</v>
      </c>
      <c r="B134" s="131">
        <f t="shared" si="18"/>
        <v>43646</v>
      </c>
      <c r="C134" s="140">
        <v>8.8896310000000006E-2</v>
      </c>
      <c r="D134" s="139">
        <f t="shared" si="19"/>
        <v>43677</v>
      </c>
      <c r="E134" s="131">
        <f t="shared" si="20"/>
        <v>43708</v>
      </c>
      <c r="F134" s="121">
        <v>422951.33</v>
      </c>
      <c r="G134" s="131">
        <f t="shared" si="17"/>
        <v>43738</v>
      </c>
      <c r="H134" s="121">
        <v>420719</v>
      </c>
      <c r="I134" s="123">
        <f t="shared" si="21"/>
        <v>-81368.73000000004</v>
      </c>
      <c r="J134" s="121">
        <f t="shared" si="22"/>
        <v>341582.6</v>
      </c>
      <c r="K134" s="121">
        <f t="shared" si="23"/>
        <v>-81368.73000000004</v>
      </c>
      <c r="N134" s="129"/>
      <c r="O134" s="129"/>
      <c r="P134" s="129"/>
    </row>
    <row r="135" spans="1:16" s="120" customFormat="1" ht="18" hidden="1" customHeight="1" outlineLevel="1" x14ac:dyDescent="0.25">
      <c r="A135" s="108">
        <v>33</v>
      </c>
      <c r="B135" s="131">
        <f t="shared" si="18"/>
        <v>43677</v>
      </c>
      <c r="C135" s="140">
        <v>9.3644240000000004E-2</v>
      </c>
      <c r="D135" s="139">
        <f t="shared" si="19"/>
        <v>43708</v>
      </c>
      <c r="E135" s="131">
        <f t="shared" si="20"/>
        <v>43738</v>
      </c>
      <c r="F135" s="121">
        <f>+[1]ES!$J$10</f>
        <v>449700.33</v>
      </c>
      <c r="G135" s="131">
        <f t="shared" si="17"/>
        <v>43769</v>
      </c>
      <c r="H135" s="121">
        <f>+[1]ES!$E$28</f>
        <v>397450.41</v>
      </c>
      <c r="I135" s="123">
        <f t="shared" si="21"/>
        <v>-77108.289999999804</v>
      </c>
      <c r="J135" s="121">
        <f t="shared" si="22"/>
        <v>372592.04000000021</v>
      </c>
      <c r="K135" s="121">
        <f t="shared" si="23"/>
        <v>-77108.289999999804</v>
      </c>
      <c r="N135" s="129"/>
      <c r="O135" s="129"/>
      <c r="P135" s="129"/>
    </row>
    <row r="136" spans="1:16" s="120" customFormat="1" ht="18" hidden="1" customHeight="1" outlineLevel="1" x14ac:dyDescent="0.25">
      <c r="A136" s="108">
        <f>+A13+1</f>
        <v>1</v>
      </c>
      <c r="B136" s="131">
        <f t="shared" si="18"/>
        <v>43708</v>
      </c>
      <c r="C136" s="140">
        <v>6.5542030000000001E-2</v>
      </c>
      <c r="D136" s="139">
        <f t="shared" si="19"/>
        <v>43738</v>
      </c>
      <c r="E136" s="131">
        <f t="shared" si="20"/>
        <v>43769</v>
      </c>
      <c r="F136" s="121">
        <f>+[2]ES!$J$10</f>
        <v>304573.08</v>
      </c>
      <c r="G136" s="131">
        <f t="shared" ref="G136:G158" si="24">EOMONTH(E136,1)</f>
        <v>43799</v>
      </c>
      <c r="H136" s="121">
        <f>+[2]ES!$E$28</f>
        <v>553747.52</v>
      </c>
      <c r="I136" s="123">
        <f t="shared" ref="I136:I158" si="25">K136</f>
        <v>-88480.239999999991</v>
      </c>
      <c r="J136" s="121">
        <f t="shared" ref="J136:J158" si="26">+F136+I136</f>
        <v>216092.84000000003</v>
      </c>
      <c r="K136" s="121">
        <f t="shared" ref="K136:K158" si="27">J133-H136</f>
        <v>-88480.239999999991</v>
      </c>
      <c r="N136" s="129"/>
      <c r="O136" s="129"/>
      <c r="P136" s="129"/>
    </row>
    <row r="137" spans="1:16" s="120" customFormat="1" ht="18" hidden="1" customHeight="1" outlineLevel="1" x14ac:dyDescent="0.25">
      <c r="A137" s="108">
        <f>+A136+1</f>
        <v>2</v>
      </c>
      <c r="B137" s="131">
        <f t="shared" si="18"/>
        <v>43738</v>
      </c>
      <c r="C137" s="140">
        <v>6.2412290000000002E-2</v>
      </c>
      <c r="D137" s="139">
        <f t="shared" si="19"/>
        <v>43769</v>
      </c>
      <c r="E137" s="131">
        <f t="shared" si="20"/>
        <v>43799</v>
      </c>
      <c r="F137" s="121">
        <f>+[3]ES!$J$10</f>
        <v>239192.89</v>
      </c>
      <c r="G137" s="131">
        <f t="shared" si="24"/>
        <v>43830</v>
      </c>
      <c r="H137" s="121">
        <f>+[3]ES!$E$28</f>
        <v>329364.62</v>
      </c>
      <c r="I137" s="123">
        <f t="shared" si="25"/>
        <v>12217.979999999981</v>
      </c>
      <c r="J137" s="121">
        <f t="shared" si="26"/>
        <v>251410.87</v>
      </c>
      <c r="K137" s="121">
        <f t="shared" si="27"/>
        <v>12217.979999999981</v>
      </c>
      <c r="N137" s="129"/>
      <c r="O137" s="129"/>
      <c r="P137" s="129"/>
    </row>
    <row r="138" spans="1:16" s="120" customFormat="1" ht="18" hidden="1" customHeight="1" outlineLevel="1" x14ac:dyDescent="0.25">
      <c r="A138" s="108">
        <f t="shared" ref="A138:A201" si="28">+A137+1</f>
        <v>3</v>
      </c>
      <c r="B138" s="131">
        <f t="shared" si="18"/>
        <v>43769</v>
      </c>
      <c r="C138" s="140">
        <v>5.4750090000000001E-2</v>
      </c>
      <c r="D138" s="139">
        <f t="shared" si="19"/>
        <v>43799</v>
      </c>
      <c r="E138" s="131">
        <f t="shared" si="20"/>
        <v>43830</v>
      </c>
      <c r="F138" s="121">
        <f>+[4]ES!$J$10</f>
        <v>230120.02</v>
      </c>
      <c r="G138" s="131">
        <f t="shared" si="24"/>
        <v>43861</v>
      </c>
      <c r="H138" s="121">
        <f>+[4]ES!$E$28</f>
        <v>321067.99</v>
      </c>
      <c r="I138" s="123">
        <f t="shared" si="25"/>
        <v>51524.050000000221</v>
      </c>
      <c r="J138" s="121">
        <f t="shared" si="26"/>
        <v>281644.07000000018</v>
      </c>
      <c r="K138" s="121">
        <f t="shared" si="27"/>
        <v>51524.050000000221</v>
      </c>
      <c r="N138" s="129"/>
      <c r="O138" s="129"/>
      <c r="P138" s="129"/>
    </row>
    <row r="139" spans="1:16" s="120" customFormat="1" ht="18" hidden="1" customHeight="1" outlineLevel="1" x14ac:dyDescent="0.25">
      <c r="A139" s="108">
        <f t="shared" si="28"/>
        <v>4</v>
      </c>
      <c r="B139" s="131">
        <f t="shared" si="18"/>
        <v>43799</v>
      </c>
      <c r="C139" s="140">
        <v>7.0155609999999993E-2</v>
      </c>
      <c r="D139" s="139">
        <f t="shared" si="19"/>
        <v>43830</v>
      </c>
      <c r="E139" s="131">
        <f t="shared" si="20"/>
        <v>43861</v>
      </c>
      <c r="F139" s="121">
        <f>+[5]ES!$J$10</f>
        <v>296790.09000000003</v>
      </c>
      <c r="G139" s="131">
        <f t="shared" si="24"/>
        <v>43890</v>
      </c>
      <c r="H139" s="121">
        <f>+[5]ES!$E$28</f>
        <v>163739.81</v>
      </c>
      <c r="I139" s="123">
        <f t="shared" si="25"/>
        <v>52353.030000000028</v>
      </c>
      <c r="J139" s="121">
        <f t="shared" si="26"/>
        <v>349143.12000000005</v>
      </c>
      <c r="K139" s="121">
        <f t="shared" si="27"/>
        <v>52353.030000000028</v>
      </c>
      <c r="N139" s="129"/>
      <c r="O139" s="129"/>
      <c r="P139" s="129"/>
    </row>
    <row r="140" spans="1:16" s="120" customFormat="1" ht="18" hidden="1" customHeight="1" outlineLevel="1" x14ac:dyDescent="0.25">
      <c r="A140" s="108">
        <f t="shared" si="28"/>
        <v>5</v>
      </c>
      <c r="B140" s="131">
        <f t="shared" si="18"/>
        <v>43830</v>
      </c>
      <c r="C140" s="140">
        <v>4.5191549999999997E-2</v>
      </c>
      <c r="D140" s="139">
        <f t="shared" si="19"/>
        <v>43861</v>
      </c>
      <c r="E140" s="131">
        <f t="shared" si="20"/>
        <v>43890</v>
      </c>
      <c r="F140" s="121">
        <f>+[6]ES!$J$10</f>
        <v>192453.69</v>
      </c>
      <c r="G140" s="131">
        <f t="shared" si="24"/>
        <v>43921</v>
      </c>
      <c r="H140" s="121">
        <f>+[6]ES!$E$28</f>
        <v>315842.46000000002</v>
      </c>
      <c r="I140" s="123">
        <f t="shared" si="25"/>
        <v>-64431.590000000026</v>
      </c>
      <c r="J140" s="121">
        <f t="shared" si="26"/>
        <v>128022.09999999998</v>
      </c>
      <c r="K140" s="121">
        <f t="shared" si="27"/>
        <v>-64431.590000000026</v>
      </c>
      <c r="N140" s="129"/>
      <c r="O140" s="129"/>
      <c r="P140" s="129"/>
    </row>
    <row r="141" spans="1:16" s="120" customFormat="1" ht="18" hidden="1" customHeight="1" outlineLevel="1" x14ac:dyDescent="0.25">
      <c r="A141" s="108">
        <f t="shared" si="28"/>
        <v>6</v>
      </c>
      <c r="B141" s="131">
        <f t="shared" si="18"/>
        <v>43861</v>
      </c>
      <c r="C141" s="140">
        <v>4.2630380000000002E-2</v>
      </c>
      <c r="D141" s="139">
        <f t="shared" si="19"/>
        <v>43890</v>
      </c>
      <c r="E141" s="131">
        <f t="shared" si="20"/>
        <v>43921</v>
      </c>
      <c r="F141" s="121">
        <f>+[7]ES!$J$10</f>
        <v>176449.79</v>
      </c>
      <c r="G141" s="131">
        <f t="shared" si="24"/>
        <v>43951</v>
      </c>
      <c r="H141" s="121">
        <f>+[7]ES!$E$28</f>
        <v>291661.32</v>
      </c>
      <c r="I141" s="123">
        <f t="shared" si="25"/>
        <v>-10017.249999999825</v>
      </c>
      <c r="J141" s="121">
        <f t="shared" si="26"/>
        <v>166432.54000000018</v>
      </c>
      <c r="K141" s="121">
        <f t="shared" si="27"/>
        <v>-10017.249999999825</v>
      </c>
      <c r="N141" s="129"/>
      <c r="O141" s="129"/>
      <c r="P141" s="129"/>
    </row>
    <row r="142" spans="1:16" s="120" customFormat="1" ht="18" hidden="1" customHeight="1" outlineLevel="1" x14ac:dyDescent="0.25">
      <c r="A142" s="108">
        <f t="shared" si="28"/>
        <v>7</v>
      </c>
      <c r="B142" s="131">
        <f t="shared" si="18"/>
        <v>43890</v>
      </c>
      <c r="C142" s="140">
        <v>5.358359E-2</v>
      </c>
      <c r="D142" s="139">
        <f t="shared" si="19"/>
        <v>43921</v>
      </c>
      <c r="E142" s="131">
        <f t="shared" si="20"/>
        <v>43951</v>
      </c>
      <c r="F142" s="121">
        <f>+[8]ES!$J$10</f>
        <v>171249.61</v>
      </c>
      <c r="G142" s="131">
        <f t="shared" si="24"/>
        <v>43982</v>
      </c>
      <c r="H142" s="121">
        <f>+[8]ES!$E$28</f>
        <v>345667.87</v>
      </c>
      <c r="I142" s="123">
        <f t="shared" si="25"/>
        <v>3475.2500000000582</v>
      </c>
      <c r="J142" s="121">
        <f t="shared" si="26"/>
        <v>174724.86000000004</v>
      </c>
      <c r="K142" s="121">
        <f t="shared" si="27"/>
        <v>3475.2500000000582</v>
      </c>
      <c r="N142" s="129"/>
      <c r="O142" s="129"/>
      <c r="P142" s="129"/>
    </row>
    <row r="143" spans="1:16" s="120" customFormat="1" ht="18" hidden="1" customHeight="1" outlineLevel="1" x14ac:dyDescent="0.25">
      <c r="A143" s="108">
        <f t="shared" si="28"/>
        <v>8</v>
      </c>
      <c r="B143" s="131">
        <f t="shared" si="18"/>
        <v>43921</v>
      </c>
      <c r="C143" s="140">
        <v>4.8569349999999997E-2</v>
      </c>
      <c r="D143" s="139">
        <f t="shared" ref="D143:D174" si="29">EOMONTH(D142,1)</f>
        <v>43951</v>
      </c>
      <c r="E143" s="131">
        <f t="shared" ref="E143:E174" si="30">EOMONTH(E142,1)</f>
        <v>43982</v>
      </c>
      <c r="F143" s="121">
        <f>+[9]ES!$J$10</f>
        <v>138734.56</v>
      </c>
      <c r="G143" s="131">
        <f t="shared" si="24"/>
        <v>44012</v>
      </c>
      <c r="H143" s="121">
        <f>+[9]ES!$E$28</f>
        <v>111868.53</v>
      </c>
      <c r="I143" s="123">
        <f t="shared" si="25"/>
        <v>16153.569999999978</v>
      </c>
      <c r="J143" s="121">
        <f t="shared" si="26"/>
        <v>154888.12999999998</v>
      </c>
      <c r="K143" s="121">
        <f t="shared" si="27"/>
        <v>16153.569999999978</v>
      </c>
      <c r="N143" s="129"/>
      <c r="O143" s="129"/>
      <c r="P143" s="129"/>
    </row>
    <row r="144" spans="1:16" s="120" customFormat="1" ht="18" hidden="1" customHeight="1" outlineLevel="1" x14ac:dyDescent="0.25">
      <c r="A144" s="108">
        <f t="shared" si="28"/>
        <v>9</v>
      </c>
      <c r="B144" s="131">
        <f t="shared" si="18"/>
        <v>43951</v>
      </c>
      <c r="C144" s="140">
        <v>4.5622419999999997E-2</v>
      </c>
      <c r="D144" s="139">
        <f t="shared" si="29"/>
        <v>43982</v>
      </c>
      <c r="E144" s="131">
        <f t="shared" si="30"/>
        <v>44012</v>
      </c>
      <c r="F144" s="121">
        <f>+[10]ES!$J$10</f>
        <v>151658.12</v>
      </c>
      <c r="G144" s="131">
        <f t="shared" si="24"/>
        <v>44043</v>
      </c>
      <c r="H144" s="121">
        <f>+[10]ES!$E$28</f>
        <v>130215.46</v>
      </c>
      <c r="I144" s="123">
        <f t="shared" si="25"/>
        <v>36217.080000000176</v>
      </c>
      <c r="J144" s="121">
        <f t="shared" si="26"/>
        <v>187875.20000000019</v>
      </c>
      <c r="K144" s="121">
        <f t="shared" si="27"/>
        <v>36217.080000000176</v>
      </c>
      <c r="N144" s="129"/>
      <c r="O144" s="129"/>
      <c r="P144" s="129"/>
    </row>
    <row r="145" spans="1:16" s="120" customFormat="1" ht="18" hidden="1" customHeight="1" outlineLevel="1" x14ac:dyDescent="0.25">
      <c r="A145" s="108">
        <f t="shared" si="28"/>
        <v>10</v>
      </c>
      <c r="B145" s="131">
        <f t="shared" si="18"/>
        <v>43982</v>
      </c>
      <c r="C145" s="140">
        <v>5.1122569999999999E-2</v>
      </c>
      <c r="D145" s="139">
        <f t="shared" si="29"/>
        <v>44012</v>
      </c>
      <c r="E145" s="131">
        <f t="shared" si="30"/>
        <v>44043</v>
      </c>
      <c r="F145" s="121">
        <f>+[11]ES!$J$10</f>
        <v>218838.21</v>
      </c>
      <c r="G145" s="131">
        <f t="shared" si="24"/>
        <v>44074</v>
      </c>
      <c r="H145" s="121">
        <f>+[11]ES!$E$28</f>
        <v>155595.63</v>
      </c>
      <c r="I145" s="123">
        <f t="shared" si="25"/>
        <v>19129.23000000004</v>
      </c>
      <c r="J145" s="121">
        <f t="shared" si="26"/>
        <v>237967.44000000003</v>
      </c>
      <c r="K145" s="121">
        <f t="shared" si="27"/>
        <v>19129.23000000004</v>
      </c>
      <c r="N145" s="129"/>
      <c r="O145" s="129"/>
      <c r="P145" s="129"/>
    </row>
    <row r="146" spans="1:16" s="120" customFormat="1" ht="18" hidden="1" customHeight="1" outlineLevel="1" x14ac:dyDescent="0.25">
      <c r="A146" s="108">
        <f t="shared" si="28"/>
        <v>11</v>
      </c>
      <c r="B146" s="131">
        <f t="shared" si="18"/>
        <v>44012</v>
      </c>
      <c r="C146" s="140">
        <v>7.7336489999999994E-2</v>
      </c>
      <c r="D146" s="139">
        <f t="shared" si="29"/>
        <v>44043</v>
      </c>
      <c r="E146" s="131">
        <f t="shared" si="30"/>
        <v>44074</v>
      </c>
      <c r="F146" s="121">
        <f>+[12]ES!$J$10</f>
        <v>381761.53</v>
      </c>
      <c r="G146" s="131">
        <f t="shared" si="24"/>
        <v>44104</v>
      </c>
      <c r="H146" s="121">
        <f>+[12]ES!$E$28</f>
        <v>197351.93</v>
      </c>
      <c r="I146" s="123">
        <f t="shared" si="25"/>
        <v>-42463.800000000017</v>
      </c>
      <c r="J146" s="121">
        <f t="shared" si="26"/>
        <v>339297.73</v>
      </c>
      <c r="K146" s="121">
        <f t="shared" si="27"/>
        <v>-42463.800000000017</v>
      </c>
      <c r="N146" s="129"/>
      <c r="O146" s="129"/>
      <c r="P146" s="129"/>
    </row>
    <row r="147" spans="1:16" s="120" customFormat="1" ht="18" hidden="1" customHeight="1" outlineLevel="1" x14ac:dyDescent="0.25">
      <c r="A147" s="108">
        <f t="shared" si="28"/>
        <v>12</v>
      </c>
      <c r="B147" s="131">
        <f t="shared" si="18"/>
        <v>44043</v>
      </c>
      <c r="C147" s="140">
        <v>8.3776569999999995E-2</v>
      </c>
      <c r="D147" s="139">
        <f t="shared" si="29"/>
        <v>44074</v>
      </c>
      <c r="E147" s="131">
        <f t="shared" si="30"/>
        <v>44104</v>
      </c>
      <c r="F147" s="121">
        <f>+[13]ES!$J$10</f>
        <v>391466.06</v>
      </c>
      <c r="G147" s="131">
        <f t="shared" si="24"/>
        <v>44135</v>
      </c>
      <c r="H147" s="121">
        <f>+[13]ES!$E$28</f>
        <v>268536.05</v>
      </c>
      <c r="I147" s="123">
        <f t="shared" si="25"/>
        <v>-80660.849999999802</v>
      </c>
      <c r="J147" s="121">
        <f t="shared" si="26"/>
        <v>310805.2100000002</v>
      </c>
      <c r="K147" s="121">
        <f t="shared" si="27"/>
        <v>-80660.849999999802</v>
      </c>
      <c r="N147" s="129"/>
      <c r="O147" s="129"/>
      <c r="P147" s="129"/>
    </row>
    <row r="148" spans="1:16" s="120" customFormat="1" ht="18" hidden="1" customHeight="1" outlineLevel="1" x14ac:dyDescent="0.25">
      <c r="A148" s="108">
        <f t="shared" si="28"/>
        <v>13</v>
      </c>
      <c r="B148" s="131">
        <f t="shared" si="18"/>
        <v>44074</v>
      </c>
      <c r="C148" s="140">
        <v>7.4521589999999999E-2</v>
      </c>
      <c r="D148" s="139">
        <f t="shared" si="29"/>
        <v>44104</v>
      </c>
      <c r="E148" s="131">
        <f t="shared" si="30"/>
        <v>44135</v>
      </c>
      <c r="F148" s="121">
        <f>+[14]ES!$J$10</f>
        <v>286924.90000000002</v>
      </c>
      <c r="G148" s="131">
        <f t="shared" si="24"/>
        <v>44165</v>
      </c>
      <c r="H148" s="121">
        <f>+[14]ES!$E$28</f>
        <v>274108.71999999997</v>
      </c>
      <c r="I148" s="123">
        <f t="shared" si="25"/>
        <v>-36141.279999999941</v>
      </c>
      <c r="J148" s="121">
        <f t="shared" si="26"/>
        <v>250783.62000000008</v>
      </c>
      <c r="K148" s="121">
        <f t="shared" si="27"/>
        <v>-36141.279999999941</v>
      </c>
      <c r="N148" s="129"/>
      <c r="O148" s="129"/>
      <c r="P148" s="129"/>
    </row>
    <row r="149" spans="1:16" s="120" customFormat="1" ht="18" hidden="1" customHeight="1" outlineLevel="1" x14ac:dyDescent="0.25">
      <c r="A149" s="108">
        <f t="shared" si="28"/>
        <v>14</v>
      </c>
      <c r="B149" s="131">
        <f t="shared" si="18"/>
        <v>44104</v>
      </c>
      <c r="C149" s="140">
        <v>4.0003150000000001E-2</v>
      </c>
      <c r="D149" s="139">
        <f t="shared" si="29"/>
        <v>44135</v>
      </c>
      <c r="E149" s="131">
        <f t="shared" si="30"/>
        <v>44165</v>
      </c>
      <c r="F149" s="121">
        <f>+[15]ES!$J$10</f>
        <v>116459.44</v>
      </c>
      <c r="G149" s="131">
        <f t="shared" si="24"/>
        <v>44196</v>
      </c>
      <c r="H149" s="121">
        <f>+[15]ES!$E$28</f>
        <v>285284.46999999997</v>
      </c>
      <c r="I149" s="123">
        <f t="shared" si="25"/>
        <v>54013.260000000009</v>
      </c>
      <c r="J149" s="121">
        <f t="shared" si="26"/>
        <v>170472.7</v>
      </c>
      <c r="K149" s="121">
        <f t="shared" si="27"/>
        <v>54013.260000000009</v>
      </c>
      <c r="N149" s="129"/>
      <c r="O149" s="129"/>
      <c r="P149" s="129"/>
    </row>
    <row r="150" spans="1:16" s="120" customFormat="1" ht="18" hidden="1" customHeight="1" outlineLevel="1" x14ac:dyDescent="0.25">
      <c r="A150" s="108">
        <f t="shared" si="28"/>
        <v>15</v>
      </c>
      <c r="B150" s="131">
        <f t="shared" si="18"/>
        <v>44135</v>
      </c>
      <c r="C150" s="140">
        <v>5.9319419999999998E-2</v>
      </c>
      <c r="D150" s="139">
        <f t="shared" si="29"/>
        <v>44165</v>
      </c>
      <c r="E150" s="131">
        <f t="shared" si="30"/>
        <v>44196</v>
      </c>
      <c r="F150" s="121">
        <f>+[16]ES!$J$10</f>
        <v>199734.43</v>
      </c>
      <c r="G150" s="131">
        <f t="shared" si="24"/>
        <v>44227</v>
      </c>
      <c r="H150" s="121">
        <f>+[16]ES!$E$28</f>
        <v>234755.12</v>
      </c>
      <c r="I150" s="123">
        <f t="shared" si="25"/>
        <v>76050.0900000002</v>
      </c>
      <c r="J150" s="121">
        <f t="shared" si="26"/>
        <v>275784.52000000019</v>
      </c>
      <c r="K150" s="121">
        <f t="shared" si="27"/>
        <v>76050.0900000002</v>
      </c>
      <c r="N150" s="129"/>
      <c r="O150" s="129"/>
      <c r="P150" s="129"/>
    </row>
    <row r="151" spans="1:16" s="120" customFormat="1" ht="18" hidden="1" customHeight="1" outlineLevel="1" x14ac:dyDescent="0.25">
      <c r="A151" s="108">
        <f t="shared" si="28"/>
        <v>16</v>
      </c>
      <c r="B151" s="131">
        <f t="shared" si="18"/>
        <v>44165</v>
      </c>
      <c r="C151" s="140">
        <v>6.1659560000000002E-2</v>
      </c>
      <c r="D151" s="139">
        <f t="shared" si="29"/>
        <v>44196</v>
      </c>
      <c r="E151" s="131">
        <f t="shared" si="30"/>
        <v>44227</v>
      </c>
      <c r="F151" s="121">
        <f>+[17]ES!$J$10</f>
        <v>246938</v>
      </c>
      <c r="G151" s="131">
        <f t="shared" si="24"/>
        <v>44255</v>
      </c>
      <c r="H151" s="121">
        <f>+[17]ES!$E$28</f>
        <v>213424.69</v>
      </c>
      <c r="I151" s="123">
        <f t="shared" si="25"/>
        <v>37358.93000000008</v>
      </c>
      <c r="J151" s="121">
        <f t="shared" si="26"/>
        <v>284296.93000000005</v>
      </c>
      <c r="K151" s="121">
        <f t="shared" si="27"/>
        <v>37358.93000000008</v>
      </c>
      <c r="N151" s="129"/>
      <c r="O151" s="129"/>
      <c r="P151" s="129"/>
    </row>
    <row r="152" spans="1:16" s="120" customFormat="1" ht="18" hidden="1" customHeight="1" outlineLevel="1" x14ac:dyDescent="0.25">
      <c r="A152" s="108">
        <f t="shared" si="28"/>
        <v>17</v>
      </c>
      <c r="B152" s="131">
        <f t="shared" si="18"/>
        <v>44196</v>
      </c>
      <c r="C152" s="140">
        <v>8.6877410000000002E-2</v>
      </c>
      <c r="D152" s="139">
        <f t="shared" si="29"/>
        <v>44227</v>
      </c>
      <c r="E152" s="131">
        <f t="shared" si="30"/>
        <v>44255</v>
      </c>
      <c r="F152" s="121">
        <f>+[18]ES!$J$10</f>
        <v>356919.57</v>
      </c>
      <c r="G152" s="131">
        <f t="shared" si="24"/>
        <v>44286</v>
      </c>
      <c r="H152" s="121">
        <f>+[18]ES!$E$28</f>
        <v>189277.55</v>
      </c>
      <c r="I152" s="123">
        <f t="shared" si="25"/>
        <v>-18804.849999999977</v>
      </c>
      <c r="J152" s="121">
        <f t="shared" si="26"/>
        <v>338114.72000000003</v>
      </c>
      <c r="K152" s="121">
        <f t="shared" si="27"/>
        <v>-18804.849999999977</v>
      </c>
      <c r="N152" s="129"/>
      <c r="O152" s="129"/>
      <c r="P152" s="129"/>
    </row>
    <row r="153" spans="1:16" s="120" customFormat="1" ht="18" hidden="1" customHeight="1" outlineLevel="1" x14ac:dyDescent="0.25">
      <c r="A153" s="108">
        <f t="shared" si="28"/>
        <v>18</v>
      </c>
      <c r="B153" s="131">
        <f t="shared" si="18"/>
        <v>44227</v>
      </c>
      <c r="C153" s="140">
        <v>5.7239890000000002E-2</v>
      </c>
      <c r="D153" s="139">
        <f t="shared" si="29"/>
        <v>44255</v>
      </c>
      <c r="E153" s="131">
        <f t="shared" si="30"/>
        <v>44286</v>
      </c>
      <c r="F153" s="121">
        <f>+[19]ES!$J$10</f>
        <v>276239.82</v>
      </c>
      <c r="G153" s="131">
        <f t="shared" si="24"/>
        <v>44316</v>
      </c>
      <c r="H153" s="121">
        <f>+[19]ES!$E$28</f>
        <v>379034.08</v>
      </c>
      <c r="I153" s="123">
        <f t="shared" si="25"/>
        <v>-103249.55999999982</v>
      </c>
      <c r="J153" s="121">
        <f t="shared" si="26"/>
        <v>172990.26000000018</v>
      </c>
      <c r="K153" s="121">
        <f t="shared" si="27"/>
        <v>-103249.55999999982</v>
      </c>
      <c r="N153" s="129"/>
      <c r="O153" s="129"/>
      <c r="P153" s="129"/>
    </row>
    <row r="154" spans="1:16" s="120" customFormat="1" ht="18" hidden="1" customHeight="1" outlineLevel="1" x14ac:dyDescent="0.25">
      <c r="A154" s="108">
        <f t="shared" si="28"/>
        <v>19</v>
      </c>
      <c r="B154" s="131">
        <f t="shared" si="18"/>
        <v>44255</v>
      </c>
      <c r="C154" s="140">
        <v>8.6906159999999996E-2</v>
      </c>
      <c r="D154" s="139">
        <f t="shared" si="29"/>
        <v>44286</v>
      </c>
      <c r="E154" s="131">
        <f t="shared" si="30"/>
        <v>44316</v>
      </c>
      <c r="F154" s="121">
        <f>+[20]ES!$J$10</f>
        <v>261761.49</v>
      </c>
      <c r="G154" s="131">
        <f t="shared" si="24"/>
        <v>44347</v>
      </c>
      <c r="H154" s="121">
        <f>+[20]ES!$E$28</f>
        <v>298652.49</v>
      </c>
      <c r="I154" s="123">
        <f t="shared" si="25"/>
        <v>-14355.559999999939</v>
      </c>
      <c r="J154" s="121">
        <f t="shared" si="26"/>
        <v>247405.93000000005</v>
      </c>
      <c r="K154" s="121">
        <f t="shared" si="27"/>
        <v>-14355.559999999939</v>
      </c>
      <c r="N154" s="129"/>
      <c r="O154" s="129"/>
      <c r="P154" s="129"/>
    </row>
    <row r="155" spans="1:16" s="120" customFormat="1" ht="18" hidden="1" customHeight="1" outlineLevel="1" x14ac:dyDescent="0.25">
      <c r="A155" s="108">
        <f t="shared" si="28"/>
        <v>20</v>
      </c>
      <c r="B155" s="131">
        <f t="shared" si="18"/>
        <v>44286</v>
      </c>
      <c r="C155" s="140">
        <v>4.6249430000000001E-2</v>
      </c>
      <c r="D155" s="139">
        <f t="shared" si="29"/>
        <v>44316</v>
      </c>
      <c r="E155" s="131">
        <f t="shared" si="30"/>
        <v>44347</v>
      </c>
      <c r="F155" s="121">
        <f>+[21]ES!$J$10</f>
        <v>137606.96</v>
      </c>
      <c r="G155" s="131">
        <f t="shared" si="24"/>
        <v>44377</v>
      </c>
      <c r="H155" s="121">
        <f>+[21]ES!$E$28</f>
        <v>330628.26</v>
      </c>
      <c r="I155" s="123">
        <f t="shared" si="25"/>
        <v>7486.460000000021</v>
      </c>
      <c r="J155" s="121">
        <f t="shared" si="26"/>
        <v>145093.42000000001</v>
      </c>
      <c r="K155" s="121">
        <f t="shared" si="27"/>
        <v>7486.460000000021</v>
      </c>
      <c r="N155" s="129"/>
      <c r="O155" s="129"/>
      <c r="P155" s="129"/>
    </row>
    <row r="156" spans="1:16" s="120" customFormat="1" ht="18" hidden="1" customHeight="1" outlineLevel="1" x14ac:dyDescent="0.25">
      <c r="A156" s="108">
        <f t="shared" si="28"/>
        <v>21</v>
      </c>
      <c r="B156" s="131">
        <f t="shared" si="18"/>
        <v>44316</v>
      </c>
      <c r="C156" s="140">
        <v>9.2364520000000006E-2</v>
      </c>
      <c r="D156" s="139">
        <f t="shared" si="29"/>
        <v>44347</v>
      </c>
      <c r="E156" s="131">
        <f t="shared" si="30"/>
        <v>44377</v>
      </c>
      <c r="F156" s="121">
        <f>+[22]ES!$J$10</f>
        <v>318099.93</v>
      </c>
      <c r="G156" s="131">
        <f t="shared" si="24"/>
        <v>44408</v>
      </c>
      <c r="H156" s="121">
        <f>+[22]ES!$E$28</f>
        <v>114201.81999999999</v>
      </c>
      <c r="I156" s="123">
        <f t="shared" si="25"/>
        <v>58788.440000000192</v>
      </c>
      <c r="J156" s="121">
        <f t="shared" si="26"/>
        <v>376888.37000000017</v>
      </c>
      <c r="K156" s="121">
        <f t="shared" si="27"/>
        <v>58788.440000000192</v>
      </c>
      <c r="N156" s="129"/>
      <c r="O156" s="129"/>
      <c r="P156" s="129"/>
    </row>
    <row r="157" spans="1:16" s="120" customFormat="1" ht="18" hidden="1" customHeight="1" outlineLevel="1" x14ac:dyDescent="0.25">
      <c r="A157" s="108">
        <f t="shared" si="28"/>
        <v>22</v>
      </c>
      <c r="B157" s="131">
        <f t="shared" si="18"/>
        <v>44347</v>
      </c>
      <c r="C157" s="140">
        <v>0.11100549</v>
      </c>
      <c r="D157" s="139">
        <f t="shared" si="29"/>
        <v>44377</v>
      </c>
      <c r="E157" s="131">
        <f t="shared" si="30"/>
        <v>44408</v>
      </c>
      <c r="F157" s="121">
        <f>+[23]ES!$J$10</f>
        <v>476138.18</v>
      </c>
      <c r="G157" s="131">
        <f t="shared" si="24"/>
        <v>44439</v>
      </c>
      <c r="H157" s="121">
        <f>+[23]ES!$E$28</f>
        <v>219836.1</v>
      </c>
      <c r="I157" s="123">
        <f t="shared" si="25"/>
        <v>27569.830000000045</v>
      </c>
      <c r="J157" s="121">
        <f t="shared" si="26"/>
        <v>503708.01</v>
      </c>
      <c r="K157" s="121">
        <f t="shared" si="27"/>
        <v>27569.830000000045</v>
      </c>
      <c r="N157" s="129"/>
      <c r="O157" s="129"/>
      <c r="P157" s="129"/>
    </row>
    <row r="158" spans="1:16" s="120" customFormat="1" ht="18" hidden="1" customHeight="1" outlineLevel="1" x14ac:dyDescent="0.25">
      <c r="A158" s="108">
        <f t="shared" si="28"/>
        <v>23</v>
      </c>
      <c r="B158" s="131">
        <f t="shared" si="18"/>
        <v>44377</v>
      </c>
      <c r="C158" s="140">
        <v>8.88428E-2</v>
      </c>
      <c r="D158" s="139">
        <f t="shared" si="29"/>
        <v>44408</v>
      </c>
      <c r="E158" s="131">
        <f t="shared" si="30"/>
        <v>44439</v>
      </c>
      <c r="F158" s="121">
        <f>+[24]ES!$J$10</f>
        <v>430754.02</v>
      </c>
      <c r="G158" s="131">
        <f t="shared" si="24"/>
        <v>44469</v>
      </c>
      <c r="H158" s="121">
        <f>+[24]ES!$E$28</f>
        <v>174839.51</v>
      </c>
      <c r="I158" s="123">
        <f t="shared" si="25"/>
        <v>-29746.089999999997</v>
      </c>
      <c r="J158" s="121">
        <f t="shared" si="26"/>
        <v>401007.93000000005</v>
      </c>
      <c r="K158" s="121">
        <f t="shared" si="27"/>
        <v>-29746.089999999997</v>
      </c>
      <c r="N158" s="129"/>
      <c r="O158" s="129"/>
      <c r="P158" s="129"/>
    </row>
    <row r="159" spans="1:16" s="120" customFormat="1" ht="18" hidden="1" customHeight="1" outlineLevel="1" x14ac:dyDescent="0.25">
      <c r="A159" s="108">
        <f t="shared" si="28"/>
        <v>24</v>
      </c>
      <c r="B159" s="131">
        <f t="shared" si="18"/>
        <v>44408</v>
      </c>
      <c r="C159" s="140">
        <v>8.8505819999999999E-2</v>
      </c>
      <c r="D159" s="139">
        <f t="shared" si="29"/>
        <v>44439</v>
      </c>
      <c r="E159" s="131">
        <f t="shared" si="30"/>
        <v>44469</v>
      </c>
      <c r="F159" s="121">
        <f>+[25]ES!$J$10</f>
        <v>431946.26</v>
      </c>
      <c r="G159" s="131">
        <f t="shared" ref="G159:G173" si="31">EOMONTH(E159,1)</f>
        <v>44500</v>
      </c>
      <c r="H159" s="121">
        <f>+[25]ES!$E$28</f>
        <v>536957.89</v>
      </c>
      <c r="I159" s="123">
        <f t="shared" ref="I159:I173" si="32">K159</f>
        <v>-160069.51999999984</v>
      </c>
      <c r="J159" s="121">
        <f t="shared" ref="J159:J173" si="33">+F159+I159</f>
        <v>271876.74000000017</v>
      </c>
      <c r="K159" s="121">
        <f t="shared" ref="K159:K173" si="34">J156-H159</f>
        <v>-160069.51999999984</v>
      </c>
      <c r="N159" s="129"/>
      <c r="O159" s="129"/>
      <c r="P159" s="129"/>
    </row>
    <row r="160" spans="1:16" s="120" customFormat="1" ht="18" hidden="1" customHeight="1" outlineLevel="1" x14ac:dyDescent="0.25">
      <c r="A160" s="108">
        <f t="shared" si="28"/>
        <v>25</v>
      </c>
      <c r="B160" s="131">
        <f t="shared" si="18"/>
        <v>44439</v>
      </c>
      <c r="C160" s="140">
        <v>0.1058065</v>
      </c>
      <c r="D160" s="139">
        <f t="shared" si="29"/>
        <v>44469</v>
      </c>
      <c r="E160" s="131">
        <f t="shared" si="30"/>
        <v>44500</v>
      </c>
      <c r="F160" s="121">
        <f>+[26]ES!$J$10</f>
        <v>422854.7</v>
      </c>
      <c r="G160" s="131">
        <f t="shared" si="31"/>
        <v>44530</v>
      </c>
      <c r="H160" s="121">
        <f>+[26]ES!$E$28</f>
        <v>562098.99</v>
      </c>
      <c r="I160" s="123">
        <f t="shared" si="32"/>
        <v>-58390.979999999981</v>
      </c>
      <c r="J160" s="121">
        <f t="shared" si="33"/>
        <v>364463.72000000003</v>
      </c>
      <c r="K160" s="121">
        <f t="shared" si="34"/>
        <v>-58390.979999999981</v>
      </c>
      <c r="N160" s="129"/>
      <c r="O160" s="129"/>
      <c r="P160" s="129"/>
    </row>
    <row r="161" spans="1:16" s="120" customFormat="1" ht="18" hidden="1" customHeight="1" outlineLevel="1" x14ac:dyDescent="0.25">
      <c r="A161" s="108">
        <f t="shared" si="28"/>
        <v>26</v>
      </c>
      <c r="B161" s="131">
        <f t="shared" si="18"/>
        <v>44469</v>
      </c>
      <c r="C161" s="140">
        <v>5.8713899999999999E-2</v>
      </c>
      <c r="D161" s="139">
        <f t="shared" si="29"/>
        <v>44500</v>
      </c>
      <c r="E161" s="131">
        <f t="shared" si="30"/>
        <v>44530</v>
      </c>
      <c r="F161" s="121">
        <f>+[27]ES!$J$10</f>
        <v>200315.47</v>
      </c>
      <c r="G161" s="131">
        <f t="shared" si="31"/>
        <v>44561</v>
      </c>
      <c r="H161" s="121">
        <f>+[27]ES!$E$28</f>
        <v>385030.87</v>
      </c>
      <c r="I161" s="123">
        <f t="shared" si="32"/>
        <v>15977.060000000056</v>
      </c>
      <c r="J161" s="121">
        <f t="shared" si="33"/>
        <v>216292.53000000006</v>
      </c>
      <c r="K161" s="121">
        <f t="shared" si="34"/>
        <v>15977.060000000056</v>
      </c>
      <c r="N161" s="129"/>
      <c r="O161" s="129"/>
      <c r="P161" s="129"/>
    </row>
    <row r="162" spans="1:16" s="120" customFormat="1" ht="18" hidden="1" customHeight="1" outlineLevel="1" x14ac:dyDescent="0.25">
      <c r="A162" s="108">
        <f t="shared" si="28"/>
        <v>27</v>
      </c>
      <c r="B162" s="131">
        <f t="shared" si="18"/>
        <v>44500</v>
      </c>
      <c r="C162" s="140">
        <v>8.2686480000000007E-2</v>
      </c>
      <c r="D162" s="139">
        <f t="shared" si="29"/>
        <v>44530</v>
      </c>
      <c r="E162" s="131">
        <f t="shared" si="30"/>
        <v>44561</v>
      </c>
      <c r="F162" s="121">
        <f>+[28]ES!$J$10</f>
        <v>326585.09999999998</v>
      </c>
      <c r="G162" s="131">
        <f t="shared" si="31"/>
        <v>44592</v>
      </c>
      <c r="H162" s="121">
        <f>+[28]ES!$E$28</f>
        <v>206925.5</v>
      </c>
      <c r="I162" s="123">
        <f t="shared" si="32"/>
        <v>64951.240000000165</v>
      </c>
      <c r="J162" s="121">
        <f t="shared" si="33"/>
        <v>391536.34000000014</v>
      </c>
      <c r="K162" s="121">
        <f t="shared" si="34"/>
        <v>64951.240000000165</v>
      </c>
      <c r="N162" s="129"/>
      <c r="O162" s="129"/>
      <c r="P162" s="129"/>
    </row>
    <row r="163" spans="1:16" s="120" customFormat="1" ht="18" hidden="1" customHeight="1" outlineLevel="1" x14ac:dyDescent="0.25">
      <c r="A163" s="108">
        <f t="shared" si="28"/>
        <v>28</v>
      </c>
      <c r="B163" s="131">
        <f t="shared" si="18"/>
        <v>44530</v>
      </c>
      <c r="C163" s="140">
        <v>0.10017524999999999</v>
      </c>
      <c r="D163" s="139">
        <f t="shared" si="29"/>
        <v>44561</v>
      </c>
      <c r="E163" s="131">
        <f t="shared" si="30"/>
        <v>44592</v>
      </c>
      <c r="F163" s="121">
        <f>+[29]ES!$J$10</f>
        <v>394901.98</v>
      </c>
      <c r="G163" s="131">
        <f t="shared" si="31"/>
        <v>44620</v>
      </c>
      <c r="H163" s="121">
        <f>+[29]ES!$E$28</f>
        <v>318981.36</v>
      </c>
      <c r="I163" s="123">
        <f t="shared" si="32"/>
        <v>45482.360000000044</v>
      </c>
      <c r="J163" s="121">
        <f t="shared" si="33"/>
        <v>440384.34</v>
      </c>
      <c r="K163" s="121">
        <f t="shared" si="34"/>
        <v>45482.360000000044</v>
      </c>
      <c r="N163" s="129"/>
      <c r="O163" s="129"/>
      <c r="P163" s="129"/>
    </row>
    <row r="164" spans="1:16" s="120" customFormat="1" ht="18" hidden="1" customHeight="1" outlineLevel="1" x14ac:dyDescent="0.25">
      <c r="A164" s="108">
        <f t="shared" si="28"/>
        <v>29</v>
      </c>
      <c r="B164" s="131">
        <f t="shared" si="18"/>
        <v>44561</v>
      </c>
      <c r="C164" s="140">
        <v>8.7579480000000001E-2</v>
      </c>
      <c r="D164" s="139">
        <f t="shared" si="29"/>
        <v>44592</v>
      </c>
      <c r="E164" s="131">
        <f t="shared" si="30"/>
        <v>44620</v>
      </c>
      <c r="F164" s="121">
        <f>+[30]ES!$J$10</f>
        <v>477803.83</v>
      </c>
      <c r="G164" s="131">
        <f t="shared" si="31"/>
        <v>44651</v>
      </c>
      <c r="H164" s="121">
        <f>+[30]ES!$E$28</f>
        <v>235700.73</v>
      </c>
      <c r="I164" s="123">
        <f t="shared" si="32"/>
        <v>-19408.199999999953</v>
      </c>
      <c r="J164" s="121">
        <f t="shared" si="33"/>
        <v>458395.63000000006</v>
      </c>
      <c r="K164" s="121">
        <f t="shared" si="34"/>
        <v>-19408.199999999953</v>
      </c>
      <c r="N164" s="129"/>
      <c r="O164" s="129"/>
      <c r="P164" s="129"/>
    </row>
    <row r="165" spans="1:16" s="120" customFormat="1" ht="18" hidden="1" customHeight="1" outlineLevel="1" x14ac:dyDescent="0.25">
      <c r="A165" s="108">
        <f t="shared" si="28"/>
        <v>30</v>
      </c>
      <c r="B165" s="131">
        <f t="shared" si="18"/>
        <v>44592</v>
      </c>
      <c r="C165" s="140">
        <v>0.10760119</v>
      </c>
      <c r="D165" s="139">
        <f t="shared" si="29"/>
        <v>44620</v>
      </c>
      <c r="E165" s="131">
        <f t="shared" si="30"/>
        <v>44651</v>
      </c>
      <c r="F165" s="121">
        <f>+[31]ES!$J$10</f>
        <v>506563.45</v>
      </c>
      <c r="G165" s="131">
        <f t="shared" si="31"/>
        <v>44681</v>
      </c>
      <c r="H165" s="121">
        <f>+[31]ES!$E$28</f>
        <v>437660.1</v>
      </c>
      <c r="I165" s="123">
        <f t="shared" si="32"/>
        <v>-46123.759999999835</v>
      </c>
      <c r="J165" s="121">
        <f t="shared" si="33"/>
        <v>460439.69000000018</v>
      </c>
      <c r="K165" s="121">
        <f t="shared" si="34"/>
        <v>-46123.759999999835</v>
      </c>
      <c r="N165" s="129"/>
      <c r="O165" s="129"/>
      <c r="P165" s="129"/>
    </row>
    <row r="166" spans="1:16" s="120" customFormat="1" ht="18" hidden="1" customHeight="1" outlineLevel="1" x14ac:dyDescent="0.25">
      <c r="A166" s="108">
        <f t="shared" si="28"/>
        <v>31</v>
      </c>
      <c r="B166" s="131">
        <f t="shared" si="18"/>
        <v>44620</v>
      </c>
      <c r="C166" s="140">
        <v>5.359796E-2</v>
      </c>
      <c r="D166" s="139">
        <f t="shared" si="29"/>
        <v>44651</v>
      </c>
      <c r="E166" s="131">
        <f t="shared" si="30"/>
        <v>44681</v>
      </c>
      <c r="F166" s="121">
        <f>+[32]ES!$J$10</f>
        <v>238667.04</v>
      </c>
      <c r="G166" s="131">
        <f t="shared" si="31"/>
        <v>44712</v>
      </c>
      <c r="H166" s="121">
        <f>+[32]ES!$E$28</f>
        <v>558059.28</v>
      </c>
      <c r="I166" s="123">
        <f t="shared" si="32"/>
        <v>-117674.94</v>
      </c>
      <c r="J166" s="121">
        <f t="shared" si="33"/>
        <v>120992.1</v>
      </c>
      <c r="K166" s="121">
        <f t="shared" si="34"/>
        <v>-117674.94</v>
      </c>
      <c r="N166" s="129"/>
      <c r="O166" s="129"/>
      <c r="P166" s="129"/>
    </row>
    <row r="167" spans="1:16" s="120" customFormat="1" ht="18" hidden="1" customHeight="1" outlineLevel="1" x14ac:dyDescent="0.25">
      <c r="A167" s="108">
        <f t="shared" si="28"/>
        <v>32</v>
      </c>
      <c r="B167" s="131">
        <f t="shared" si="18"/>
        <v>44651</v>
      </c>
      <c r="C167" s="140">
        <v>6.5133720000000006E-2</v>
      </c>
      <c r="D167" s="139">
        <f t="shared" si="29"/>
        <v>44681</v>
      </c>
      <c r="E167" s="131">
        <f t="shared" si="30"/>
        <v>44712</v>
      </c>
      <c r="F167" s="121">
        <f>+[33]ES!$J$10</f>
        <v>233855.15</v>
      </c>
      <c r="G167" s="131">
        <f t="shared" si="31"/>
        <v>44742</v>
      </c>
      <c r="H167" s="121">
        <f>+[33]ES!$E$28</f>
        <v>367389.54</v>
      </c>
      <c r="I167" s="123">
        <f t="shared" si="32"/>
        <v>91006.090000000084</v>
      </c>
      <c r="J167" s="121">
        <f t="shared" si="33"/>
        <v>324861.24000000011</v>
      </c>
      <c r="K167" s="121">
        <f t="shared" si="34"/>
        <v>91006.090000000084</v>
      </c>
      <c r="N167" s="129"/>
      <c r="O167" s="129"/>
      <c r="P167" s="129"/>
    </row>
    <row r="168" spans="1:16" s="120" customFormat="1" ht="18" hidden="1" customHeight="1" outlineLevel="1" x14ac:dyDescent="0.25">
      <c r="A168" s="108">
        <f t="shared" si="28"/>
        <v>33</v>
      </c>
      <c r="B168" s="131">
        <f t="shared" si="18"/>
        <v>44681</v>
      </c>
      <c r="C168" s="140">
        <v>4.3170529999999999E-2</v>
      </c>
      <c r="D168" s="139">
        <f t="shared" si="29"/>
        <v>44712</v>
      </c>
      <c r="E168" s="131">
        <f t="shared" si="30"/>
        <v>44742</v>
      </c>
      <c r="F168" s="121">
        <f>+[34]ES!$J$10</f>
        <v>202427.9</v>
      </c>
      <c r="G168" s="131">
        <f t="shared" si="31"/>
        <v>44773</v>
      </c>
      <c r="H168" s="121">
        <f>+[34]ES!$E$28</f>
        <v>366164.92</v>
      </c>
      <c r="I168" s="123">
        <f t="shared" si="32"/>
        <v>94274.770000000193</v>
      </c>
      <c r="J168" s="121">
        <f t="shared" si="33"/>
        <v>296702.67000000016</v>
      </c>
      <c r="K168" s="121">
        <f t="shared" si="34"/>
        <v>94274.770000000193</v>
      </c>
      <c r="N168" s="129"/>
      <c r="O168" s="129"/>
      <c r="P168" s="129"/>
    </row>
    <row r="169" spans="1:16" s="120" customFormat="1" ht="18" hidden="1" customHeight="1" outlineLevel="1" x14ac:dyDescent="0.25">
      <c r="A169" s="108">
        <f t="shared" si="28"/>
        <v>34</v>
      </c>
      <c r="B169" s="131">
        <f t="shared" si="18"/>
        <v>44712</v>
      </c>
      <c r="C169" s="140">
        <v>6.3858090000000006E-2</v>
      </c>
      <c r="D169" s="139">
        <f t="shared" si="29"/>
        <v>44742</v>
      </c>
      <c r="E169" s="131">
        <f t="shared" si="30"/>
        <v>44773</v>
      </c>
      <c r="F169" s="121">
        <f>+[35]ES!$J$10</f>
        <v>325316.21999999997</v>
      </c>
      <c r="G169" s="131">
        <f t="shared" si="31"/>
        <v>44804</v>
      </c>
      <c r="H169" s="121">
        <f>+[35]ES!$E$28</f>
        <v>111694.83</v>
      </c>
      <c r="I169" s="123">
        <f t="shared" si="32"/>
        <v>9297.2700000000041</v>
      </c>
      <c r="J169" s="121">
        <f t="shared" si="33"/>
        <v>334613.49</v>
      </c>
      <c r="K169" s="121">
        <f t="shared" si="34"/>
        <v>9297.2700000000041</v>
      </c>
      <c r="N169" s="129"/>
      <c r="O169" s="129"/>
      <c r="P169" s="129"/>
    </row>
    <row r="170" spans="1:16" s="120" customFormat="1" ht="18" hidden="1" customHeight="1" outlineLevel="1" x14ac:dyDescent="0.25">
      <c r="A170" s="108">
        <f t="shared" si="28"/>
        <v>35</v>
      </c>
      <c r="B170" s="131">
        <f t="shared" si="18"/>
        <v>44742</v>
      </c>
      <c r="C170" s="140">
        <v>4.570544E-2</v>
      </c>
      <c r="D170" s="139">
        <f t="shared" si="29"/>
        <v>44773</v>
      </c>
      <c r="E170" s="131">
        <f t="shared" si="30"/>
        <v>44804</v>
      </c>
      <c r="F170" s="121">
        <f>+[36]ES!$J$10</f>
        <v>303962.25</v>
      </c>
      <c r="G170" s="131">
        <f t="shared" si="31"/>
        <v>44834</v>
      </c>
      <c r="H170" s="121">
        <f>+[36]ES!$E$28</f>
        <v>402649.7</v>
      </c>
      <c r="I170" s="123">
        <f t="shared" si="32"/>
        <v>-77788.459999999905</v>
      </c>
      <c r="J170" s="121">
        <f t="shared" si="33"/>
        <v>226173.7900000001</v>
      </c>
      <c r="K170" s="121">
        <f t="shared" si="34"/>
        <v>-77788.459999999905</v>
      </c>
      <c r="N170" s="129"/>
      <c r="O170" s="129"/>
      <c r="P170" s="129"/>
    </row>
    <row r="171" spans="1:16" s="120" customFormat="1" ht="18" hidden="1" customHeight="1" outlineLevel="1" x14ac:dyDescent="0.25">
      <c r="A171" s="108">
        <f t="shared" si="28"/>
        <v>36</v>
      </c>
      <c r="B171" s="131">
        <f t="shared" si="18"/>
        <v>44773</v>
      </c>
      <c r="C171" s="140">
        <v>4.7493880000000002E-2</v>
      </c>
      <c r="D171" s="139">
        <f t="shared" si="29"/>
        <v>44804</v>
      </c>
      <c r="E171" s="131">
        <f t="shared" si="30"/>
        <v>44834</v>
      </c>
      <c r="F171" s="121">
        <f>+[37]ES!$J$10</f>
        <v>293243.84000000003</v>
      </c>
      <c r="G171" s="131">
        <f t="shared" si="31"/>
        <v>44865</v>
      </c>
      <c r="H171" s="121">
        <f>+[37]ES!$E$28</f>
        <v>401347.74</v>
      </c>
      <c r="I171" s="123">
        <f t="shared" si="32"/>
        <v>-104645.06999999983</v>
      </c>
      <c r="J171" s="121">
        <f t="shared" si="33"/>
        <v>188598.77000000019</v>
      </c>
      <c r="K171" s="121">
        <f t="shared" si="34"/>
        <v>-104645.06999999983</v>
      </c>
      <c r="N171" s="129"/>
      <c r="O171" s="129"/>
      <c r="P171" s="129"/>
    </row>
    <row r="172" spans="1:16" s="120" customFormat="1" ht="18" hidden="1" customHeight="1" outlineLevel="1" x14ac:dyDescent="0.25">
      <c r="A172" s="108">
        <f t="shared" si="28"/>
        <v>37</v>
      </c>
      <c r="B172" s="131">
        <f t="shared" si="18"/>
        <v>44804</v>
      </c>
      <c r="C172" s="140">
        <v>3.0638189999999999E-2</v>
      </c>
      <c r="D172" s="139">
        <f t="shared" si="29"/>
        <v>44834</v>
      </c>
      <c r="E172" s="131">
        <f t="shared" si="30"/>
        <v>44865</v>
      </c>
      <c r="F172" s="121">
        <f>+[38]ES!$J$10</f>
        <v>189384.13</v>
      </c>
      <c r="G172" s="131">
        <f t="shared" si="31"/>
        <v>44895</v>
      </c>
      <c r="H172" s="121">
        <f>+[38]ES!$E$28</f>
        <v>385997.62</v>
      </c>
      <c r="I172" s="123">
        <f t="shared" si="32"/>
        <v>-51384.130000000005</v>
      </c>
      <c r="J172" s="121">
        <f t="shared" si="33"/>
        <v>138000</v>
      </c>
      <c r="K172" s="121">
        <f t="shared" si="34"/>
        <v>-51384.130000000005</v>
      </c>
      <c r="N172" s="129"/>
      <c r="O172" s="129"/>
      <c r="P172" s="129"/>
    </row>
    <row r="173" spans="1:16" s="120" customFormat="1" ht="18" hidden="1" customHeight="1" outlineLevel="1" x14ac:dyDescent="0.25">
      <c r="A173" s="108">
        <f t="shared" si="28"/>
        <v>38</v>
      </c>
      <c r="B173" s="131">
        <f t="shared" si="18"/>
        <v>44834</v>
      </c>
      <c r="C173" s="140">
        <v>4.1599219999999999E-2</v>
      </c>
      <c r="D173" s="139">
        <f t="shared" si="29"/>
        <v>44865</v>
      </c>
      <c r="E173" s="131">
        <f t="shared" si="30"/>
        <v>44895</v>
      </c>
      <c r="F173" s="121">
        <f>+[39]ES!$J$10</f>
        <v>176547.85</v>
      </c>
      <c r="G173" s="131">
        <f t="shared" si="31"/>
        <v>44926</v>
      </c>
      <c r="H173" s="121">
        <f>+[39]ES!$E$28</f>
        <v>189907.47</v>
      </c>
      <c r="I173" s="123">
        <f t="shared" si="32"/>
        <v>36266.320000000094</v>
      </c>
      <c r="J173" s="121">
        <f t="shared" si="33"/>
        <v>212814.1700000001</v>
      </c>
      <c r="K173" s="121">
        <f t="shared" si="34"/>
        <v>36266.320000000094</v>
      </c>
      <c r="N173" s="129"/>
      <c r="O173" s="129"/>
      <c r="P173" s="129"/>
    </row>
    <row r="174" spans="1:16" s="120" customFormat="1" ht="18" hidden="1" customHeight="1" outlineLevel="1" x14ac:dyDescent="0.25">
      <c r="A174" s="108">
        <f t="shared" si="28"/>
        <v>39</v>
      </c>
      <c r="B174" s="131">
        <f t="shared" si="18"/>
        <v>44865</v>
      </c>
      <c r="C174" s="140">
        <v>3.2982659999999997E-2</v>
      </c>
      <c r="D174" s="139">
        <f t="shared" si="29"/>
        <v>44895</v>
      </c>
      <c r="E174" s="131">
        <f t="shared" si="30"/>
        <v>44926</v>
      </c>
      <c r="F174" s="121">
        <f>+[40]ES!$J$10</f>
        <v>164143.84</v>
      </c>
      <c r="G174" s="131">
        <f t="shared" ref="G174:G203" si="35">EOMONTH(E174,1)</f>
        <v>44957</v>
      </c>
      <c r="H174" s="121">
        <f>+[40]ES!$E$28</f>
        <v>134738.99</v>
      </c>
      <c r="I174" s="123">
        <f t="shared" ref="I174:I203" si="36">K174</f>
        <v>53859.780000000203</v>
      </c>
      <c r="J174" s="121">
        <f t="shared" ref="J174:J185" si="37">+F174+I174</f>
        <v>218003.6200000002</v>
      </c>
      <c r="K174" s="121">
        <f t="shared" ref="K174:K185" si="38">J171-H174</f>
        <v>53859.780000000203</v>
      </c>
      <c r="N174" s="129"/>
      <c r="O174" s="129"/>
      <c r="P174" s="129"/>
    </row>
    <row r="175" spans="1:16" s="120" customFormat="1" ht="18" hidden="1" customHeight="1" outlineLevel="1" x14ac:dyDescent="0.25">
      <c r="A175" s="108">
        <f t="shared" si="28"/>
        <v>40</v>
      </c>
      <c r="B175" s="131">
        <f t="shared" ref="B175:B203" si="39">EOMONTH(B174,1)</f>
        <v>44895</v>
      </c>
      <c r="C175" s="140">
        <v>4.0698829999999998E-2</v>
      </c>
      <c r="D175" s="139">
        <f t="shared" ref="D175:D203" si="40">EOMONTH(D174,1)</f>
        <v>44926</v>
      </c>
      <c r="E175" s="131">
        <f t="shared" ref="E175:E203" si="41">EOMONTH(E174,1)</f>
        <v>44957</v>
      </c>
      <c r="F175" s="121">
        <f>+[41]ES!$J$10</f>
        <v>257052.95</v>
      </c>
      <c r="G175" s="131">
        <f t="shared" si="35"/>
        <v>44985</v>
      </c>
      <c r="H175" s="121">
        <f>+[41]ES!$E$28</f>
        <v>111108.53</v>
      </c>
      <c r="I175" s="123">
        <f t="shared" si="36"/>
        <v>26891.47</v>
      </c>
      <c r="J175" s="121">
        <f t="shared" si="37"/>
        <v>283944.42000000004</v>
      </c>
      <c r="K175" s="121">
        <f t="shared" si="38"/>
        <v>26891.47</v>
      </c>
      <c r="N175" s="129"/>
      <c r="O175" s="129"/>
      <c r="P175" s="129"/>
    </row>
    <row r="176" spans="1:16" s="120" customFormat="1" ht="18" hidden="1" customHeight="1" outlineLevel="1" x14ac:dyDescent="0.25">
      <c r="A176" s="108">
        <f t="shared" si="28"/>
        <v>41</v>
      </c>
      <c r="B176" s="131">
        <f t="shared" si="39"/>
        <v>44926</v>
      </c>
      <c r="C176" s="140">
        <v>0.10631458000000001</v>
      </c>
      <c r="D176" s="139">
        <f t="shared" si="40"/>
        <v>44957</v>
      </c>
      <c r="E176" s="131">
        <f t="shared" si="41"/>
        <v>44985</v>
      </c>
      <c r="F176" s="121">
        <f>+[42]ES!$J$10</f>
        <v>541939.52</v>
      </c>
      <c r="G176" s="131">
        <f t="shared" si="35"/>
        <v>45016</v>
      </c>
      <c r="H176" s="121">
        <f>+[42]ES!$E$28</f>
        <v>275534.94</v>
      </c>
      <c r="I176" s="123">
        <f t="shared" si="36"/>
        <v>-62720.769999999902</v>
      </c>
      <c r="J176" s="121">
        <f t="shared" si="37"/>
        <v>479218.75000000012</v>
      </c>
      <c r="K176" s="121">
        <f t="shared" si="38"/>
        <v>-62720.769999999902</v>
      </c>
      <c r="N176" s="129"/>
      <c r="O176" s="129"/>
      <c r="P176" s="129"/>
    </row>
    <row r="177" spans="1:16" s="120" customFormat="1" ht="18" hidden="1" customHeight="1" outlineLevel="1" x14ac:dyDescent="0.25">
      <c r="A177" s="108">
        <f t="shared" si="28"/>
        <v>42</v>
      </c>
      <c r="B177" s="131">
        <f t="shared" si="39"/>
        <v>44957</v>
      </c>
      <c r="C177" s="140">
        <v>5.0254630000000002E-2</v>
      </c>
      <c r="D177" s="139">
        <f t="shared" si="40"/>
        <v>44985</v>
      </c>
      <c r="E177" s="131">
        <f t="shared" si="41"/>
        <v>45016</v>
      </c>
      <c r="F177" s="121">
        <f>+[43]ES!$J$10</f>
        <v>209532.46</v>
      </c>
      <c r="G177" s="131">
        <f t="shared" si="35"/>
        <v>45046</v>
      </c>
      <c r="H177" s="121">
        <f>+[43]ES!$E$28</f>
        <v>270319.28000000003</v>
      </c>
      <c r="I177" s="123">
        <f t="shared" si="36"/>
        <v>-52315.659999999829</v>
      </c>
      <c r="J177" s="121">
        <f t="shared" si="37"/>
        <v>157216.80000000016</v>
      </c>
      <c r="K177" s="121">
        <f t="shared" si="38"/>
        <v>-52315.659999999829</v>
      </c>
      <c r="N177" s="129"/>
      <c r="O177" s="129"/>
      <c r="P177" s="129"/>
    </row>
    <row r="178" spans="1:16" s="120" customFormat="1" ht="18" hidden="1" customHeight="1" outlineLevel="1" x14ac:dyDescent="0.25">
      <c r="A178" s="108">
        <f t="shared" si="28"/>
        <v>43</v>
      </c>
      <c r="B178" s="131">
        <f t="shared" si="39"/>
        <v>44985</v>
      </c>
      <c r="C178" s="140">
        <v>4.6768179999999999E-2</v>
      </c>
      <c r="D178" s="139">
        <f t="shared" si="40"/>
        <v>45016</v>
      </c>
      <c r="E178" s="131">
        <f t="shared" si="41"/>
        <v>45046</v>
      </c>
      <c r="F178" s="121">
        <f>+[44]ES!$J$10</f>
        <v>173551.45</v>
      </c>
      <c r="G178" s="131">
        <f t="shared" si="35"/>
        <v>45077</v>
      </c>
      <c r="H178" s="121">
        <f>+[44]ES!$E$28</f>
        <v>255922.58</v>
      </c>
      <c r="I178" s="123">
        <f t="shared" si="36"/>
        <v>28021.840000000055</v>
      </c>
      <c r="J178" s="121">
        <f t="shared" si="37"/>
        <v>201573.29000000007</v>
      </c>
      <c r="K178" s="121">
        <f t="shared" si="38"/>
        <v>28021.840000000055</v>
      </c>
      <c r="N178" s="129"/>
      <c r="O178" s="129"/>
      <c r="P178" s="129"/>
    </row>
    <row r="179" spans="1:16" s="120" customFormat="1" ht="18" hidden="1" customHeight="1" outlineLevel="1" x14ac:dyDescent="0.25">
      <c r="A179" s="108">
        <f t="shared" si="28"/>
        <v>44</v>
      </c>
      <c r="B179" s="131">
        <f t="shared" si="39"/>
        <v>45016</v>
      </c>
      <c r="C179" s="140">
        <v>6.4901299999999995E-2</v>
      </c>
      <c r="D179" s="139">
        <f t="shared" si="40"/>
        <v>45046</v>
      </c>
      <c r="E179" s="131">
        <f t="shared" si="41"/>
        <v>45077</v>
      </c>
      <c r="F179" s="121">
        <f>+[45]ES!$J$10</f>
        <v>197732.81</v>
      </c>
      <c r="G179" s="131">
        <f t="shared" si="35"/>
        <v>45107</v>
      </c>
      <c r="H179" s="121">
        <f>+[45]ES!$E$28</f>
        <v>399624.01</v>
      </c>
      <c r="I179" s="123">
        <f t="shared" si="36"/>
        <v>79594.740000000107</v>
      </c>
      <c r="J179" s="121">
        <f t="shared" si="37"/>
        <v>277327.5500000001</v>
      </c>
      <c r="K179" s="121">
        <f t="shared" si="38"/>
        <v>79594.740000000107</v>
      </c>
      <c r="N179" s="129"/>
      <c r="O179" s="129"/>
      <c r="P179" s="129"/>
    </row>
    <row r="180" spans="1:16" s="120" customFormat="1" ht="18" hidden="1" customHeight="1" outlineLevel="1" x14ac:dyDescent="0.25">
      <c r="A180" s="108">
        <f t="shared" si="28"/>
        <v>45</v>
      </c>
      <c r="B180" s="131">
        <f t="shared" si="39"/>
        <v>45046</v>
      </c>
      <c r="C180" s="140">
        <v>6.2863630000000004E-2</v>
      </c>
      <c r="D180" s="139">
        <f t="shared" si="40"/>
        <v>45077</v>
      </c>
      <c r="E180" s="131">
        <f t="shared" si="41"/>
        <v>45107</v>
      </c>
      <c r="F180" s="121">
        <f>+[46]ES!$J$10</f>
        <v>251339.31</v>
      </c>
      <c r="G180" s="131">
        <f t="shared" si="35"/>
        <v>45138</v>
      </c>
      <c r="H180" s="121">
        <f>+[46]ES!$E$28</f>
        <v>141733.53</v>
      </c>
      <c r="I180" s="123">
        <f t="shared" si="36"/>
        <v>15483.270000000164</v>
      </c>
      <c r="J180" s="121">
        <f t="shared" si="37"/>
        <v>266822.58000000019</v>
      </c>
      <c r="K180" s="121">
        <f t="shared" si="38"/>
        <v>15483.270000000164</v>
      </c>
      <c r="N180" s="129"/>
      <c r="O180" s="129"/>
      <c r="P180" s="129"/>
    </row>
    <row r="181" spans="1:16" s="120" customFormat="1" ht="18" hidden="1" customHeight="1" outlineLevel="1" x14ac:dyDescent="0.25">
      <c r="A181" s="108">
        <f t="shared" si="28"/>
        <v>46</v>
      </c>
      <c r="B181" s="131">
        <f t="shared" si="39"/>
        <v>45077</v>
      </c>
      <c r="C181" s="140">
        <v>8.1644729999999999E-2</v>
      </c>
      <c r="D181" s="139">
        <f t="shared" si="40"/>
        <v>45107</v>
      </c>
      <c r="E181" s="131">
        <f t="shared" si="41"/>
        <v>45138</v>
      </c>
      <c r="F181" s="121">
        <f>+[47]ES!$J$10</f>
        <v>384539.92</v>
      </c>
      <c r="G181" s="131">
        <f t="shared" si="35"/>
        <v>45169</v>
      </c>
      <c r="H181" s="121">
        <f>+[47]ES!$E$28</f>
        <v>177261.03</v>
      </c>
      <c r="I181" s="123">
        <f t="shared" si="36"/>
        <v>24312.260000000068</v>
      </c>
      <c r="J181" s="121">
        <f t="shared" si="37"/>
        <v>408852.18000000005</v>
      </c>
      <c r="K181" s="121">
        <f t="shared" si="38"/>
        <v>24312.260000000068</v>
      </c>
      <c r="N181" s="129"/>
      <c r="O181" s="129"/>
      <c r="P181" s="129"/>
    </row>
    <row r="182" spans="1:16" s="120" customFormat="1" ht="18" customHeight="1" collapsed="1" x14ac:dyDescent="0.25">
      <c r="A182" s="108">
        <v>1</v>
      </c>
      <c r="B182" s="131">
        <f t="shared" si="39"/>
        <v>45107</v>
      </c>
      <c r="C182" s="140">
        <v>7.4411459999999999E-2</v>
      </c>
      <c r="D182" s="139">
        <f t="shared" si="40"/>
        <v>45138</v>
      </c>
      <c r="E182" s="131">
        <f t="shared" si="41"/>
        <v>45169</v>
      </c>
      <c r="F182" s="121">
        <f>+[48]ES!$J$10</f>
        <v>427110.88</v>
      </c>
      <c r="G182" s="131">
        <f t="shared" si="35"/>
        <v>45199</v>
      </c>
      <c r="H182" s="121">
        <f>+[48]ES!$E$28</f>
        <v>362893.36</v>
      </c>
      <c r="I182" s="123">
        <f t="shared" si="36"/>
        <v>-85565.809999999881</v>
      </c>
      <c r="J182" s="121">
        <f t="shared" si="37"/>
        <v>341545.07000000012</v>
      </c>
      <c r="K182" s="121">
        <f t="shared" si="38"/>
        <v>-85565.809999999881</v>
      </c>
      <c r="N182" s="129"/>
      <c r="O182" s="129"/>
      <c r="P182" s="129"/>
    </row>
    <row r="183" spans="1:16" s="120" customFormat="1" ht="18" customHeight="1" x14ac:dyDescent="0.25">
      <c r="A183" s="108">
        <f t="shared" si="28"/>
        <v>2</v>
      </c>
      <c r="B183" s="131">
        <f t="shared" si="39"/>
        <v>45138</v>
      </c>
      <c r="C183" s="140">
        <v>7.5493160000000004E-2</v>
      </c>
      <c r="D183" s="139">
        <f t="shared" si="40"/>
        <v>45169</v>
      </c>
      <c r="E183" s="131">
        <f t="shared" si="41"/>
        <v>45199</v>
      </c>
      <c r="F183" s="121">
        <f>+[49]ES!$J$10</f>
        <v>411132.35</v>
      </c>
      <c r="G183" s="131">
        <f t="shared" si="35"/>
        <v>45230</v>
      </c>
      <c r="H183" s="121">
        <f>+[49]ES!$E$28</f>
        <v>339671.25</v>
      </c>
      <c r="I183" s="123">
        <f t="shared" si="36"/>
        <v>-72848.669999999809</v>
      </c>
      <c r="J183" s="121">
        <f t="shared" si="37"/>
        <v>338283.68000000017</v>
      </c>
      <c r="K183" s="121">
        <f t="shared" si="38"/>
        <v>-72848.669999999809</v>
      </c>
      <c r="N183" s="129"/>
      <c r="O183" s="129"/>
      <c r="P183" s="129"/>
    </row>
    <row r="184" spans="1:16" s="120" customFormat="1" ht="18" customHeight="1" x14ac:dyDescent="0.25">
      <c r="A184" s="108">
        <f t="shared" si="28"/>
        <v>3</v>
      </c>
      <c r="B184" s="131">
        <f t="shared" si="39"/>
        <v>45169</v>
      </c>
      <c r="C184" s="140">
        <v>6.5876210000000004E-2</v>
      </c>
      <c r="D184" s="139">
        <f t="shared" si="40"/>
        <v>45199</v>
      </c>
      <c r="E184" s="131">
        <f t="shared" si="41"/>
        <v>45230</v>
      </c>
      <c r="F184" s="121">
        <f>+[50]ES!$J$10</f>
        <v>298035.76</v>
      </c>
      <c r="G184" s="131">
        <f t="shared" si="35"/>
        <v>45260</v>
      </c>
      <c r="H184" s="121">
        <f>+[50]ES!$E$28</f>
        <v>463857.41</v>
      </c>
      <c r="I184" s="123">
        <f t="shared" si="36"/>
        <v>-55005.229999999923</v>
      </c>
      <c r="J184" s="121">
        <f t="shared" si="37"/>
        <v>243030.53000000009</v>
      </c>
      <c r="K184" s="121">
        <f t="shared" si="38"/>
        <v>-55005.229999999923</v>
      </c>
      <c r="N184" s="129"/>
      <c r="O184" s="129"/>
      <c r="P184" s="129"/>
    </row>
    <row r="185" spans="1:16" s="120" customFormat="1" ht="18" customHeight="1" x14ac:dyDescent="0.25">
      <c r="A185" s="108">
        <f t="shared" si="28"/>
        <v>4</v>
      </c>
      <c r="B185" s="131">
        <f t="shared" si="39"/>
        <v>45199</v>
      </c>
      <c r="C185" s="140">
        <v>6.4929429999999996E-2</v>
      </c>
      <c r="D185" s="139">
        <f t="shared" si="40"/>
        <v>45230</v>
      </c>
      <c r="E185" s="131">
        <f t="shared" si="41"/>
        <v>45260</v>
      </c>
      <c r="F185" s="121">
        <f>+[51]ES!$J$10</f>
        <v>252691.08</v>
      </c>
      <c r="G185" s="131">
        <f t="shared" si="35"/>
        <v>45291</v>
      </c>
      <c r="H185" s="121">
        <f>+[51]ES!$E$28</f>
        <v>315703</v>
      </c>
      <c r="I185" s="123">
        <f t="shared" si="36"/>
        <v>25842.070000000123</v>
      </c>
      <c r="J185" s="121">
        <f t="shared" si="37"/>
        <v>278533.15000000014</v>
      </c>
      <c r="K185" s="121">
        <f t="shared" si="38"/>
        <v>25842.070000000123</v>
      </c>
      <c r="N185" s="129"/>
      <c r="O185" s="129"/>
      <c r="P185" s="129"/>
    </row>
    <row r="186" spans="1:16" s="120" customFormat="1" ht="18" customHeight="1" x14ac:dyDescent="0.25">
      <c r="A186" s="108">
        <f t="shared" si="28"/>
        <v>5</v>
      </c>
      <c r="B186" s="131">
        <f t="shared" si="39"/>
        <v>45230</v>
      </c>
      <c r="C186" s="140">
        <v>7.7310950000000003E-2</v>
      </c>
      <c r="D186" s="139">
        <f t="shared" si="40"/>
        <v>45260</v>
      </c>
      <c r="E186" s="131">
        <f t="shared" si="41"/>
        <v>45291</v>
      </c>
      <c r="F186" s="121">
        <f>+[52]ES!$J$10</f>
        <v>337666.53</v>
      </c>
      <c r="G186" s="131">
        <f t="shared" si="35"/>
        <v>45322</v>
      </c>
      <c r="H186" s="121">
        <f>+[52]ES!$E$28</f>
        <v>253882.98</v>
      </c>
      <c r="I186" s="123">
        <f t="shared" si="36"/>
        <v>84400.700000000157</v>
      </c>
      <c r="J186" s="121">
        <f t="shared" ref="J186:J203" si="42">+F186+I186</f>
        <v>422067.23000000021</v>
      </c>
      <c r="K186" s="121">
        <f t="shared" ref="K186:K203" si="43">J183-H186</f>
        <v>84400.700000000157</v>
      </c>
      <c r="N186" s="129"/>
      <c r="O186" s="129"/>
      <c r="P186" s="129"/>
    </row>
    <row r="187" spans="1:16" s="120" customFormat="1" ht="18" customHeight="1" x14ac:dyDescent="0.25">
      <c r="A187" s="108">
        <f t="shared" si="28"/>
        <v>6</v>
      </c>
      <c r="B187" s="131">
        <f t="shared" si="39"/>
        <v>45260</v>
      </c>
      <c r="C187" s="140">
        <v>7.9029470000000004E-2</v>
      </c>
      <c r="D187" s="139">
        <f t="shared" si="40"/>
        <v>45291</v>
      </c>
      <c r="E187" s="131">
        <f t="shared" si="41"/>
        <v>45322</v>
      </c>
      <c r="F187" s="121">
        <f>+[53]ES!$J$10</f>
        <v>370357.72</v>
      </c>
      <c r="G187" s="131">
        <f t="shared" si="35"/>
        <v>45351</v>
      </c>
      <c r="H187" s="121">
        <f>+[53]ES!$E$28</f>
        <v>201436.55</v>
      </c>
      <c r="I187" s="123">
        <f t="shared" si="36"/>
        <v>41593.980000000098</v>
      </c>
      <c r="J187" s="121">
        <f t="shared" si="42"/>
        <v>411951.70000000007</v>
      </c>
      <c r="K187" s="121">
        <f t="shared" si="43"/>
        <v>41593.980000000098</v>
      </c>
      <c r="N187" s="129"/>
      <c r="O187" s="129"/>
      <c r="P187" s="129"/>
    </row>
    <row r="188" spans="1:16" s="120" customFormat="1" ht="18" customHeight="1" x14ac:dyDescent="0.25">
      <c r="A188" s="108">
        <f t="shared" si="28"/>
        <v>7</v>
      </c>
      <c r="B188" s="131">
        <f t="shared" si="39"/>
        <v>45291</v>
      </c>
      <c r="C188" s="140">
        <v>8.48048E-2</v>
      </c>
      <c r="D188" s="139">
        <f t="shared" si="40"/>
        <v>45322</v>
      </c>
      <c r="E188" s="131">
        <f t="shared" si="41"/>
        <v>45351</v>
      </c>
      <c r="F188" s="121">
        <f>+[54]ES!$J$10</f>
        <v>504687.45</v>
      </c>
      <c r="G188" s="131">
        <f t="shared" si="35"/>
        <v>45382</v>
      </c>
      <c r="H188" s="121">
        <f>+[54]ES!$E$28</f>
        <v>312448.69</v>
      </c>
      <c r="I188" s="123">
        <f t="shared" si="36"/>
        <v>-33915.539999999863</v>
      </c>
      <c r="J188" s="121">
        <f t="shared" si="42"/>
        <v>470771.91000000015</v>
      </c>
      <c r="K188" s="121">
        <f t="shared" si="43"/>
        <v>-33915.539999999863</v>
      </c>
      <c r="N188" s="129"/>
      <c r="O188" s="129"/>
      <c r="P188" s="129"/>
    </row>
    <row r="189" spans="1:16" s="120" customFormat="1" ht="18" customHeight="1" x14ac:dyDescent="0.25">
      <c r="A189" s="108">
        <f t="shared" si="28"/>
        <v>8</v>
      </c>
      <c r="B189" s="131">
        <f t="shared" si="39"/>
        <v>45322</v>
      </c>
      <c r="C189" s="140">
        <v>7.1640460000000003E-2</v>
      </c>
      <c r="D189" s="139">
        <f t="shared" si="40"/>
        <v>45351</v>
      </c>
      <c r="E189" s="131">
        <f t="shared" si="41"/>
        <v>45382</v>
      </c>
      <c r="F189" s="121">
        <f>+[55]ES!$J$10</f>
        <v>285368.06</v>
      </c>
      <c r="G189" s="131">
        <f t="shared" si="35"/>
        <v>45412</v>
      </c>
      <c r="H189" s="121">
        <f>+[55]ES!$E$28</f>
        <v>546432.68999999994</v>
      </c>
      <c r="I189" s="123">
        <f t="shared" si="36"/>
        <v>-124365.45999999973</v>
      </c>
      <c r="J189" s="121">
        <f t="shared" si="42"/>
        <v>161002.60000000027</v>
      </c>
      <c r="K189" s="121">
        <f t="shared" si="43"/>
        <v>-124365.45999999973</v>
      </c>
      <c r="N189" s="129"/>
      <c r="O189" s="129"/>
      <c r="P189" s="129"/>
    </row>
    <row r="190" spans="1:16" s="120" customFormat="1" ht="18" customHeight="1" x14ac:dyDescent="0.25">
      <c r="A190" s="108">
        <f t="shared" si="28"/>
        <v>9</v>
      </c>
      <c r="B190" s="131">
        <f t="shared" si="39"/>
        <v>45351</v>
      </c>
      <c r="C190" s="140">
        <v>5.6475690000000002E-2</v>
      </c>
      <c r="D190" s="139">
        <f t="shared" si="40"/>
        <v>45382</v>
      </c>
      <c r="E190" s="131">
        <f t="shared" si="41"/>
        <v>45412</v>
      </c>
      <c r="F190" s="121">
        <f>+[56]ES!$J$10</f>
        <v>235020.77</v>
      </c>
      <c r="G190" s="131">
        <f t="shared" si="35"/>
        <v>45443</v>
      </c>
      <c r="H190" s="121">
        <f>+[56]ES!$E$28</f>
        <v>447504.66</v>
      </c>
      <c r="I190" s="123">
        <f t="shared" si="36"/>
        <v>-35552.959999999905</v>
      </c>
      <c r="J190" s="121">
        <f t="shared" si="42"/>
        <v>199467.81000000008</v>
      </c>
      <c r="K190" s="121">
        <f t="shared" si="43"/>
        <v>-35552.959999999905</v>
      </c>
      <c r="N190" s="129"/>
      <c r="O190" s="129"/>
      <c r="P190" s="129"/>
    </row>
    <row r="191" spans="1:16" s="120" customFormat="1" ht="18" customHeight="1" x14ac:dyDescent="0.25">
      <c r="A191" s="108">
        <f t="shared" si="28"/>
        <v>10</v>
      </c>
      <c r="B191" s="131">
        <f t="shared" si="39"/>
        <v>45382</v>
      </c>
      <c r="C191" s="140">
        <v>7.6254279999999994E-2</v>
      </c>
      <c r="D191" s="139">
        <f t="shared" si="40"/>
        <v>45412</v>
      </c>
      <c r="E191" s="131">
        <f t="shared" si="41"/>
        <v>45443</v>
      </c>
      <c r="F191" s="121">
        <f>+[57]ES!$J$10</f>
        <v>285655.13</v>
      </c>
      <c r="G191" s="131">
        <f t="shared" si="35"/>
        <v>45473</v>
      </c>
      <c r="H191" s="121">
        <f>+[57]ES!$E$28</f>
        <v>319431.76</v>
      </c>
      <c r="I191" s="123">
        <f t="shared" si="36"/>
        <v>151340.15000000014</v>
      </c>
      <c r="J191" s="121">
        <f t="shared" si="42"/>
        <v>436995.28000000014</v>
      </c>
      <c r="K191" s="121">
        <f t="shared" si="43"/>
        <v>151340.15000000014</v>
      </c>
      <c r="N191" s="129"/>
      <c r="O191" s="129"/>
      <c r="P191" s="129"/>
    </row>
    <row r="192" spans="1:16" s="120" customFormat="1" ht="18" customHeight="1" x14ac:dyDescent="0.25">
      <c r="A192" s="108">
        <f t="shared" si="28"/>
        <v>11</v>
      </c>
      <c r="B192" s="131">
        <f t="shared" si="39"/>
        <v>45412</v>
      </c>
      <c r="C192" s="140">
        <v>7.5138930000000007E-2</v>
      </c>
      <c r="D192" s="139">
        <f t="shared" si="40"/>
        <v>45443</v>
      </c>
      <c r="E192" s="131">
        <f t="shared" si="41"/>
        <v>45473</v>
      </c>
      <c r="F192" s="121">
        <f>+[58]ES!$J$10</f>
        <v>305588.76</v>
      </c>
      <c r="G192" s="131">
        <f t="shared" si="35"/>
        <v>45504</v>
      </c>
      <c r="H192" s="121">
        <f>+[58]ES!$E$28</f>
        <v>149197.67000000001</v>
      </c>
      <c r="I192" s="123">
        <f t="shared" si="36"/>
        <v>11804.930000000255</v>
      </c>
      <c r="J192" s="121">
        <f t="shared" si="42"/>
        <v>317393.69000000029</v>
      </c>
      <c r="K192" s="121">
        <f t="shared" si="43"/>
        <v>11804.930000000255</v>
      </c>
      <c r="N192" s="129"/>
      <c r="O192" s="129"/>
      <c r="P192" s="129"/>
    </row>
    <row r="193" spans="1:16" s="120" customFormat="1" ht="18" customHeight="1" x14ac:dyDescent="0.25">
      <c r="A193" s="108">
        <f t="shared" si="28"/>
        <v>12</v>
      </c>
      <c r="B193" s="131">
        <f t="shared" si="39"/>
        <v>45443</v>
      </c>
      <c r="C193" s="140">
        <v>7.7712069999999994E-2</v>
      </c>
      <c r="D193" s="139">
        <f t="shared" si="40"/>
        <v>45473</v>
      </c>
      <c r="E193" s="131">
        <f t="shared" si="41"/>
        <v>45504</v>
      </c>
      <c r="F193" s="121">
        <f>+[59]ES!$J$10</f>
        <v>387644.66</v>
      </c>
      <c r="G193" s="131">
        <f t="shared" si="35"/>
        <v>45535</v>
      </c>
      <c r="H193" s="121">
        <f>+[59]ES!$E$28</f>
        <v>202232.11</v>
      </c>
      <c r="I193" s="123">
        <f t="shared" si="36"/>
        <v>-2764.299999999901</v>
      </c>
      <c r="J193" s="121">
        <f t="shared" si="42"/>
        <v>384880.3600000001</v>
      </c>
      <c r="K193" s="121">
        <f t="shared" si="43"/>
        <v>-2764.299999999901</v>
      </c>
      <c r="N193" s="129"/>
      <c r="O193" s="129"/>
      <c r="P193" s="129"/>
    </row>
    <row r="194" spans="1:16" s="120" customFormat="1" ht="18" customHeight="1" x14ac:dyDescent="0.25">
      <c r="A194" s="108">
        <f t="shared" si="28"/>
        <v>13</v>
      </c>
      <c r="B194" s="131">
        <f t="shared" si="39"/>
        <v>45473</v>
      </c>
      <c r="C194" s="140">
        <v>8.6303729999999995E-2</v>
      </c>
      <c r="D194" s="139">
        <f t="shared" si="40"/>
        <v>45504</v>
      </c>
      <c r="E194" s="131">
        <f t="shared" si="41"/>
        <v>45535</v>
      </c>
      <c r="F194" s="121">
        <f>+[60]ES!$J$10</f>
        <v>473253.22</v>
      </c>
      <c r="G194" s="131">
        <f t="shared" si="35"/>
        <v>45565</v>
      </c>
      <c r="H194" s="121">
        <f>+[60]ES!$E$28</f>
        <v>550647.77</v>
      </c>
      <c r="I194" s="123">
        <f t="shared" si="36"/>
        <v>-113652.48999999987</v>
      </c>
      <c r="J194" s="121">
        <f t="shared" si="42"/>
        <v>359600.7300000001</v>
      </c>
      <c r="K194" s="121">
        <f t="shared" si="43"/>
        <v>-113652.48999999987</v>
      </c>
      <c r="N194" s="129"/>
      <c r="O194" s="129"/>
      <c r="P194" s="129"/>
    </row>
    <row r="195" spans="1:16" s="120" customFormat="1" ht="18" customHeight="1" x14ac:dyDescent="0.25">
      <c r="A195" s="108">
        <f t="shared" si="28"/>
        <v>14</v>
      </c>
      <c r="B195" s="131">
        <f t="shared" si="39"/>
        <v>45504</v>
      </c>
      <c r="C195" s="140">
        <v>7.8004019999999993E-2</v>
      </c>
      <c r="D195" s="139">
        <f t="shared" si="40"/>
        <v>45535</v>
      </c>
      <c r="E195" s="131">
        <f t="shared" si="41"/>
        <v>45565</v>
      </c>
      <c r="F195" s="121">
        <f>+[61]ES!$J$10</f>
        <v>450351.69</v>
      </c>
      <c r="G195" s="131">
        <f t="shared" si="35"/>
        <v>45596</v>
      </c>
      <c r="H195" s="121">
        <f>+[61]ES!$E$28</f>
        <v>407906.18</v>
      </c>
      <c r="I195" s="123">
        <f t="shared" si="36"/>
        <v>-90512.4899999997</v>
      </c>
      <c r="J195" s="121">
        <f t="shared" si="42"/>
        <v>359839.2000000003</v>
      </c>
      <c r="K195" s="121">
        <f t="shared" si="43"/>
        <v>-90512.4899999997</v>
      </c>
      <c r="N195" s="129"/>
      <c r="O195" s="129"/>
      <c r="P195" s="129"/>
    </row>
    <row r="196" spans="1:16" s="120" customFormat="1" ht="18" customHeight="1" x14ac:dyDescent="0.25">
      <c r="A196" s="108">
        <f t="shared" si="28"/>
        <v>15</v>
      </c>
      <c r="B196" s="131">
        <f t="shared" si="39"/>
        <v>45535</v>
      </c>
      <c r="C196" s="140">
        <v>6.874218E-2</v>
      </c>
      <c r="D196" s="139">
        <f t="shared" si="40"/>
        <v>45565</v>
      </c>
      <c r="E196" s="131">
        <f t="shared" si="41"/>
        <v>45596</v>
      </c>
      <c r="F196" s="121">
        <f>+[62]ES!$J$10</f>
        <v>348433.91</v>
      </c>
      <c r="G196" s="131">
        <f t="shared" si="35"/>
        <v>45626</v>
      </c>
      <c r="H196" s="121">
        <f>+[62]ES!$E$28</f>
        <v>424960.99</v>
      </c>
      <c r="I196" s="123">
        <f t="shared" si="36"/>
        <v>-40080.629999999888</v>
      </c>
      <c r="J196" s="121">
        <f t="shared" si="42"/>
        <v>308353.28000000009</v>
      </c>
      <c r="K196" s="121">
        <f t="shared" si="43"/>
        <v>-40080.629999999888</v>
      </c>
      <c r="N196" s="129"/>
      <c r="O196" s="129"/>
      <c r="P196" s="129"/>
    </row>
    <row r="197" spans="1:16" s="120" customFormat="1" ht="18" customHeight="1" x14ac:dyDescent="0.25">
      <c r="A197" s="108">
        <f t="shared" si="28"/>
        <v>16</v>
      </c>
      <c r="B197" s="131">
        <f t="shared" si="39"/>
        <v>45565</v>
      </c>
      <c r="C197" s="140">
        <v>6.7934670000000003E-2</v>
      </c>
      <c r="D197" s="139">
        <f t="shared" si="40"/>
        <v>45596</v>
      </c>
      <c r="E197" s="131">
        <f t="shared" si="41"/>
        <v>45626</v>
      </c>
      <c r="F197" s="121">
        <f>+[63]ES!$J$10</f>
        <v>289970.05</v>
      </c>
      <c r="G197" s="131">
        <f t="shared" si="35"/>
        <v>45657</v>
      </c>
      <c r="H197" s="121">
        <f>+[63]ES!$E$28</f>
        <v>325459.84999999998</v>
      </c>
      <c r="I197" s="123">
        <f t="shared" si="36"/>
        <v>34140.880000000121</v>
      </c>
      <c r="J197" s="121">
        <f t="shared" si="42"/>
        <v>324110.93000000011</v>
      </c>
      <c r="K197" s="121">
        <f t="shared" si="43"/>
        <v>34140.880000000121</v>
      </c>
      <c r="N197" s="129"/>
      <c r="O197" s="129"/>
      <c r="P197" s="129"/>
    </row>
    <row r="198" spans="1:16" s="120" customFormat="1" ht="18" customHeight="1" x14ac:dyDescent="0.25">
      <c r="A198" s="108">
        <f t="shared" si="28"/>
        <v>17</v>
      </c>
      <c r="B198" s="131">
        <f t="shared" si="39"/>
        <v>45596</v>
      </c>
      <c r="C198" s="140">
        <v>6.7684969999999997E-2</v>
      </c>
      <c r="D198" s="139">
        <f t="shared" si="40"/>
        <v>45626</v>
      </c>
      <c r="E198" s="131">
        <f t="shared" si="41"/>
        <v>45657</v>
      </c>
      <c r="F198" s="121">
        <f>+[64]ES!$J$10</f>
        <v>272985.75</v>
      </c>
      <c r="G198" s="131">
        <f t="shared" si="35"/>
        <v>45688</v>
      </c>
      <c r="H198" s="121">
        <f>+[64]ES!$E$28</f>
        <v>273839.24</v>
      </c>
      <c r="I198" s="123">
        <f t="shared" si="36"/>
        <v>85999.960000000312</v>
      </c>
      <c r="J198" s="121">
        <f t="shared" si="42"/>
        <v>358985.71000000031</v>
      </c>
      <c r="K198" s="121">
        <f t="shared" si="43"/>
        <v>85999.960000000312</v>
      </c>
      <c r="N198" s="129"/>
      <c r="O198" s="129"/>
      <c r="P198" s="129"/>
    </row>
    <row r="199" spans="1:16" s="120" customFormat="1" ht="18" customHeight="1" x14ac:dyDescent="0.25">
      <c r="A199" s="108">
        <f t="shared" si="28"/>
        <v>18</v>
      </c>
      <c r="B199" s="131">
        <f t="shared" si="39"/>
        <v>45626</v>
      </c>
      <c r="C199" s="140">
        <v>7.9953739999999995E-2</v>
      </c>
      <c r="D199" s="139">
        <f t="shared" si="40"/>
        <v>45657</v>
      </c>
      <c r="E199" s="131">
        <f t="shared" si="41"/>
        <v>45688</v>
      </c>
      <c r="F199" s="121">
        <f>+[65]ES!$J$10</f>
        <v>412420.86</v>
      </c>
      <c r="G199" s="131">
        <f t="shared" si="35"/>
        <v>45716</v>
      </c>
      <c r="H199" s="121">
        <f>+[65]ES!$E$28</f>
        <v>241299.34</v>
      </c>
      <c r="I199" s="123">
        <f t="shared" si="36"/>
        <v>67053.94000000009</v>
      </c>
      <c r="J199" s="121">
        <f t="shared" si="42"/>
        <v>479474.80000000005</v>
      </c>
      <c r="K199" s="121">
        <f t="shared" si="43"/>
        <v>67053.94000000009</v>
      </c>
      <c r="N199" s="129"/>
      <c r="O199" s="129"/>
      <c r="P199" s="129"/>
    </row>
    <row r="200" spans="1:16" s="120" customFormat="1" ht="18" customHeight="1" x14ac:dyDescent="0.25">
      <c r="A200" s="108">
        <f t="shared" si="28"/>
        <v>19</v>
      </c>
      <c r="B200" s="131">
        <f t="shared" si="39"/>
        <v>45657</v>
      </c>
      <c r="C200" s="140">
        <v>7.5819269999999994E-2</v>
      </c>
      <c r="D200" s="139">
        <f t="shared" si="40"/>
        <v>45688</v>
      </c>
      <c r="E200" s="131">
        <f t="shared" si="41"/>
        <v>45716</v>
      </c>
      <c r="F200" s="121">
        <f>+[66]ES!$J$10</f>
        <v>452977.7</v>
      </c>
      <c r="G200" s="131">
        <f t="shared" si="35"/>
        <v>45747</v>
      </c>
      <c r="H200" s="121">
        <f>+[66]ES!$E$28</f>
        <v>373841.65</v>
      </c>
      <c r="I200" s="123">
        <f t="shared" si="36"/>
        <v>-49730.719999999914</v>
      </c>
      <c r="J200" s="121">
        <f t="shared" si="42"/>
        <v>403246.9800000001</v>
      </c>
      <c r="K200" s="121">
        <f t="shared" si="43"/>
        <v>-49730.719999999914</v>
      </c>
      <c r="N200" s="129"/>
      <c r="O200" s="129"/>
      <c r="P200" s="129"/>
    </row>
    <row r="201" spans="1:16" s="120" customFormat="1" ht="18" customHeight="1" x14ac:dyDescent="0.25">
      <c r="A201" s="108">
        <f t="shared" si="28"/>
        <v>20</v>
      </c>
      <c r="B201" s="131">
        <f t="shared" si="39"/>
        <v>45688</v>
      </c>
      <c r="C201" s="140">
        <v>7.1409169999999994E-2</v>
      </c>
      <c r="D201" s="139">
        <f t="shared" si="40"/>
        <v>45716</v>
      </c>
      <c r="E201" s="131">
        <f t="shared" si="41"/>
        <v>45747</v>
      </c>
      <c r="F201" s="121">
        <f>+[67]ES!$J$10</f>
        <v>414035.19</v>
      </c>
      <c r="G201" s="131">
        <f t="shared" si="35"/>
        <v>45777</v>
      </c>
      <c r="H201" s="121">
        <f>+[67]ES!$E$28</f>
        <v>495710.47</v>
      </c>
      <c r="I201" s="123">
        <f t="shared" si="36"/>
        <v>-136724.75999999966</v>
      </c>
      <c r="J201" s="121">
        <f t="shared" si="42"/>
        <v>277310.43000000034</v>
      </c>
      <c r="K201" s="121">
        <f t="shared" si="43"/>
        <v>-136724.75999999966</v>
      </c>
      <c r="N201" s="129"/>
      <c r="O201" s="129"/>
      <c r="P201" s="129"/>
    </row>
    <row r="202" spans="1:16" s="120" customFormat="1" ht="18" hidden="1" customHeight="1" x14ac:dyDescent="0.25">
      <c r="A202" s="108">
        <f t="shared" ref="A202:A203" si="44">+A201+1</f>
        <v>21</v>
      </c>
      <c r="B202" s="131">
        <f t="shared" si="39"/>
        <v>45716</v>
      </c>
      <c r="C202" s="140">
        <f>'[68]MonthlyESCalcs(AS FILED)'!$FB$46</f>
        <v>5.6928850000000003E-2</v>
      </c>
      <c r="D202" s="139">
        <f t="shared" si="40"/>
        <v>45747</v>
      </c>
      <c r="E202" s="131">
        <f t="shared" si="41"/>
        <v>45777</v>
      </c>
      <c r="F202" s="121"/>
      <c r="G202" s="131">
        <f t="shared" si="35"/>
        <v>45808</v>
      </c>
      <c r="H202" s="121"/>
      <c r="I202" s="123">
        <f t="shared" si="36"/>
        <v>479474.80000000005</v>
      </c>
      <c r="J202" s="121">
        <f t="shared" si="42"/>
        <v>479474.80000000005</v>
      </c>
      <c r="K202" s="121">
        <f t="shared" si="43"/>
        <v>479474.80000000005</v>
      </c>
      <c r="N202" s="129"/>
      <c r="O202" s="129"/>
      <c r="P202" s="129"/>
    </row>
    <row r="203" spans="1:16" s="120" customFormat="1" ht="18" hidden="1" customHeight="1" x14ac:dyDescent="0.25">
      <c r="A203" s="108">
        <f t="shared" si="44"/>
        <v>22</v>
      </c>
      <c r="B203" s="131">
        <f t="shared" si="39"/>
        <v>45747</v>
      </c>
      <c r="C203" s="140">
        <v>6.0677380000000003E-2</v>
      </c>
      <c r="D203" s="139">
        <f t="shared" si="40"/>
        <v>45777</v>
      </c>
      <c r="E203" s="131">
        <f t="shared" si="41"/>
        <v>45808</v>
      </c>
      <c r="F203" s="121"/>
      <c r="G203" s="131">
        <f t="shared" si="35"/>
        <v>45838</v>
      </c>
      <c r="H203" s="121"/>
      <c r="I203" s="123">
        <f t="shared" si="36"/>
        <v>403246.9800000001</v>
      </c>
      <c r="J203" s="121">
        <f t="shared" si="42"/>
        <v>403246.9800000001</v>
      </c>
      <c r="K203" s="121">
        <f t="shared" si="43"/>
        <v>403246.9800000001</v>
      </c>
      <c r="N203" s="129"/>
      <c r="O203" s="129"/>
      <c r="P203" s="129"/>
    </row>
    <row r="204" spans="1:16" s="120" customFormat="1" ht="6.75" customHeight="1" x14ac:dyDescent="0.25">
      <c r="A204" s="137"/>
      <c r="B204" s="157"/>
      <c r="C204" s="141"/>
      <c r="D204" s="158"/>
      <c r="E204" s="158"/>
      <c r="F204" s="159"/>
      <c r="G204" s="159"/>
      <c r="H204" s="159"/>
      <c r="I204" s="159"/>
      <c r="J204" s="159"/>
      <c r="K204" s="159"/>
    </row>
    <row r="205" spans="1:16" x14ac:dyDescent="0.25">
      <c r="F205" s="109"/>
      <c r="G205" s="109"/>
      <c r="H205" s="109"/>
      <c r="I205" s="109"/>
      <c r="J205" s="109"/>
      <c r="K205" s="109"/>
    </row>
    <row r="206" spans="1:16" x14ac:dyDescent="0.25">
      <c r="F206" s="109"/>
      <c r="G206" s="109"/>
      <c r="H206" s="109"/>
      <c r="I206" s="109"/>
      <c r="J206" s="109"/>
      <c r="K206" s="109"/>
    </row>
    <row r="207" spans="1:16" x14ac:dyDescent="0.25">
      <c r="F207" s="109"/>
      <c r="G207" s="109"/>
      <c r="H207" s="109"/>
      <c r="I207" s="109"/>
      <c r="J207" s="109"/>
      <c r="K207" s="109"/>
    </row>
    <row r="208" spans="1:16" x14ac:dyDescent="0.25">
      <c r="F208" s="109"/>
      <c r="G208" s="109"/>
      <c r="H208" s="109"/>
      <c r="I208" s="109"/>
      <c r="J208" s="109"/>
      <c r="K208" s="109"/>
    </row>
    <row r="209" spans="6:11" x14ac:dyDescent="0.25">
      <c r="F209" s="109"/>
      <c r="G209" s="109"/>
      <c r="H209" s="109"/>
      <c r="I209" s="109"/>
      <c r="J209" s="109"/>
      <c r="K209" s="109"/>
    </row>
    <row r="210" spans="6:11" x14ac:dyDescent="0.25">
      <c r="F210" s="109"/>
      <c r="G210" s="109"/>
      <c r="H210" s="109"/>
      <c r="I210" s="109"/>
      <c r="J210" s="109"/>
      <c r="K210" s="109"/>
    </row>
    <row r="211" spans="6:11" x14ac:dyDescent="0.25">
      <c r="F211" s="109"/>
      <c r="G211" s="109"/>
      <c r="H211" s="109"/>
      <c r="I211" s="109"/>
      <c r="J211" s="109"/>
      <c r="K211" s="109"/>
    </row>
    <row r="212" spans="6:11" x14ac:dyDescent="0.25">
      <c r="F212" s="109"/>
      <c r="G212" s="109"/>
      <c r="H212" s="109"/>
      <c r="I212" s="109"/>
      <c r="J212" s="109"/>
      <c r="K212" s="109"/>
    </row>
    <row r="213" spans="6:11" x14ac:dyDescent="0.25">
      <c r="F213" s="109"/>
      <c r="G213" s="109"/>
      <c r="H213" s="109"/>
      <c r="I213" s="109"/>
      <c r="J213" s="109"/>
      <c r="K213" s="109"/>
    </row>
  </sheetData>
  <dataConsolidate/>
  <mergeCells count="16">
    <mergeCell ref="G10:G13"/>
    <mergeCell ref="A2:L2"/>
    <mergeCell ref="A1:L1"/>
    <mergeCell ref="B10:B13"/>
    <mergeCell ref="C10:C13"/>
    <mergeCell ref="E10:E13"/>
    <mergeCell ref="B7:K7"/>
    <mergeCell ref="A4:L4"/>
    <mergeCell ref="A3:L3"/>
    <mergeCell ref="B8:K8"/>
    <mergeCell ref="D10:D13"/>
    <mergeCell ref="F10:F13"/>
    <mergeCell ref="I10:I13"/>
    <mergeCell ref="J10:J13"/>
    <mergeCell ref="H10:H13"/>
    <mergeCell ref="K10:K13"/>
  </mergeCells>
  <phoneticPr fontId="2" type="noConversion"/>
  <pageMargins left="0.5" right="0.5" top="1" bottom="1.05" header="0.375" footer="0.25"/>
  <pageSetup scale="48" fitToHeight="2" orientation="landscape" r:id="rId1"/>
  <headerFooter alignWithMargins="0">
    <oddFooter>&amp;L&amp;"Century Schoolbook,Bold"&amp;12Case No. 2025-00052
Attachment (1 of 6) for Response to Staff's First Request Item 2
Witness: Rebecca L. (Becky) Shelton
Page &amp;P of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pageSetUpPr fitToPage="1"/>
  </sheetPr>
  <dimension ref="A1:W216"/>
  <sheetViews>
    <sheetView view="pageBreakPreview" zoomScale="60" zoomScaleNormal="100" workbookViewId="0">
      <pane xSplit="4" ySplit="13" topLeftCell="E181" activePane="bottomRight" state="frozen"/>
      <selection sqref="A1:L1"/>
      <selection pane="topRight" sqref="A1:L1"/>
      <selection pane="bottomLeft" sqref="A1:L1"/>
      <selection pane="bottomRight" activeCell="K229" sqref="K229"/>
    </sheetView>
  </sheetViews>
  <sheetFormatPr defaultColWidth="9.140625" defaultRowHeight="15.75" outlineLevelRow="1" x14ac:dyDescent="0.25"/>
  <cols>
    <col min="1" max="1" width="4.42578125" style="108" bestFit="1" customWidth="1"/>
    <col min="2" max="2" width="12.5703125" style="108" customWidth="1"/>
    <col min="3" max="3" width="14.5703125" style="138" customWidth="1"/>
    <col min="4" max="4" width="12.5703125" style="126" customWidth="1"/>
    <col min="5" max="5" width="14.7109375" style="126" customWidth="1"/>
    <col min="6" max="6" width="20.7109375" style="115" customWidth="1"/>
    <col min="7" max="7" width="12.5703125" style="115" customWidth="1"/>
    <col min="8" max="8" width="23.7109375" style="115" customWidth="1"/>
    <col min="9" max="9" width="18.5703125" style="115" customWidth="1"/>
    <col min="10" max="10" width="20.7109375" style="115" customWidth="1"/>
    <col min="11" max="11" width="27" style="115" customWidth="1"/>
    <col min="12" max="12" width="1.140625" style="107" customWidth="1"/>
    <col min="13" max="13" width="28.28515625" style="107" bestFit="1" customWidth="1"/>
    <col min="14" max="14" width="15.7109375" style="107" bestFit="1" customWidth="1"/>
    <col min="15" max="15" width="15.85546875" style="107" bestFit="1" customWidth="1"/>
    <col min="16" max="17" width="14" style="107" bestFit="1" customWidth="1"/>
    <col min="18" max="18" width="13.5703125" style="107" bestFit="1" customWidth="1"/>
    <col min="19" max="19" width="11.7109375" style="107" bestFit="1" customWidth="1"/>
    <col min="20" max="20" width="10.5703125" style="107" bestFit="1" customWidth="1"/>
    <col min="21" max="22" width="11.7109375" style="107" bestFit="1" customWidth="1"/>
    <col min="23" max="23" width="10.5703125" style="107" bestFit="1" customWidth="1"/>
    <col min="24" max="16384" width="9.140625" style="107"/>
  </cols>
  <sheetData>
    <row r="1" spans="1:23" ht="16.899999999999999" customHeight="1" x14ac:dyDescent="0.25">
      <c r="A1" s="213" t="str">
        <f>'Att(1of6)(JP-Non)'!A1:L1</f>
        <v>BIG RIVERS ELECTRIC CORPORATION</v>
      </c>
      <c r="B1" s="214"/>
      <c r="C1" s="214"/>
      <c r="D1" s="214"/>
      <c r="E1" s="214"/>
      <c r="F1" s="214"/>
      <c r="G1" s="214"/>
      <c r="H1" s="214"/>
      <c r="I1" s="214"/>
      <c r="J1" s="214"/>
      <c r="K1" s="214"/>
      <c r="L1" s="214"/>
      <c r="N1" s="109"/>
      <c r="O1" s="109"/>
      <c r="P1" s="109"/>
    </row>
    <row r="2" spans="1:23" ht="16.899999999999999" customHeight="1" x14ac:dyDescent="0.25">
      <c r="A2" s="213" t="str">
        <f>'Att(1of6)(JP-Non)'!A2:L2</f>
        <v>Six-Month Environmental Surcharge Review (Case No. 2025-00052)</v>
      </c>
      <c r="B2" s="214"/>
      <c r="C2" s="214"/>
      <c r="D2" s="214"/>
      <c r="E2" s="214"/>
      <c r="F2" s="214"/>
      <c r="G2" s="214"/>
      <c r="H2" s="214"/>
      <c r="I2" s="214"/>
      <c r="J2" s="214"/>
      <c r="K2" s="214"/>
      <c r="L2" s="214"/>
      <c r="N2" s="109"/>
      <c r="O2" s="109"/>
      <c r="P2" s="109"/>
    </row>
    <row r="3" spans="1:23" ht="16.899999999999999" customHeight="1" x14ac:dyDescent="0.25">
      <c r="A3" s="213" t="str">
        <f>'Att(1of6)(JP-Non)'!A3:L3</f>
        <v>Response to Commission Staff's First Request for Information dated April 3, 2025</v>
      </c>
      <c r="B3" s="214"/>
      <c r="C3" s="214"/>
      <c r="D3" s="214"/>
      <c r="E3" s="214"/>
      <c r="F3" s="214"/>
      <c r="G3" s="214"/>
      <c r="H3" s="214"/>
      <c r="I3" s="214"/>
      <c r="J3" s="214"/>
      <c r="K3" s="214"/>
      <c r="L3" s="214"/>
      <c r="N3" s="109"/>
      <c r="O3" s="109"/>
      <c r="P3" s="109"/>
    </row>
    <row r="4" spans="1:23" ht="16.899999999999999" customHeight="1" x14ac:dyDescent="0.25">
      <c r="A4" s="213" t="s">
        <v>153</v>
      </c>
      <c r="B4" s="214"/>
      <c r="C4" s="214"/>
      <c r="D4" s="214"/>
      <c r="E4" s="214"/>
      <c r="F4" s="214"/>
      <c r="G4" s="214"/>
      <c r="H4" s="214"/>
      <c r="I4" s="214"/>
      <c r="J4" s="214"/>
      <c r="K4" s="214"/>
      <c r="L4" s="214"/>
      <c r="N4" s="109"/>
      <c r="O4" s="109"/>
      <c r="P4" s="109"/>
    </row>
    <row r="5" spans="1:23" ht="9.9499999999999993" customHeight="1" x14ac:dyDescent="0.25">
      <c r="A5" s="144"/>
      <c r="B5" s="145"/>
      <c r="C5" s="145"/>
      <c r="D5" s="145"/>
      <c r="E5" s="145"/>
      <c r="F5" s="145"/>
      <c r="G5" s="145"/>
      <c r="H5" s="145"/>
      <c r="I5" s="145"/>
      <c r="J5" s="145"/>
      <c r="K5" s="145"/>
      <c r="L5" s="145"/>
      <c r="N5" s="109"/>
      <c r="O5" s="109"/>
      <c r="P5" s="109"/>
    </row>
    <row r="6" spans="1:23" ht="9.9499999999999993" customHeight="1" x14ac:dyDescent="0.25">
      <c r="A6" s="144"/>
      <c r="B6" s="145"/>
      <c r="C6" s="145"/>
      <c r="D6" s="145"/>
      <c r="E6" s="145"/>
      <c r="F6" s="145"/>
      <c r="G6" s="145"/>
      <c r="H6" s="145"/>
      <c r="I6" s="145"/>
      <c r="J6" s="145"/>
      <c r="K6" s="145"/>
      <c r="L6" s="145"/>
      <c r="N6" s="109"/>
      <c r="O6" s="109"/>
      <c r="P6" s="109"/>
    </row>
    <row r="7" spans="1:23" ht="18" customHeight="1" x14ac:dyDescent="0.25">
      <c r="B7" s="217" t="s">
        <v>101</v>
      </c>
      <c r="C7" s="218"/>
      <c r="D7" s="218"/>
      <c r="E7" s="218"/>
      <c r="F7" s="218"/>
      <c r="G7" s="218"/>
      <c r="H7" s="218"/>
      <c r="I7" s="218"/>
      <c r="J7" s="218"/>
      <c r="K7" s="219"/>
    </row>
    <row r="8" spans="1:23" ht="18" customHeight="1" x14ac:dyDescent="0.25">
      <c r="B8" s="220" t="s">
        <v>100</v>
      </c>
      <c r="C8" s="221"/>
      <c r="D8" s="221"/>
      <c r="E8" s="221"/>
      <c r="F8" s="221"/>
      <c r="G8" s="221"/>
      <c r="H8" s="221"/>
      <c r="I8" s="221"/>
      <c r="J8" s="221"/>
      <c r="K8" s="222"/>
    </row>
    <row r="9" spans="1:23" ht="18" customHeight="1" x14ac:dyDescent="0.25">
      <c r="B9" s="108" t="s">
        <v>1</v>
      </c>
      <c r="C9" s="138" t="s">
        <v>2</v>
      </c>
      <c r="D9" s="113" t="s">
        <v>3</v>
      </c>
      <c r="E9" s="113" t="s">
        <v>4</v>
      </c>
      <c r="F9" s="114" t="s">
        <v>5</v>
      </c>
      <c r="G9" s="114" t="s">
        <v>6</v>
      </c>
      <c r="H9" s="114" t="s">
        <v>94</v>
      </c>
      <c r="I9" s="136" t="s">
        <v>95</v>
      </c>
      <c r="J9" s="114" t="s">
        <v>96</v>
      </c>
      <c r="K9" s="136" t="s">
        <v>97</v>
      </c>
    </row>
    <row r="10" spans="1:23" ht="18" customHeight="1" x14ac:dyDescent="0.25">
      <c r="B10" s="211" t="s">
        <v>103</v>
      </c>
      <c r="C10" s="215" t="s">
        <v>104</v>
      </c>
      <c r="D10" s="226" t="s">
        <v>92</v>
      </c>
      <c r="E10" s="211" t="s">
        <v>116</v>
      </c>
      <c r="F10" s="223" t="s">
        <v>148</v>
      </c>
      <c r="G10" s="211" t="s">
        <v>119</v>
      </c>
      <c r="H10" s="223" t="s">
        <v>128</v>
      </c>
      <c r="I10" s="223" t="s">
        <v>114</v>
      </c>
      <c r="J10" s="223" t="s">
        <v>123</v>
      </c>
      <c r="K10" s="223" t="s">
        <v>124</v>
      </c>
    </row>
    <row r="11" spans="1:23" ht="18" customHeight="1" x14ac:dyDescent="0.25">
      <c r="B11" s="212"/>
      <c r="C11" s="216"/>
      <c r="D11" s="224"/>
      <c r="E11" s="212"/>
      <c r="F11" s="224"/>
      <c r="G11" s="212"/>
      <c r="H11" s="225"/>
      <c r="I11" s="225"/>
      <c r="J11" s="225"/>
      <c r="K11" s="224"/>
    </row>
    <row r="12" spans="1:23" ht="18" customHeight="1" x14ac:dyDescent="0.25">
      <c r="B12" s="212"/>
      <c r="C12" s="216"/>
      <c r="D12" s="224"/>
      <c r="E12" s="212"/>
      <c r="F12" s="224"/>
      <c r="G12" s="212"/>
      <c r="H12" s="225"/>
      <c r="I12" s="225"/>
      <c r="J12" s="225"/>
      <c r="K12" s="224"/>
    </row>
    <row r="13" spans="1:23" ht="28.5" customHeight="1" x14ac:dyDescent="0.25">
      <c r="B13" s="212"/>
      <c r="C13" s="216"/>
      <c r="D13" s="224"/>
      <c r="E13" s="212"/>
      <c r="F13" s="224"/>
      <c r="G13" s="212"/>
      <c r="H13" s="225"/>
      <c r="I13" s="225"/>
      <c r="J13" s="225"/>
      <c r="K13" s="224"/>
    </row>
    <row r="14" spans="1:23" ht="16.899999999999999" hidden="1" customHeight="1" outlineLevel="1" x14ac:dyDescent="0.25">
      <c r="B14" s="154"/>
      <c r="C14" s="155"/>
      <c r="D14" s="117">
        <v>40025</v>
      </c>
      <c r="E14" s="154"/>
      <c r="F14" s="116">
        <v>132656</v>
      </c>
      <c r="G14" s="154"/>
      <c r="H14" s="118"/>
      <c r="I14" s="118"/>
      <c r="J14" s="116">
        <f t="shared" ref="J14:J77" si="0">+F14+I14</f>
        <v>132656</v>
      </c>
      <c r="K14" s="118"/>
      <c r="N14" s="115"/>
      <c r="O14" s="115"/>
      <c r="P14" s="115"/>
      <c r="Q14" s="115"/>
      <c r="R14" s="115"/>
      <c r="S14" s="142"/>
      <c r="T14" s="142"/>
      <c r="U14" s="142"/>
      <c r="V14" s="142"/>
      <c r="W14" s="142"/>
    </row>
    <row r="15" spans="1:23" ht="16.899999999999999" hidden="1" customHeight="1" outlineLevel="1" x14ac:dyDescent="0.25">
      <c r="B15" s="154"/>
      <c r="C15" s="155"/>
      <c r="D15" s="117">
        <f>EOMONTH(D14,1)</f>
        <v>40056</v>
      </c>
      <c r="E15" s="154"/>
      <c r="F15" s="116">
        <v>253472</v>
      </c>
      <c r="G15" s="154"/>
      <c r="H15" s="118"/>
      <c r="I15" s="118"/>
      <c r="J15" s="116">
        <f t="shared" si="0"/>
        <v>253472</v>
      </c>
      <c r="K15" s="118"/>
      <c r="N15" s="115"/>
      <c r="O15" s="115"/>
      <c r="P15" s="115"/>
      <c r="Q15" s="115"/>
      <c r="R15" s="115"/>
      <c r="S15" s="142"/>
      <c r="T15" s="142"/>
      <c r="U15" s="142"/>
      <c r="V15" s="142"/>
      <c r="W15" s="142"/>
    </row>
    <row r="16" spans="1:23" ht="16.899999999999999" hidden="1" customHeight="1" outlineLevel="1" x14ac:dyDescent="0.25">
      <c r="B16" s="154"/>
      <c r="C16" s="155"/>
      <c r="D16" s="117">
        <f t="shared" ref="D16:D79" si="1">EOMONTH(D15,1)</f>
        <v>40086</v>
      </c>
      <c r="E16" s="154"/>
      <c r="F16" s="116">
        <v>187791</v>
      </c>
      <c r="G16" s="154"/>
      <c r="H16" s="116">
        <v>143363</v>
      </c>
      <c r="I16" s="119">
        <f t="shared" ref="I16:I79" si="2">+K16</f>
        <v>-10707</v>
      </c>
      <c r="J16" s="116">
        <f t="shared" si="0"/>
        <v>177084</v>
      </c>
      <c r="K16" s="116">
        <f t="shared" ref="K16:K58" si="3">+J14-H16</f>
        <v>-10707</v>
      </c>
      <c r="N16" s="115"/>
      <c r="O16" s="115"/>
      <c r="P16" s="115"/>
      <c r="Q16" s="115"/>
      <c r="R16" s="115"/>
      <c r="S16" s="142"/>
      <c r="T16" s="142"/>
      <c r="U16" s="142"/>
      <c r="V16" s="142"/>
      <c r="W16" s="142"/>
    </row>
    <row r="17" spans="1:23" ht="16.899999999999999" hidden="1" customHeight="1" outlineLevel="1" x14ac:dyDescent="0.25">
      <c r="B17" s="154"/>
      <c r="C17" s="155"/>
      <c r="D17" s="117">
        <f t="shared" si="1"/>
        <v>40117</v>
      </c>
      <c r="E17" s="154"/>
      <c r="F17" s="116">
        <v>190629</v>
      </c>
      <c r="G17" s="154"/>
      <c r="H17" s="116">
        <v>224255</v>
      </c>
      <c r="I17" s="119">
        <f t="shared" si="2"/>
        <v>29217</v>
      </c>
      <c r="J17" s="116">
        <f t="shared" si="0"/>
        <v>219846</v>
      </c>
      <c r="K17" s="116">
        <f t="shared" si="3"/>
        <v>29217</v>
      </c>
      <c r="N17" s="115"/>
      <c r="O17" s="115"/>
      <c r="P17" s="115"/>
      <c r="Q17" s="115"/>
      <c r="R17" s="115"/>
      <c r="S17" s="142"/>
      <c r="T17" s="142"/>
      <c r="U17" s="142"/>
      <c r="V17" s="142"/>
      <c r="W17" s="142"/>
    </row>
    <row r="18" spans="1:23" ht="16.899999999999999" hidden="1" customHeight="1" outlineLevel="1" x14ac:dyDescent="0.25">
      <c r="B18" s="154"/>
      <c r="C18" s="155"/>
      <c r="D18" s="117">
        <f t="shared" si="1"/>
        <v>40147</v>
      </c>
      <c r="E18" s="154"/>
      <c r="F18" s="116">
        <v>168228</v>
      </c>
      <c r="G18" s="154"/>
      <c r="H18" s="116">
        <v>165173</v>
      </c>
      <c r="I18" s="119">
        <f t="shared" si="2"/>
        <v>11911</v>
      </c>
      <c r="J18" s="116">
        <f t="shared" si="0"/>
        <v>180139</v>
      </c>
      <c r="K18" s="116">
        <f t="shared" si="3"/>
        <v>11911</v>
      </c>
      <c r="N18" s="115"/>
      <c r="O18" s="115"/>
      <c r="P18" s="115"/>
      <c r="Q18" s="115"/>
      <c r="R18" s="115"/>
      <c r="S18" s="142"/>
      <c r="T18" s="142"/>
      <c r="U18" s="142"/>
      <c r="V18" s="142"/>
      <c r="W18" s="142"/>
    </row>
    <row r="19" spans="1:23" ht="16.899999999999999" hidden="1" customHeight="1" outlineLevel="1" x14ac:dyDescent="0.25">
      <c r="B19" s="154"/>
      <c r="C19" s="155"/>
      <c r="D19" s="117">
        <f t="shared" si="1"/>
        <v>40178</v>
      </c>
      <c r="E19" s="154"/>
      <c r="F19" s="116">
        <v>260790</v>
      </c>
      <c r="G19" s="154"/>
      <c r="H19" s="116">
        <v>239137</v>
      </c>
      <c r="I19" s="119">
        <f t="shared" si="2"/>
        <v>-19291</v>
      </c>
      <c r="J19" s="116">
        <f t="shared" si="0"/>
        <v>241499</v>
      </c>
      <c r="K19" s="116">
        <f t="shared" si="3"/>
        <v>-19291</v>
      </c>
      <c r="L19" s="107" t="s">
        <v>0</v>
      </c>
      <c r="N19" s="115"/>
      <c r="O19" s="115"/>
      <c r="P19" s="115"/>
      <c r="Q19" s="115"/>
      <c r="R19" s="115"/>
      <c r="S19" s="142"/>
      <c r="T19" s="142"/>
      <c r="U19" s="142"/>
      <c r="V19" s="142"/>
      <c r="W19" s="142"/>
    </row>
    <row r="20" spans="1:23" ht="16.899999999999999" hidden="1" customHeight="1" outlineLevel="1" x14ac:dyDescent="0.25">
      <c r="B20" s="154"/>
      <c r="C20" s="155"/>
      <c r="D20" s="117">
        <f t="shared" si="1"/>
        <v>40209</v>
      </c>
      <c r="E20" s="154"/>
      <c r="F20" s="116">
        <v>262063</v>
      </c>
      <c r="G20" s="154"/>
      <c r="H20" s="116">
        <v>225843</v>
      </c>
      <c r="I20" s="119">
        <f t="shared" si="2"/>
        <v>-45704</v>
      </c>
      <c r="J20" s="116">
        <f t="shared" si="0"/>
        <v>216359</v>
      </c>
      <c r="K20" s="116">
        <f t="shared" si="3"/>
        <v>-45704</v>
      </c>
      <c r="N20" s="115"/>
      <c r="O20" s="115"/>
      <c r="P20" s="115"/>
      <c r="Q20" s="115"/>
      <c r="R20" s="115"/>
      <c r="S20" s="142"/>
      <c r="T20" s="142"/>
      <c r="U20" s="142"/>
      <c r="V20" s="142"/>
      <c r="W20" s="142"/>
    </row>
    <row r="21" spans="1:23" ht="16.899999999999999" hidden="1" customHeight="1" outlineLevel="1" x14ac:dyDescent="0.25">
      <c r="B21" s="154"/>
      <c r="C21" s="155"/>
      <c r="D21" s="117">
        <f t="shared" si="1"/>
        <v>40237</v>
      </c>
      <c r="E21" s="154"/>
      <c r="F21" s="116">
        <v>205976</v>
      </c>
      <c r="G21" s="154"/>
      <c r="H21" s="116">
        <v>252320</v>
      </c>
      <c r="I21" s="119">
        <f t="shared" si="2"/>
        <v>-10821</v>
      </c>
      <c r="J21" s="116">
        <f t="shared" si="0"/>
        <v>195155</v>
      </c>
      <c r="K21" s="116">
        <f t="shared" si="3"/>
        <v>-10821</v>
      </c>
      <c r="N21" s="112"/>
      <c r="O21" s="115"/>
      <c r="P21" s="115"/>
      <c r="Q21" s="115"/>
      <c r="R21" s="115"/>
      <c r="S21" s="142"/>
      <c r="T21" s="142"/>
      <c r="U21" s="142"/>
      <c r="V21" s="142"/>
      <c r="W21" s="142"/>
    </row>
    <row r="22" spans="1:23" ht="16.899999999999999" hidden="1" customHeight="1" outlineLevel="1" x14ac:dyDescent="0.25">
      <c r="B22" s="154"/>
      <c r="C22" s="155"/>
      <c r="D22" s="117">
        <f t="shared" si="1"/>
        <v>40268</v>
      </c>
      <c r="E22" s="154"/>
      <c r="F22" s="116">
        <v>191619</v>
      </c>
      <c r="G22" s="154"/>
      <c r="H22" s="116">
        <v>196711</v>
      </c>
      <c r="I22" s="119">
        <f t="shared" si="2"/>
        <v>19648</v>
      </c>
      <c r="J22" s="116">
        <f t="shared" si="0"/>
        <v>211267</v>
      </c>
      <c r="K22" s="116">
        <f t="shared" si="3"/>
        <v>19648</v>
      </c>
      <c r="N22" s="115"/>
      <c r="O22" s="115"/>
      <c r="P22" s="115"/>
      <c r="Q22" s="115"/>
      <c r="R22" s="115"/>
      <c r="S22" s="142"/>
      <c r="T22" s="142"/>
      <c r="U22" s="142"/>
      <c r="V22" s="142"/>
      <c r="W22" s="142"/>
    </row>
    <row r="23" spans="1:23" ht="16.899999999999999" hidden="1" customHeight="1" outlineLevel="1" x14ac:dyDescent="0.25">
      <c r="B23" s="154"/>
      <c r="C23" s="155"/>
      <c r="D23" s="117">
        <f t="shared" si="1"/>
        <v>40298</v>
      </c>
      <c r="E23" s="154"/>
      <c r="F23" s="116">
        <v>170087</v>
      </c>
      <c r="G23" s="154"/>
      <c r="H23" s="116">
        <v>168257</v>
      </c>
      <c r="I23" s="119">
        <f t="shared" si="2"/>
        <v>26898</v>
      </c>
      <c r="J23" s="116">
        <f t="shared" si="0"/>
        <v>196985</v>
      </c>
      <c r="K23" s="116">
        <f t="shared" si="3"/>
        <v>26898</v>
      </c>
      <c r="N23" s="115"/>
      <c r="O23" s="115"/>
      <c r="P23" s="115"/>
      <c r="Q23" s="115"/>
      <c r="R23" s="115"/>
      <c r="S23" s="142"/>
      <c r="T23" s="142"/>
      <c r="U23" s="142"/>
      <c r="V23" s="142"/>
      <c r="W23" s="142"/>
    </row>
    <row r="24" spans="1:23" ht="16.899999999999999" hidden="1" customHeight="1" outlineLevel="1" x14ac:dyDescent="0.25">
      <c r="B24" s="154"/>
      <c r="C24" s="155"/>
      <c r="D24" s="117">
        <f t="shared" si="1"/>
        <v>40329</v>
      </c>
      <c r="E24" s="154"/>
      <c r="F24" s="116">
        <v>196406</v>
      </c>
      <c r="G24" s="154"/>
      <c r="H24" s="116">
        <v>190839</v>
      </c>
      <c r="I24" s="119">
        <f t="shared" si="2"/>
        <v>20428</v>
      </c>
      <c r="J24" s="116">
        <f t="shared" si="0"/>
        <v>216834</v>
      </c>
      <c r="K24" s="116">
        <f t="shared" si="3"/>
        <v>20428</v>
      </c>
      <c r="N24" s="115"/>
      <c r="O24" s="115"/>
      <c r="P24" s="115"/>
      <c r="Q24" s="115"/>
      <c r="R24" s="115"/>
      <c r="S24" s="142"/>
      <c r="T24" s="142"/>
      <c r="U24" s="142"/>
      <c r="V24" s="142"/>
      <c r="W24" s="142"/>
    </row>
    <row r="25" spans="1:23" ht="16.899999999999999" hidden="1" customHeight="1" outlineLevel="1" x14ac:dyDescent="0.25">
      <c r="B25" s="154"/>
      <c r="C25" s="155"/>
      <c r="D25" s="117">
        <f t="shared" si="1"/>
        <v>40359</v>
      </c>
      <c r="E25" s="154"/>
      <c r="F25" s="116">
        <v>267131</v>
      </c>
      <c r="G25" s="154"/>
      <c r="H25" s="116">
        <v>223479</v>
      </c>
      <c r="I25" s="119">
        <f t="shared" si="2"/>
        <v>-26494</v>
      </c>
      <c r="J25" s="116">
        <f t="shared" si="0"/>
        <v>240637</v>
      </c>
      <c r="K25" s="116">
        <f t="shared" si="3"/>
        <v>-26494</v>
      </c>
      <c r="N25" s="115"/>
      <c r="O25" s="115"/>
      <c r="P25" s="115"/>
      <c r="Q25" s="115"/>
      <c r="R25" s="115"/>
      <c r="S25" s="142"/>
      <c r="T25" s="142"/>
      <c r="U25" s="142"/>
      <c r="V25" s="142"/>
      <c r="W25" s="142"/>
    </row>
    <row r="26" spans="1:23" ht="16.899999999999999" hidden="1" customHeight="1" outlineLevel="1" x14ac:dyDescent="0.25">
      <c r="B26" s="154"/>
      <c r="C26" s="155"/>
      <c r="D26" s="117">
        <f t="shared" si="1"/>
        <v>40390</v>
      </c>
      <c r="E26" s="154"/>
      <c r="F26" s="116">
        <v>311711</v>
      </c>
      <c r="G26" s="154"/>
      <c r="H26" s="116">
        <v>269410</v>
      </c>
      <c r="I26" s="119">
        <f t="shared" si="2"/>
        <v>-52576</v>
      </c>
      <c r="J26" s="116">
        <f t="shared" si="0"/>
        <v>259135</v>
      </c>
      <c r="K26" s="116">
        <f t="shared" si="3"/>
        <v>-52576</v>
      </c>
      <c r="N26" s="115"/>
      <c r="O26" s="115"/>
      <c r="P26" s="115"/>
      <c r="Q26" s="115"/>
      <c r="R26" s="115"/>
      <c r="S26" s="142"/>
      <c r="T26" s="142"/>
      <c r="U26" s="142"/>
      <c r="V26" s="142"/>
      <c r="W26" s="142"/>
    </row>
    <row r="27" spans="1:23" ht="16.899999999999999" hidden="1" customHeight="1" outlineLevel="1" x14ac:dyDescent="0.25">
      <c r="B27" s="154"/>
      <c r="C27" s="155"/>
      <c r="D27" s="117">
        <f t="shared" si="1"/>
        <v>40421</v>
      </c>
      <c r="E27" s="154"/>
      <c r="F27" s="116">
        <v>297403</v>
      </c>
      <c r="G27" s="154"/>
      <c r="H27" s="116">
        <v>251153</v>
      </c>
      <c r="I27" s="119">
        <f t="shared" si="2"/>
        <v>-10516</v>
      </c>
      <c r="J27" s="116">
        <f t="shared" si="0"/>
        <v>286887</v>
      </c>
      <c r="K27" s="116">
        <f t="shared" si="3"/>
        <v>-10516</v>
      </c>
      <c r="N27" s="115"/>
      <c r="O27" s="115"/>
      <c r="P27" s="115"/>
      <c r="Q27" s="115"/>
      <c r="R27" s="115"/>
      <c r="S27" s="142"/>
      <c r="T27" s="142"/>
      <c r="U27" s="142"/>
      <c r="V27" s="142"/>
      <c r="W27" s="142"/>
    </row>
    <row r="28" spans="1:23" ht="16.899999999999999" hidden="1" customHeight="1" outlineLevel="1" x14ac:dyDescent="0.25">
      <c r="B28" s="154"/>
      <c r="C28" s="155"/>
      <c r="D28" s="117">
        <f t="shared" si="1"/>
        <v>40451</v>
      </c>
      <c r="E28" s="154"/>
      <c r="F28" s="116">
        <v>214535</v>
      </c>
      <c r="G28" s="154"/>
      <c r="H28" s="116">
        <v>268080</v>
      </c>
      <c r="I28" s="119">
        <f t="shared" si="2"/>
        <v>-8945</v>
      </c>
      <c r="J28" s="116">
        <f t="shared" si="0"/>
        <v>205590</v>
      </c>
      <c r="K28" s="116">
        <f t="shared" si="3"/>
        <v>-8945</v>
      </c>
      <c r="N28" s="115"/>
      <c r="O28" s="115"/>
      <c r="P28" s="115"/>
      <c r="Q28" s="115"/>
      <c r="R28" s="115"/>
      <c r="S28" s="142"/>
      <c r="T28" s="142"/>
      <c r="U28" s="142"/>
      <c r="V28" s="142"/>
      <c r="W28" s="142"/>
    </row>
    <row r="29" spans="1:23" ht="16.899999999999999" hidden="1" customHeight="1" outlineLevel="1" x14ac:dyDescent="0.25">
      <c r="B29" s="154"/>
      <c r="C29" s="155"/>
      <c r="D29" s="117">
        <f t="shared" si="1"/>
        <v>40482</v>
      </c>
      <c r="E29" s="154"/>
      <c r="F29" s="116">
        <v>179028</v>
      </c>
      <c r="G29" s="154"/>
      <c r="H29" s="116">
        <v>247963</v>
      </c>
      <c r="I29" s="119">
        <f t="shared" si="2"/>
        <v>38924</v>
      </c>
      <c r="J29" s="116">
        <f t="shared" si="0"/>
        <v>217952</v>
      </c>
      <c r="K29" s="116">
        <f t="shared" si="3"/>
        <v>38924</v>
      </c>
      <c r="N29" s="115"/>
      <c r="O29" s="115"/>
      <c r="P29" s="115"/>
      <c r="Q29" s="115"/>
      <c r="R29" s="115"/>
      <c r="S29" s="142"/>
      <c r="T29" s="142"/>
      <c r="U29" s="142"/>
      <c r="V29" s="142"/>
      <c r="W29" s="142"/>
    </row>
    <row r="30" spans="1:23" s="120" customFormat="1" ht="16.899999999999999" hidden="1" customHeight="1" outlineLevel="1" x14ac:dyDescent="0.25">
      <c r="A30" s="108"/>
      <c r="B30" s="154"/>
      <c r="C30" s="155"/>
      <c r="D30" s="117">
        <f t="shared" si="1"/>
        <v>40512</v>
      </c>
      <c r="E30" s="154"/>
      <c r="F30" s="116">
        <v>246574</v>
      </c>
      <c r="G30" s="154"/>
      <c r="H30" s="116">
        <v>183096</v>
      </c>
      <c r="I30" s="119">
        <f t="shared" si="2"/>
        <v>22494</v>
      </c>
      <c r="J30" s="116">
        <f t="shared" si="0"/>
        <v>269068</v>
      </c>
      <c r="K30" s="116">
        <f t="shared" si="3"/>
        <v>22494</v>
      </c>
      <c r="N30" s="112"/>
      <c r="O30" s="112"/>
      <c r="P30" s="112"/>
      <c r="Q30" s="112"/>
      <c r="R30" s="112"/>
      <c r="S30" s="142"/>
      <c r="T30" s="142"/>
      <c r="U30" s="142"/>
      <c r="V30" s="142"/>
      <c r="W30" s="142"/>
    </row>
    <row r="31" spans="1:23" s="120" customFormat="1" ht="16.899999999999999" hidden="1" customHeight="1" outlineLevel="1" x14ac:dyDescent="0.25">
      <c r="A31" s="108"/>
      <c r="B31" s="154"/>
      <c r="C31" s="155"/>
      <c r="D31" s="117">
        <f t="shared" si="1"/>
        <v>40543</v>
      </c>
      <c r="E31" s="154"/>
      <c r="F31" s="116">
        <v>306397</v>
      </c>
      <c r="G31" s="154"/>
      <c r="H31" s="116">
        <v>255476</v>
      </c>
      <c r="I31" s="119">
        <f t="shared" si="2"/>
        <v>-37524</v>
      </c>
      <c r="J31" s="116">
        <f t="shared" si="0"/>
        <v>268873</v>
      </c>
      <c r="K31" s="116">
        <f t="shared" si="3"/>
        <v>-37524</v>
      </c>
      <c r="N31" s="112"/>
      <c r="O31" s="112"/>
      <c r="P31" s="112"/>
      <c r="Q31" s="112"/>
      <c r="R31" s="112"/>
      <c r="S31" s="142"/>
      <c r="T31" s="142"/>
      <c r="U31" s="142"/>
      <c r="V31" s="142"/>
      <c r="W31" s="142"/>
    </row>
    <row r="32" spans="1:23" s="120" customFormat="1" ht="16.899999999999999" hidden="1" customHeight="1" outlineLevel="1" x14ac:dyDescent="0.25">
      <c r="A32" s="108"/>
      <c r="B32" s="154"/>
      <c r="C32" s="155"/>
      <c r="D32" s="117">
        <f t="shared" si="1"/>
        <v>40574</v>
      </c>
      <c r="E32" s="154"/>
      <c r="F32" s="116">
        <v>268235</v>
      </c>
      <c r="G32" s="154"/>
      <c r="H32" s="116">
        <v>351236</v>
      </c>
      <c r="I32" s="119">
        <f t="shared" si="2"/>
        <v>-82168</v>
      </c>
      <c r="J32" s="116">
        <f t="shared" si="0"/>
        <v>186067</v>
      </c>
      <c r="K32" s="116">
        <f t="shared" si="3"/>
        <v>-82168</v>
      </c>
      <c r="N32" s="112"/>
      <c r="O32" s="112"/>
      <c r="P32" s="112"/>
      <c r="Q32" s="112"/>
      <c r="R32" s="112"/>
      <c r="S32" s="142"/>
      <c r="T32" s="142"/>
      <c r="U32" s="142"/>
      <c r="V32" s="142"/>
      <c r="W32" s="142"/>
    </row>
    <row r="33" spans="1:23" s="120" customFormat="1" ht="16.899999999999999" hidden="1" customHeight="1" outlineLevel="1" x14ac:dyDescent="0.25">
      <c r="A33" s="108"/>
      <c r="B33" s="154"/>
      <c r="C33" s="155"/>
      <c r="D33" s="117">
        <f t="shared" si="1"/>
        <v>40602</v>
      </c>
      <c r="E33" s="154"/>
      <c r="F33" s="116">
        <v>193924</v>
      </c>
      <c r="G33" s="154"/>
      <c r="H33" s="116">
        <v>264201</v>
      </c>
      <c r="I33" s="119">
        <f t="shared" si="2"/>
        <v>4672</v>
      </c>
      <c r="J33" s="116">
        <f t="shared" si="0"/>
        <v>198596</v>
      </c>
      <c r="K33" s="116">
        <f t="shared" si="3"/>
        <v>4672</v>
      </c>
      <c r="N33" s="112"/>
      <c r="O33" s="112"/>
      <c r="P33" s="112"/>
      <c r="Q33" s="112"/>
      <c r="R33" s="112"/>
      <c r="S33" s="142"/>
      <c r="T33" s="142"/>
      <c r="U33" s="142"/>
      <c r="V33" s="142"/>
      <c r="W33" s="142"/>
    </row>
    <row r="34" spans="1:23" s="120" customFormat="1" ht="16.899999999999999" hidden="1" customHeight="1" outlineLevel="1" x14ac:dyDescent="0.25">
      <c r="A34" s="108"/>
      <c r="B34" s="154"/>
      <c r="C34" s="155"/>
      <c r="D34" s="117">
        <f t="shared" si="1"/>
        <v>40633</v>
      </c>
      <c r="E34" s="154"/>
      <c r="F34" s="116">
        <v>188832</v>
      </c>
      <c r="G34" s="154"/>
      <c r="H34" s="116">
        <v>161347</v>
      </c>
      <c r="I34" s="119">
        <f t="shared" si="2"/>
        <v>24720</v>
      </c>
      <c r="J34" s="116">
        <f t="shared" si="0"/>
        <v>213552</v>
      </c>
      <c r="K34" s="116">
        <f t="shared" si="3"/>
        <v>24720</v>
      </c>
      <c r="N34" s="112"/>
      <c r="O34" s="112"/>
      <c r="P34" s="112"/>
      <c r="Q34" s="112"/>
      <c r="R34" s="112"/>
      <c r="S34" s="142"/>
      <c r="T34" s="142"/>
      <c r="U34" s="142"/>
      <c r="V34" s="142"/>
      <c r="W34" s="142"/>
    </row>
    <row r="35" spans="1:23" s="120" customFormat="1" ht="16.899999999999999" hidden="1" customHeight="1" outlineLevel="1" x14ac:dyDescent="0.25">
      <c r="A35" s="108"/>
      <c r="B35" s="154"/>
      <c r="C35" s="155"/>
      <c r="D35" s="117">
        <f t="shared" si="1"/>
        <v>40663</v>
      </c>
      <c r="E35" s="154"/>
      <c r="F35" s="116">
        <v>178729</v>
      </c>
      <c r="G35" s="154"/>
      <c r="H35" s="116">
        <v>177102</v>
      </c>
      <c r="I35" s="119">
        <f t="shared" si="2"/>
        <v>21494</v>
      </c>
      <c r="J35" s="116">
        <f t="shared" si="0"/>
        <v>200223</v>
      </c>
      <c r="K35" s="116">
        <f t="shared" si="3"/>
        <v>21494</v>
      </c>
      <c r="N35" s="112"/>
      <c r="O35" s="112"/>
      <c r="P35" s="112"/>
      <c r="Q35" s="112"/>
      <c r="R35" s="112"/>
      <c r="S35" s="142"/>
      <c r="T35" s="142"/>
      <c r="U35" s="142"/>
      <c r="V35" s="142"/>
      <c r="W35" s="142"/>
    </row>
    <row r="36" spans="1:23" s="120" customFormat="1" ht="16.899999999999999" hidden="1" customHeight="1" outlineLevel="1" x14ac:dyDescent="0.25">
      <c r="A36" s="108"/>
      <c r="B36" s="154"/>
      <c r="C36" s="155"/>
      <c r="D36" s="117">
        <f t="shared" si="1"/>
        <v>40694</v>
      </c>
      <c r="E36" s="154"/>
      <c r="F36" s="116">
        <v>153190</v>
      </c>
      <c r="G36" s="154"/>
      <c r="H36" s="116">
        <v>193482</v>
      </c>
      <c r="I36" s="119">
        <f t="shared" si="2"/>
        <v>20070</v>
      </c>
      <c r="J36" s="116">
        <f t="shared" si="0"/>
        <v>173260</v>
      </c>
      <c r="K36" s="116">
        <f t="shared" si="3"/>
        <v>20070</v>
      </c>
      <c r="N36" s="112"/>
      <c r="O36" s="112"/>
      <c r="P36" s="112"/>
      <c r="Q36" s="112"/>
      <c r="R36" s="112"/>
      <c r="S36" s="142"/>
      <c r="T36" s="142"/>
      <c r="U36" s="142"/>
      <c r="V36" s="142"/>
      <c r="W36" s="142"/>
    </row>
    <row r="37" spans="1:23" s="120" customFormat="1" ht="16.899999999999999" hidden="1" customHeight="1" outlineLevel="1" x14ac:dyDescent="0.25">
      <c r="A37" s="108"/>
      <c r="B37" s="154"/>
      <c r="C37" s="155"/>
      <c r="D37" s="117">
        <f t="shared" si="1"/>
        <v>40724</v>
      </c>
      <c r="E37" s="154"/>
      <c r="F37" s="116">
        <v>247066</v>
      </c>
      <c r="G37" s="154"/>
      <c r="H37" s="116">
        <v>218521</v>
      </c>
      <c r="I37" s="119">
        <f t="shared" si="2"/>
        <v>-18298</v>
      </c>
      <c r="J37" s="116">
        <f t="shared" si="0"/>
        <v>228768</v>
      </c>
      <c r="K37" s="116">
        <f t="shared" si="3"/>
        <v>-18298</v>
      </c>
      <c r="N37" s="112"/>
      <c r="O37" s="112"/>
      <c r="P37" s="112"/>
      <c r="Q37" s="112"/>
      <c r="R37" s="112"/>
      <c r="S37" s="142"/>
      <c r="T37" s="142"/>
      <c r="U37" s="142"/>
      <c r="V37" s="142"/>
      <c r="W37" s="142"/>
    </row>
    <row r="38" spans="1:23" s="120" customFormat="1" ht="16.899999999999999" hidden="1" customHeight="1" outlineLevel="1" x14ac:dyDescent="0.25">
      <c r="A38" s="108"/>
      <c r="B38" s="154"/>
      <c r="C38" s="155"/>
      <c r="D38" s="117">
        <f t="shared" si="1"/>
        <v>40755</v>
      </c>
      <c r="E38" s="154"/>
      <c r="F38" s="116">
        <v>285991</v>
      </c>
      <c r="G38" s="154"/>
      <c r="H38" s="116">
        <v>206790</v>
      </c>
      <c r="I38" s="119">
        <f t="shared" si="2"/>
        <v>-33530</v>
      </c>
      <c r="J38" s="116">
        <f t="shared" si="0"/>
        <v>252461</v>
      </c>
      <c r="K38" s="116">
        <f t="shared" si="3"/>
        <v>-33530</v>
      </c>
      <c r="N38" s="112"/>
      <c r="O38" s="112"/>
      <c r="P38" s="112"/>
      <c r="Q38" s="112"/>
      <c r="R38" s="112"/>
      <c r="S38" s="142"/>
      <c r="T38" s="142"/>
      <c r="U38" s="142"/>
      <c r="V38" s="142"/>
      <c r="W38" s="142"/>
    </row>
    <row r="39" spans="1:23" s="120" customFormat="1" ht="16.899999999999999" hidden="1" customHeight="1" outlineLevel="1" x14ac:dyDescent="0.25">
      <c r="A39" s="108"/>
      <c r="B39" s="154"/>
      <c r="C39" s="155"/>
      <c r="D39" s="117">
        <f t="shared" si="1"/>
        <v>40786</v>
      </c>
      <c r="E39" s="154"/>
      <c r="F39" s="116">
        <v>265771</v>
      </c>
      <c r="G39" s="154"/>
      <c r="H39" s="116">
        <v>251058</v>
      </c>
      <c r="I39" s="119">
        <f t="shared" si="2"/>
        <v>-22290</v>
      </c>
      <c r="J39" s="116">
        <f t="shared" si="0"/>
        <v>243481</v>
      </c>
      <c r="K39" s="116">
        <f t="shared" si="3"/>
        <v>-22290</v>
      </c>
      <c r="N39" s="112"/>
      <c r="O39" s="112"/>
      <c r="P39" s="112"/>
      <c r="Q39" s="112"/>
      <c r="R39" s="112"/>
      <c r="S39" s="142"/>
      <c r="T39" s="142"/>
      <c r="U39" s="142"/>
      <c r="V39" s="142"/>
      <c r="W39" s="142"/>
    </row>
    <row r="40" spans="1:23" s="120" customFormat="1" ht="16.899999999999999" hidden="1" customHeight="1" outlineLevel="1" x14ac:dyDescent="0.25">
      <c r="A40" s="108"/>
      <c r="B40" s="154"/>
      <c r="C40" s="155"/>
      <c r="D40" s="117">
        <f t="shared" si="1"/>
        <v>40816</v>
      </c>
      <c r="E40" s="154"/>
      <c r="F40" s="116">
        <v>164119</v>
      </c>
      <c r="G40" s="154"/>
      <c r="H40" s="116">
        <v>230126</v>
      </c>
      <c r="I40" s="119">
        <f t="shared" si="2"/>
        <v>22335</v>
      </c>
      <c r="J40" s="116">
        <f t="shared" si="0"/>
        <v>186454</v>
      </c>
      <c r="K40" s="116">
        <f t="shared" si="3"/>
        <v>22335</v>
      </c>
      <c r="N40" s="112"/>
      <c r="O40" s="112"/>
      <c r="P40" s="112"/>
      <c r="Q40" s="112"/>
      <c r="R40" s="112"/>
      <c r="S40" s="142"/>
      <c r="T40" s="142"/>
      <c r="U40" s="142"/>
      <c r="V40" s="142"/>
      <c r="W40" s="142"/>
    </row>
    <row r="41" spans="1:23" s="120" customFormat="1" ht="16.899999999999999" hidden="1" customHeight="1" outlineLevel="1" x14ac:dyDescent="0.25">
      <c r="A41" s="108"/>
      <c r="B41" s="154"/>
      <c r="C41" s="155"/>
      <c r="D41" s="117">
        <f t="shared" si="1"/>
        <v>40847</v>
      </c>
      <c r="E41" s="154"/>
      <c r="F41" s="116">
        <v>198801</v>
      </c>
      <c r="G41" s="154"/>
      <c r="H41" s="116">
        <v>202172</v>
      </c>
      <c r="I41" s="119">
        <f t="shared" si="2"/>
        <v>41309</v>
      </c>
      <c r="J41" s="116">
        <f t="shared" si="0"/>
        <v>240110</v>
      </c>
      <c r="K41" s="116">
        <f t="shared" si="3"/>
        <v>41309</v>
      </c>
      <c r="N41" s="112"/>
      <c r="O41" s="112"/>
      <c r="P41" s="112"/>
      <c r="Q41" s="112"/>
      <c r="R41" s="112"/>
      <c r="S41" s="142"/>
      <c r="T41" s="142"/>
      <c r="U41" s="142"/>
      <c r="V41" s="142"/>
      <c r="W41" s="142"/>
    </row>
    <row r="42" spans="1:23" s="120" customFormat="1" ht="16.899999999999999" hidden="1" customHeight="1" outlineLevel="1" x14ac:dyDescent="0.25">
      <c r="A42" s="108"/>
      <c r="B42" s="154"/>
      <c r="C42" s="155"/>
      <c r="D42" s="117">
        <f t="shared" si="1"/>
        <v>40877</v>
      </c>
      <c r="E42" s="154"/>
      <c r="F42" s="116">
        <v>239207</v>
      </c>
      <c r="G42" s="154"/>
      <c r="H42" s="116">
        <v>180071</v>
      </c>
      <c r="I42" s="119">
        <f t="shared" si="2"/>
        <v>6383</v>
      </c>
      <c r="J42" s="116">
        <f t="shared" si="0"/>
        <v>245590</v>
      </c>
      <c r="K42" s="116">
        <f t="shared" si="3"/>
        <v>6383</v>
      </c>
      <c r="N42" s="112"/>
      <c r="O42" s="112"/>
      <c r="P42" s="112"/>
      <c r="Q42" s="112"/>
      <c r="R42" s="112"/>
      <c r="S42" s="142"/>
      <c r="T42" s="142"/>
      <c r="U42" s="142"/>
      <c r="V42" s="142"/>
      <c r="W42" s="142"/>
    </row>
    <row r="43" spans="1:23" s="120" customFormat="1" ht="16.899999999999999" hidden="1" customHeight="1" outlineLevel="1" x14ac:dyDescent="0.25">
      <c r="A43" s="108"/>
      <c r="B43" s="154"/>
      <c r="C43" s="155"/>
      <c r="D43" s="117">
        <f t="shared" si="1"/>
        <v>40908</v>
      </c>
      <c r="E43" s="154"/>
      <c r="F43" s="116">
        <v>245405</v>
      </c>
      <c r="G43" s="154"/>
      <c r="H43" s="116">
        <v>258122</v>
      </c>
      <c r="I43" s="119">
        <f t="shared" si="2"/>
        <v>-18012</v>
      </c>
      <c r="J43" s="116">
        <f t="shared" si="0"/>
        <v>227393</v>
      </c>
      <c r="K43" s="116">
        <f t="shared" si="3"/>
        <v>-18012</v>
      </c>
      <c r="N43" s="112"/>
      <c r="O43" s="112"/>
      <c r="P43" s="112"/>
      <c r="Q43" s="112"/>
      <c r="R43" s="112"/>
      <c r="S43" s="142"/>
      <c r="T43" s="142"/>
      <c r="U43" s="142"/>
      <c r="V43" s="142"/>
      <c r="W43" s="142"/>
    </row>
    <row r="44" spans="1:23" s="120" customFormat="1" ht="16.899999999999999" hidden="1" customHeight="1" outlineLevel="1" x14ac:dyDescent="0.25">
      <c r="A44" s="108"/>
      <c r="B44" s="154"/>
      <c r="C44" s="155"/>
      <c r="D44" s="117">
        <f t="shared" si="1"/>
        <v>40939</v>
      </c>
      <c r="E44" s="154"/>
      <c r="F44" s="116">
        <v>265490</v>
      </c>
      <c r="G44" s="154"/>
      <c r="H44" s="116">
        <v>281360</v>
      </c>
      <c r="I44" s="119">
        <f t="shared" si="2"/>
        <v>-35770</v>
      </c>
      <c r="J44" s="116">
        <f t="shared" si="0"/>
        <v>229720</v>
      </c>
      <c r="K44" s="116">
        <f t="shared" si="3"/>
        <v>-35770</v>
      </c>
      <c r="N44" s="112"/>
      <c r="O44" s="112"/>
      <c r="P44" s="112"/>
      <c r="Q44" s="112"/>
      <c r="R44" s="112"/>
      <c r="S44" s="142"/>
      <c r="T44" s="142"/>
      <c r="U44" s="142"/>
      <c r="V44" s="142"/>
      <c r="W44" s="142"/>
    </row>
    <row r="45" spans="1:23" s="120" customFormat="1" ht="16.899999999999999" hidden="1" customHeight="1" outlineLevel="1" x14ac:dyDescent="0.25">
      <c r="A45" s="108"/>
      <c r="B45" s="154"/>
      <c r="C45" s="155"/>
      <c r="D45" s="117">
        <f t="shared" si="1"/>
        <v>40968</v>
      </c>
      <c r="E45" s="154"/>
      <c r="F45" s="116">
        <v>188210</v>
      </c>
      <c r="G45" s="154"/>
      <c r="H45" s="116">
        <v>228053</v>
      </c>
      <c r="I45" s="119">
        <f t="shared" si="2"/>
        <v>-660</v>
      </c>
      <c r="J45" s="116">
        <f t="shared" si="0"/>
        <v>187550</v>
      </c>
      <c r="K45" s="116">
        <f t="shared" si="3"/>
        <v>-660</v>
      </c>
      <c r="N45" s="112"/>
      <c r="O45" s="112"/>
      <c r="P45" s="112"/>
      <c r="Q45" s="112"/>
      <c r="R45" s="112"/>
      <c r="S45" s="142"/>
      <c r="T45" s="142"/>
      <c r="U45" s="142"/>
      <c r="V45" s="142"/>
      <c r="W45" s="142"/>
    </row>
    <row r="46" spans="1:23" s="120" customFormat="1" ht="16.899999999999999" hidden="1" customHeight="1" outlineLevel="1" x14ac:dyDescent="0.25">
      <c r="A46" s="108"/>
      <c r="B46" s="154"/>
      <c r="C46" s="155"/>
      <c r="D46" s="117">
        <f t="shared" si="1"/>
        <v>40999</v>
      </c>
      <c r="E46" s="154"/>
      <c r="F46" s="116">
        <v>160757</v>
      </c>
      <c r="G46" s="154"/>
      <c r="H46" s="116">
        <v>205612</v>
      </c>
      <c r="I46" s="119">
        <f t="shared" si="2"/>
        <v>24108</v>
      </c>
      <c r="J46" s="116">
        <f t="shared" si="0"/>
        <v>184865</v>
      </c>
      <c r="K46" s="116">
        <f t="shared" si="3"/>
        <v>24108</v>
      </c>
      <c r="N46" s="112"/>
      <c r="O46" s="112"/>
      <c r="P46" s="112"/>
      <c r="Q46" s="112"/>
      <c r="R46" s="112"/>
      <c r="S46" s="142"/>
      <c r="T46" s="142"/>
      <c r="U46" s="142"/>
      <c r="V46" s="142"/>
      <c r="W46" s="142"/>
    </row>
    <row r="47" spans="1:23" s="120" customFormat="1" ht="16.899999999999999" hidden="1" customHeight="1" outlineLevel="1" x14ac:dyDescent="0.25">
      <c r="A47" s="108"/>
      <c r="B47" s="154"/>
      <c r="C47" s="155"/>
      <c r="D47" s="117">
        <f t="shared" si="1"/>
        <v>41029</v>
      </c>
      <c r="E47" s="154"/>
      <c r="F47" s="116">
        <v>175208</v>
      </c>
      <c r="G47" s="154"/>
      <c r="H47" s="116">
        <v>162591</v>
      </c>
      <c r="I47" s="119">
        <f t="shared" si="2"/>
        <v>24959</v>
      </c>
      <c r="J47" s="116">
        <f t="shared" si="0"/>
        <v>200167</v>
      </c>
      <c r="K47" s="116">
        <f t="shared" si="3"/>
        <v>24959</v>
      </c>
      <c r="N47" s="112"/>
      <c r="O47" s="112"/>
      <c r="P47" s="112"/>
      <c r="Q47" s="112"/>
      <c r="R47" s="112"/>
      <c r="S47" s="142"/>
      <c r="T47" s="142"/>
      <c r="U47" s="142"/>
      <c r="V47" s="142"/>
      <c r="W47" s="142"/>
    </row>
    <row r="48" spans="1:23" s="120" customFormat="1" ht="16.899999999999999" hidden="1" customHeight="1" outlineLevel="1" x14ac:dyDescent="0.25">
      <c r="A48" s="108"/>
      <c r="B48" s="154"/>
      <c r="C48" s="155"/>
      <c r="D48" s="117">
        <f t="shared" si="1"/>
        <v>41060</v>
      </c>
      <c r="E48" s="154"/>
      <c r="F48" s="116">
        <v>185378</v>
      </c>
      <c r="G48" s="154"/>
      <c r="H48" s="116">
        <v>176374</v>
      </c>
      <c r="I48" s="119">
        <f t="shared" si="2"/>
        <v>8491</v>
      </c>
      <c r="J48" s="116">
        <f t="shared" si="0"/>
        <v>193869</v>
      </c>
      <c r="K48" s="116">
        <f t="shared" si="3"/>
        <v>8491</v>
      </c>
      <c r="N48" s="112"/>
      <c r="O48" s="112"/>
      <c r="P48" s="112"/>
      <c r="Q48" s="112"/>
      <c r="R48" s="112"/>
      <c r="S48" s="142"/>
      <c r="T48" s="142"/>
      <c r="U48" s="142"/>
      <c r="V48" s="142"/>
      <c r="W48" s="142"/>
    </row>
    <row r="49" spans="1:23" s="120" customFormat="1" ht="16.899999999999999" hidden="1" customHeight="1" outlineLevel="1" x14ac:dyDescent="0.25">
      <c r="A49" s="108"/>
      <c r="B49" s="154"/>
      <c r="C49" s="155"/>
      <c r="D49" s="117">
        <f t="shared" si="1"/>
        <v>41090</v>
      </c>
      <c r="E49" s="154"/>
      <c r="F49" s="116">
        <v>239299</v>
      </c>
      <c r="G49" s="154"/>
      <c r="H49" s="116">
        <v>225174</v>
      </c>
      <c r="I49" s="119">
        <f t="shared" si="2"/>
        <v>-25007</v>
      </c>
      <c r="J49" s="116">
        <f t="shared" si="0"/>
        <v>214292</v>
      </c>
      <c r="K49" s="116">
        <f t="shared" si="3"/>
        <v>-25007</v>
      </c>
      <c r="N49" s="112"/>
      <c r="O49" s="112"/>
      <c r="P49" s="112"/>
      <c r="Q49" s="112"/>
      <c r="R49" s="112"/>
      <c r="S49" s="142"/>
      <c r="T49" s="142"/>
      <c r="U49" s="142"/>
      <c r="V49" s="142"/>
      <c r="W49" s="142"/>
    </row>
    <row r="50" spans="1:23" s="120" customFormat="1" ht="16.899999999999999" hidden="1" customHeight="1" outlineLevel="1" x14ac:dyDescent="0.25">
      <c r="A50" s="108"/>
      <c r="B50" s="154"/>
      <c r="C50" s="155"/>
      <c r="D50" s="117">
        <f t="shared" si="1"/>
        <v>41121</v>
      </c>
      <c r="E50" s="154"/>
      <c r="F50" s="116">
        <v>279677</v>
      </c>
      <c r="G50" s="154"/>
      <c r="H50" s="116">
        <v>210615</v>
      </c>
      <c r="I50" s="119">
        <f t="shared" si="2"/>
        <v>-16746</v>
      </c>
      <c r="J50" s="116">
        <f t="shared" si="0"/>
        <v>262931</v>
      </c>
      <c r="K50" s="116">
        <f t="shared" si="3"/>
        <v>-16746</v>
      </c>
      <c r="N50" s="112"/>
      <c r="O50" s="112"/>
      <c r="P50" s="112"/>
      <c r="Q50" s="112"/>
      <c r="R50" s="112"/>
      <c r="S50" s="142"/>
      <c r="T50" s="142"/>
      <c r="U50" s="142"/>
      <c r="V50" s="142"/>
      <c r="W50" s="142"/>
    </row>
    <row r="51" spans="1:23" s="120" customFormat="1" ht="16.899999999999999" hidden="1" customHeight="1" outlineLevel="1" x14ac:dyDescent="0.25">
      <c r="A51" s="108"/>
      <c r="B51" s="154"/>
      <c r="C51" s="155"/>
      <c r="D51" s="117">
        <f t="shared" si="1"/>
        <v>41152</v>
      </c>
      <c r="E51" s="154"/>
      <c r="F51" s="116">
        <v>261409</v>
      </c>
      <c r="G51" s="154"/>
      <c r="H51" s="116">
        <v>252581</v>
      </c>
      <c r="I51" s="119">
        <f t="shared" si="2"/>
        <v>-38289</v>
      </c>
      <c r="J51" s="116">
        <f t="shared" si="0"/>
        <v>223120</v>
      </c>
      <c r="K51" s="116">
        <f t="shared" si="3"/>
        <v>-38289</v>
      </c>
      <c r="N51" s="112"/>
      <c r="O51" s="112"/>
      <c r="P51" s="112"/>
      <c r="Q51" s="112"/>
      <c r="R51" s="112"/>
      <c r="S51" s="142"/>
      <c r="T51" s="142"/>
      <c r="U51" s="142"/>
      <c r="V51" s="142"/>
      <c r="W51" s="142"/>
    </row>
    <row r="52" spans="1:23" s="120" customFormat="1" ht="16.899999999999999" hidden="1" customHeight="1" outlineLevel="1" x14ac:dyDescent="0.25">
      <c r="A52" s="108"/>
      <c r="B52" s="154"/>
      <c r="C52" s="155"/>
      <c r="D52" s="117">
        <f t="shared" si="1"/>
        <v>41182</v>
      </c>
      <c r="E52" s="154"/>
      <c r="F52" s="116">
        <v>184234</v>
      </c>
      <c r="G52" s="154"/>
      <c r="H52" s="116">
        <v>236392</v>
      </c>
      <c r="I52" s="119">
        <f t="shared" si="2"/>
        <v>26539</v>
      </c>
      <c r="J52" s="116">
        <f t="shared" si="0"/>
        <v>210773</v>
      </c>
      <c r="K52" s="116">
        <f t="shared" si="3"/>
        <v>26539</v>
      </c>
      <c r="N52" s="112"/>
      <c r="O52" s="112"/>
      <c r="P52" s="112"/>
      <c r="Q52" s="112"/>
      <c r="R52" s="112"/>
      <c r="S52" s="142"/>
      <c r="T52" s="142"/>
      <c r="U52" s="142"/>
      <c r="V52" s="142"/>
      <c r="W52" s="142"/>
    </row>
    <row r="53" spans="1:23" s="120" customFormat="1" ht="16.899999999999999" hidden="1" customHeight="1" outlineLevel="1" x14ac:dyDescent="0.25">
      <c r="A53" s="108"/>
      <c r="B53" s="154"/>
      <c r="C53" s="155"/>
      <c r="D53" s="117">
        <f t="shared" si="1"/>
        <v>41213</v>
      </c>
      <c r="E53" s="154"/>
      <c r="F53" s="116">
        <v>229117</v>
      </c>
      <c r="G53" s="154"/>
      <c r="H53" s="116">
        <v>196906</v>
      </c>
      <c r="I53" s="119">
        <f t="shared" si="2"/>
        <v>26214</v>
      </c>
      <c r="J53" s="116">
        <f t="shared" si="0"/>
        <v>255331</v>
      </c>
      <c r="K53" s="116">
        <f t="shared" si="3"/>
        <v>26214</v>
      </c>
      <c r="N53" s="112"/>
      <c r="O53" s="112"/>
      <c r="P53" s="112"/>
      <c r="Q53" s="112"/>
      <c r="R53" s="112"/>
      <c r="S53" s="142"/>
      <c r="T53" s="142"/>
      <c r="U53" s="142"/>
      <c r="V53" s="142"/>
      <c r="W53" s="142"/>
    </row>
    <row r="54" spans="1:23" s="120" customFormat="1" ht="16.899999999999999" hidden="1" customHeight="1" outlineLevel="1" x14ac:dyDescent="0.25">
      <c r="A54" s="108"/>
      <c r="B54" s="154"/>
      <c r="C54" s="155"/>
      <c r="D54" s="117">
        <f t="shared" si="1"/>
        <v>41243</v>
      </c>
      <c r="E54" s="154"/>
      <c r="F54" s="116">
        <v>237057</v>
      </c>
      <c r="G54" s="154"/>
      <c r="H54" s="116">
        <v>194496</v>
      </c>
      <c r="I54" s="119">
        <f t="shared" si="2"/>
        <v>16277</v>
      </c>
      <c r="J54" s="116">
        <f t="shared" si="0"/>
        <v>253334</v>
      </c>
      <c r="K54" s="116">
        <f t="shared" si="3"/>
        <v>16277</v>
      </c>
      <c r="N54" s="112"/>
      <c r="O54" s="112"/>
      <c r="P54" s="112"/>
      <c r="Q54" s="112"/>
      <c r="R54" s="112"/>
      <c r="S54" s="142"/>
      <c r="T54" s="142"/>
      <c r="U54" s="142"/>
      <c r="V54" s="142"/>
      <c r="W54" s="142"/>
    </row>
    <row r="55" spans="1:23" s="120" customFormat="1" ht="16.899999999999999" hidden="1" customHeight="1" outlineLevel="1" x14ac:dyDescent="0.25">
      <c r="A55" s="108"/>
      <c r="B55" s="154"/>
      <c r="C55" s="155"/>
      <c r="D55" s="117">
        <f t="shared" si="1"/>
        <v>41274</v>
      </c>
      <c r="E55" s="154"/>
      <c r="F55" s="116">
        <v>276306</v>
      </c>
      <c r="G55" s="154"/>
      <c r="H55" s="116">
        <v>287011</v>
      </c>
      <c r="I55" s="119">
        <f t="shared" si="2"/>
        <v>-31680</v>
      </c>
      <c r="J55" s="116">
        <f t="shared" si="0"/>
        <v>244626</v>
      </c>
      <c r="K55" s="116">
        <f t="shared" si="3"/>
        <v>-31680</v>
      </c>
      <c r="N55" s="112"/>
      <c r="O55" s="112"/>
      <c r="P55" s="112"/>
      <c r="Q55" s="112"/>
      <c r="R55" s="112"/>
      <c r="S55" s="142"/>
      <c r="T55" s="142"/>
      <c r="U55" s="142"/>
      <c r="V55" s="142"/>
      <c r="W55" s="142"/>
    </row>
    <row r="56" spans="1:23" s="120" customFormat="1" ht="16.899999999999999" hidden="1" customHeight="1" outlineLevel="1" x14ac:dyDescent="0.25">
      <c r="A56" s="108"/>
      <c r="B56" s="154"/>
      <c r="C56" s="155"/>
      <c r="D56" s="117">
        <f t="shared" si="1"/>
        <v>41305</v>
      </c>
      <c r="E56" s="154"/>
      <c r="F56" s="116">
        <v>319799</v>
      </c>
      <c r="G56" s="154"/>
      <c r="H56" s="116">
        <v>272672</v>
      </c>
      <c r="I56" s="119">
        <f t="shared" si="2"/>
        <v>-19338</v>
      </c>
      <c r="J56" s="116">
        <f t="shared" si="0"/>
        <v>300461</v>
      </c>
      <c r="K56" s="116">
        <f t="shared" si="3"/>
        <v>-19338</v>
      </c>
      <c r="N56" s="112"/>
      <c r="O56" s="112"/>
      <c r="P56" s="112"/>
      <c r="Q56" s="112"/>
      <c r="R56" s="112"/>
      <c r="S56" s="142"/>
      <c r="T56" s="142"/>
      <c r="U56" s="142"/>
      <c r="V56" s="142"/>
      <c r="W56" s="142"/>
    </row>
    <row r="57" spans="1:23" s="120" customFormat="1" ht="16.899999999999999" hidden="1" customHeight="1" outlineLevel="1" x14ac:dyDescent="0.25">
      <c r="A57" s="108"/>
      <c r="B57" s="154"/>
      <c r="C57" s="155"/>
      <c r="D57" s="117">
        <f t="shared" si="1"/>
        <v>41333</v>
      </c>
      <c r="E57" s="154"/>
      <c r="F57" s="116">
        <v>305424</v>
      </c>
      <c r="G57" s="154"/>
      <c r="H57" s="116">
        <v>268800</v>
      </c>
      <c r="I57" s="119">
        <f t="shared" si="2"/>
        <v>-24174</v>
      </c>
      <c r="J57" s="116">
        <f t="shared" si="0"/>
        <v>281250</v>
      </c>
      <c r="K57" s="116">
        <f t="shared" si="3"/>
        <v>-24174</v>
      </c>
      <c r="N57" s="112"/>
      <c r="O57" s="112"/>
      <c r="P57" s="112"/>
      <c r="Q57" s="112"/>
      <c r="R57" s="112"/>
      <c r="S57" s="142"/>
      <c r="T57" s="142"/>
      <c r="U57" s="142"/>
      <c r="V57" s="142"/>
      <c r="W57" s="142"/>
    </row>
    <row r="58" spans="1:23" s="120" customFormat="1" ht="16.899999999999999" hidden="1" customHeight="1" outlineLevel="1" x14ac:dyDescent="0.25">
      <c r="A58" s="108"/>
      <c r="B58" s="154"/>
      <c r="C58" s="155"/>
      <c r="D58" s="117">
        <f t="shared" si="1"/>
        <v>41364</v>
      </c>
      <c r="E58" s="154"/>
      <c r="F58" s="116">
        <v>267577</v>
      </c>
      <c r="G58" s="154"/>
      <c r="H58" s="116">
        <v>282885</v>
      </c>
      <c r="I58" s="119">
        <f t="shared" si="2"/>
        <v>17576</v>
      </c>
      <c r="J58" s="116">
        <f t="shared" si="0"/>
        <v>285153</v>
      </c>
      <c r="K58" s="116">
        <f t="shared" si="3"/>
        <v>17576</v>
      </c>
      <c r="N58" s="112"/>
      <c r="O58" s="112"/>
      <c r="P58" s="112"/>
      <c r="Q58" s="112"/>
      <c r="R58" s="112"/>
      <c r="S58" s="142"/>
      <c r="T58" s="142"/>
      <c r="U58" s="142"/>
      <c r="V58" s="142"/>
      <c r="W58" s="142"/>
    </row>
    <row r="59" spans="1:23" s="120" customFormat="1" ht="16.899999999999999" hidden="1" customHeight="1" outlineLevel="1" x14ac:dyDescent="0.25">
      <c r="A59" s="108"/>
      <c r="B59" s="154"/>
      <c r="C59" s="155"/>
      <c r="D59" s="117">
        <f t="shared" si="1"/>
        <v>41394</v>
      </c>
      <c r="E59" s="154"/>
      <c r="F59" s="121">
        <v>214751.1</v>
      </c>
      <c r="G59" s="154"/>
      <c r="H59" s="121">
        <v>279642.63</v>
      </c>
      <c r="I59" s="122">
        <f t="shared" si="2"/>
        <v>1612.54</v>
      </c>
      <c r="J59" s="121">
        <f t="shared" si="0"/>
        <v>216363.64</v>
      </c>
      <c r="K59" s="121">
        <v>1612.54</v>
      </c>
      <c r="N59" s="112"/>
      <c r="O59" s="112"/>
      <c r="P59" s="112"/>
      <c r="Q59" s="112"/>
      <c r="R59" s="112"/>
      <c r="S59" s="142"/>
      <c r="T59" s="142"/>
      <c r="U59" s="142"/>
      <c r="V59" s="142"/>
      <c r="W59" s="142"/>
    </row>
    <row r="60" spans="1:23" s="120" customFormat="1" ht="16.899999999999999" hidden="1" customHeight="1" outlineLevel="1" x14ac:dyDescent="0.25">
      <c r="A60" s="108"/>
      <c r="B60" s="154"/>
      <c r="C60" s="155"/>
      <c r="D60" s="117">
        <f t="shared" si="1"/>
        <v>41425</v>
      </c>
      <c r="E60" s="154"/>
      <c r="F60" s="121">
        <v>228596.57</v>
      </c>
      <c r="G60" s="154"/>
      <c r="H60" s="121">
        <v>241018.27</v>
      </c>
      <c r="I60" s="123">
        <f t="shared" si="2"/>
        <v>44134.3</v>
      </c>
      <c r="J60" s="121">
        <f t="shared" si="0"/>
        <v>272730.87</v>
      </c>
      <c r="K60" s="121">
        <v>44134.3</v>
      </c>
      <c r="N60" s="112"/>
      <c r="O60" s="112"/>
      <c r="P60" s="112"/>
      <c r="Q60" s="112"/>
      <c r="R60" s="112"/>
      <c r="S60" s="142"/>
      <c r="T60" s="142"/>
      <c r="U60" s="142"/>
      <c r="V60" s="142"/>
      <c r="W60" s="142"/>
    </row>
    <row r="61" spans="1:23" s="120" customFormat="1" ht="16.899999999999999" hidden="1" customHeight="1" outlineLevel="1" x14ac:dyDescent="0.25">
      <c r="A61" s="108"/>
      <c r="B61" s="154"/>
      <c r="C61" s="155"/>
      <c r="D61" s="117">
        <f t="shared" si="1"/>
        <v>41455</v>
      </c>
      <c r="E61" s="154"/>
      <c r="F61" s="121">
        <v>295956.56</v>
      </c>
      <c r="G61" s="154"/>
      <c r="H61" s="121">
        <v>228956.83</v>
      </c>
      <c r="I61" s="123">
        <f t="shared" si="2"/>
        <v>-12593.189999999973</v>
      </c>
      <c r="J61" s="121">
        <f t="shared" si="0"/>
        <v>283363.37</v>
      </c>
      <c r="K61" s="121">
        <f t="shared" ref="K61:K99" si="4">+J59-H61</f>
        <v>-12593.189999999973</v>
      </c>
      <c r="N61" s="112"/>
      <c r="O61" s="112"/>
      <c r="P61" s="112"/>
      <c r="Q61" s="112"/>
      <c r="R61" s="112"/>
      <c r="S61" s="142"/>
      <c r="T61" s="142"/>
      <c r="U61" s="142"/>
      <c r="V61" s="142"/>
      <c r="W61" s="142"/>
    </row>
    <row r="62" spans="1:23" s="120" customFormat="1" ht="16.899999999999999" hidden="1" customHeight="1" outlineLevel="1" x14ac:dyDescent="0.25">
      <c r="A62" s="108"/>
      <c r="B62" s="154"/>
      <c r="C62" s="155"/>
      <c r="D62" s="117">
        <f t="shared" si="1"/>
        <v>41486</v>
      </c>
      <c r="E62" s="154"/>
      <c r="F62" s="121">
        <v>307454.3</v>
      </c>
      <c r="G62" s="154"/>
      <c r="H62" s="121">
        <v>311004.93</v>
      </c>
      <c r="I62" s="123">
        <f t="shared" si="2"/>
        <v>-38274.06</v>
      </c>
      <c r="J62" s="121">
        <f t="shared" si="0"/>
        <v>269180.24</v>
      </c>
      <c r="K62" s="121">
        <f t="shared" si="4"/>
        <v>-38274.06</v>
      </c>
      <c r="N62" s="112"/>
      <c r="O62" s="112"/>
      <c r="P62" s="112"/>
      <c r="Q62" s="112"/>
      <c r="R62" s="112"/>
      <c r="S62" s="142"/>
      <c r="T62" s="142"/>
      <c r="U62" s="142"/>
      <c r="V62" s="142"/>
      <c r="W62" s="142"/>
    </row>
    <row r="63" spans="1:23" s="120" customFormat="1" ht="16.899999999999999" hidden="1" customHeight="1" outlineLevel="1" x14ac:dyDescent="0.25">
      <c r="A63" s="108"/>
      <c r="B63" s="154"/>
      <c r="C63" s="155"/>
      <c r="D63" s="117">
        <f t="shared" si="1"/>
        <v>41517</v>
      </c>
      <c r="E63" s="154"/>
      <c r="F63" s="121">
        <v>355641.02</v>
      </c>
      <c r="G63" s="154"/>
      <c r="H63" s="121">
        <v>297208.15000000002</v>
      </c>
      <c r="I63" s="123">
        <f t="shared" si="2"/>
        <v>-13844.780000000028</v>
      </c>
      <c r="J63" s="121">
        <f t="shared" si="0"/>
        <v>341796.24</v>
      </c>
      <c r="K63" s="121">
        <f t="shared" si="4"/>
        <v>-13844.780000000028</v>
      </c>
      <c r="N63" s="112"/>
      <c r="O63" s="112"/>
      <c r="P63" s="112"/>
      <c r="Q63" s="112"/>
      <c r="R63" s="112"/>
      <c r="S63" s="142"/>
      <c r="T63" s="142"/>
      <c r="U63" s="142"/>
      <c r="V63" s="142"/>
      <c r="W63" s="142"/>
    </row>
    <row r="64" spans="1:23" s="120" customFormat="1" ht="16.899999999999999" hidden="1" customHeight="1" outlineLevel="1" x14ac:dyDescent="0.25">
      <c r="A64" s="108"/>
      <c r="B64" s="154"/>
      <c r="C64" s="155"/>
      <c r="D64" s="117">
        <f t="shared" si="1"/>
        <v>41547</v>
      </c>
      <c r="E64" s="154"/>
      <c r="F64" s="121">
        <v>342953.18</v>
      </c>
      <c r="G64" s="154"/>
      <c r="H64" s="121">
        <v>258634.39</v>
      </c>
      <c r="I64" s="123">
        <f t="shared" si="2"/>
        <v>10545.849999999977</v>
      </c>
      <c r="J64" s="121">
        <f t="shared" si="0"/>
        <v>353499.02999999997</v>
      </c>
      <c r="K64" s="121">
        <f t="shared" si="4"/>
        <v>10545.849999999977</v>
      </c>
      <c r="N64" s="112"/>
      <c r="O64" s="112"/>
      <c r="P64" s="112"/>
      <c r="Q64" s="112"/>
      <c r="R64" s="112"/>
      <c r="S64" s="142"/>
      <c r="T64" s="142"/>
      <c r="U64" s="142"/>
      <c r="V64" s="142"/>
      <c r="W64" s="142"/>
    </row>
    <row r="65" spans="1:23" s="120" customFormat="1" ht="16.899999999999999" hidden="1" customHeight="1" outlineLevel="1" x14ac:dyDescent="0.25">
      <c r="A65" s="108"/>
      <c r="B65" s="154"/>
      <c r="C65" s="155"/>
      <c r="D65" s="117">
        <f t="shared" si="1"/>
        <v>41578</v>
      </c>
      <c r="E65" s="154"/>
      <c r="F65" s="121">
        <v>257520.03</v>
      </c>
      <c r="G65" s="154"/>
      <c r="H65" s="121">
        <v>317669.71999999997</v>
      </c>
      <c r="I65" s="123">
        <f t="shared" si="2"/>
        <v>24126.520000000019</v>
      </c>
      <c r="J65" s="121">
        <f t="shared" si="0"/>
        <v>281646.55000000005</v>
      </c>
      <c r="K65" s="121">
        <f t="shared" si="4"/>
        <v>24126.520000000019</v>
      </c>
      <c r="N65" s="112"/>
      <c r="O65" s="112"/>
      <c r="P65" s="112"/>
      <c r="Q65" s="112"/>
      <c r="R65" s="112"/>
      <c r="S65" s="142"/>
      <c r="T65" s="142"/>
      <c r="U65" s="142"/>
      <c r="V65" s="142"/>
      <c r="W65" s="142"/>
    </row>
    <row r="66" spans="1:23" s="120" customFormat="1" ht="16.899999999999999" hidden="1" customHeight="1" outlineLevel="1" x14ac:dyDescent="0.25">
      <c r="A66" s="108"/>
      <c r="B66" s="154"/>
      <c r="C66" s="155"/>
      <c r="D66" s="117">
        <f t="shared" si="1"/>
        <v>41608</v>
      </c>
      <c r="E66" s="154"/>
      <c r="F66" s="121">
        <v>410934.89</v>
      </c>
      <c r="G66" s="154"/>
      <c r="H66" s="121">
        <v>341516.21</v>
      </c>
      <c r="I66" s="123">
        <f t="shared" si="2"/>
        <v>11982.819999999949</v>
      </c>
      <c r="J66" s="121">
        <f t="shared" si="0"/>
        <v>422917.70999999996</v>
      </c>
      <c r="K66" s="121">
        <f t="shared" si="4"/>
        <v>11982.819999999949</v>
      </c>
      <c r="N66" s="112"/>
      <c r="O66" s="112"/>
      <c r="P66" s="112"/>
      <c r="Q66" s="112"/>
      <c r="R66" s="112"/>
      <c r="S66" s="142"/>
      <c r="T66" s="142"/>
      <c r="U66" s="142"/>
      <c r="V66" s="142"/>
      <c r="W66" s="142"/>
    </row>
    <row r="67" spans="1:23" s="120" customFormat="1" ht="16.899999999999999" hidden="1" customHeight="1" outlineLevel="1" x14ac:dyDescent="0.25">
      <c r="A67" s="108"/>
      <c r="B67" s="154"/>
      <c r="C67" s="155"/>
      <c r="D67" s="117">
        <f t="shared" si="1"/>
        <v>41639</v>
      </c>
      <c r="E67" s="154"/>
      <c r="F67" s="121">
        <v>458036.89</v>
      </c>
      <c r="G67" s="154"/>
      <c r="H67" s="121">
        <v>311280.90999999997</v>
      </c>
      <c r="I67" s="123">
        <f t="shared" si="2"/>
        <v>-29634.359999999928</v>
      </c>
      <c r="J67" s="121">
        <f t="shared" si="0"/>
        <v>428402.53000000009</v>
      </c>
      <c r="K67" s="121">
        <f t="shared" si="4"/>
        <v>-29634.359999999928</v>
      </c>
      <c r="N67" s="112"/>
      <c r="O67" s="112"/>
      <c r="P67" s="112"/>
      <c r="Q67" s="112"/>
      <c r="R67" s="112"/>
      <c r="S67" s="142"/>
      <c r="T67" s="142"/>
      <c r="U67" s="142"/>
      <c r="V67" s="142"/>
      <c r="W67" s="142"/>
    </row>
    <row r="68" spans="1:23" s="120" customFormat="1" ht="16.899999999999999" hidden="1" customHeight="1" outlineLevel="1" x14ac:dyDescent="0.25">
      <c r="A68" s="108"/>
      <c r="B68" s="154"/>
      <c r="C68" s="155"/>
      <c r="D68" s="117">
        <f t="shared" si="1"/>
        <v>41670</v>
      </c>
      <c r="E68" s="154"/>
      <c r="F68" s="121">
        <v>603901.93999999994</v>
      </c>
      <c r="G68" s="154"/>
      <c r="H68" s="121">
        <v>475740.33</v>
      </c>
      <c r="I68" s="123">
        <f t="shared" si="2"/>
        <v>-52822.620000000054</v>
      </c>
      <c r="J68" s="121">
        <f t="shared" si="0"/>
        <v>551079.31999999983</v>
      </c>
      <c r="K68" s="121">
        <f t="shared" si="4"/>
        <v>-52822.620000000054</v>
      </c>
      <c r="N68" s="112"/>
      <c r="O68" s="112"/>
      <c r="P68" s="112"/>
      <c r="Q68" s="112"/>
      <c r="R68" s="112"/>
      <c r="S68" s="142"/>
      <c r="T68" s="142"/>
      <c r="U68" s="142"/>
      <c r="V68" s="142"/>
      <c r="W68" s="142"/>
    </row>
    <row r="69" spans="1:23" s="120" customFormat="1" ht="16.899999999999999" hidden="1" customHeight="1" outlineLevel="1" x14ac:dyDescent="0.25">
      <c r="A69" s="108"/>
      <c r="B69" s="154"/>
      <c r="C69" s="155"/>
      <c r="D69" s="117">
        <f t="shared" si="1"/>
        <v>41698</v>
      </c>
      <c r="E69" s="154"/>
      <c r="F69" s="121">
        <v>494765.42</v>
      </c>
      <c r="G69" s="154"/>
      <c r="H69" s="121">
        <v>465127.59</v>
      </c>
      <c r="I69" s="123">
        <f t="shared" si="2"/>
        <v>-36725.059999999939</v>
      </c>
      <c r="J69" s="121">
        <f t="shared" si="0"/>
        <v>458040.36000000004</v>
      </c>
      <c r="K69" s="121">
        <f t="shared" si="4"/>
        <v>-36725.059999999939</v>
      </c>
      <c r="N69" s="112"/>
      <c r="O69" s="112"/>
      <c r="P69" s="112"/>
      <c r="Q69" s="112"/>
      <c r="R69" s="112"/>
      <c r="S69" s="142"/>
      <c r="T69" s="142"/>
      <c r="U69" s="142"/>
      <c r="V69" s="142"/>
      <c r="W69" s="142"/>
    </row>
    <row r="70" spans="1:23" s="120" customFormat="1" ht="16.899999999999999" hidden="1" customHeight="1" outlineLevel="1" x14ac:dyDescent="0.25">
      <c r="A70" s="108"/>
      <c r="B70" s="154"/>
      <c r="C70" s="155"/>
      <c r="D70" s="117">
        <f t="shared" si="1"/>
        <v>41729</v>
      </c>
      <c r="E70" s="154"/>
      <c r="F70" s="121">
        <v>226302.72</v>
      </c>
      <c r="G70" s="154"/>
      <c r="H70" s="121">
        <v>508707.69</v>
      </c>
      <c r="I70" s="123">
        <f t="shared" si="2"/>
        <v>42371.62999999983</v>
      </c>
      <c r="J70" s="121">
        <f t="shared" si="0"/>
        <v>268674.34999999986</v>
      </c>
      <c r="K70" s="121">
        <f t="shared" si="4"/>
        <v>42371.62999999983</v>
      </c>
      <c r="N70" s="112"/>
      <c r="O70" s="112"/>
      <c r="P70" s="112"/>
      <c r="Q70" s="112"/>
      <c r="R70" s="112"/>
      <c r="S70" s="142"/>
      <c r="T70" s="142"/>
      <c r="U70" s="142"/>
      <c r="V70" s="142"/>
      <c r="W70" s="142"/>
    </row>
    <row r="71" spans="1:23" s="120" customFormat="1" ht="16.899999999999999" hidden="1" customHeight="1" outlineLevel="1" x14ac:dyDescent="0.25">
      <c r="A71" s="108"/>
      <c r="B71" s="154"/>
      <c r="C71" s="155"/>
      <c r="D71" s="117">
        <f t="shared" si="1"/>
        <v>41759</v>
      </c>
      <c r="E71" s="154"/>
      <c r="F71" s="121">
        <v>276403.67</v>
      </c>
      <c r="G71" s="154"/>
      <c r="H71" s="121">
        <v>416475.63</v>
      </c>
      <c r="I71" s="123">
        <f t="shared" si="2"/>
        <v>41564.73000000004</v>
      </c>
      <c r="J71" s="121">
        <f t="shared" si="0"/>
        <v>317968.40000000002</v>
      </c>
      <c r="K71" s="121">
        <f t="shared" si="4"/>
        <v>41564.73000000004</v>
      </c>
      <c r="N71" s="112"/>
      <c r="O71" s="112"/>
      <c r="P71" s="112"/>
      <c r="Q71" s="112"/>
      <c r="R71" s="112"/>
      <c r="S71" s="142"/>
      <c r="T71" s="142"/>
      <c r="U71" s="142"/>
      <c r="V71" s="142"/>
      <c r="W71" s="142"/>
    </row>
    <row r="72" spans="1:23" s="120" customFormat="1" ht="16.899999999999999" hidden="1" customHeight="1" outlineLevel="1" x14ac:dyDescent="0.25">
      <c r="A72" s="108"/>
      <c r="B72" s="154"/>
      <c r="C72" s="155"/>
      <c r="D72" s="117">
        <f t="shared" si="1"/>
        <v>41790</v>
      </c>
      <c r="E72" s="154"/>
      <c r="F72" s="121">
        <v>254647.72</v>
      </c>
      <c r="G72" s="154"/>
      <c r="H72" s="121">
        <v>225590.77</v>
      </c>
      <c r="I72" s="123">
        <f t="shared" si="2"/>
        <v>43083.579999999871</v>
      </c>
      <c r="J72" s="121">
        <f t="shared" si="0"/>
        <v>297731.29999999987</v>
      </c>
      <c r="K72" s="121">
        <f t="shared" si="4"/>
        <v>43083.579999999871</v>
      </c>
      <c r="N72" s="112"/>
      <c r="O72" s="112"/>
      <c r="P72" s="112"/>
      <c r="Q72" s="112"/>
      <c r="R72" s="112"/>
      <c r="S72" s="142"/>
      <c r="T72" s="142"/>
      <c r="U72" s="142"/>
      <c r="V72" s="142"/>
      <c r="W72" s="142"/>
    </row>
    <row r="73" spans="1:23" s="120" customFormat="1" ht="16.899999999999999" hidden="1" customHeight="1" outlineLevel="1" x14ac:dyDescent="0.25">
      <c r="A73" s="108"/>
      <c r="B73" s="154"/>
      <c r="C73" s="155"/>
      <c r="D73" s="117">
        <f t="shared" si="1"/>
        <v>41820</v>
      </c>
      <c r="E73" s="154"/>
      <c r="F73" s="121">
        <v>469396.36</v>
      </c>
      <c r="G73" s="154"/>
      <c r="H73" s="121">
        <v>356539.66</v>
      </c>
      <c r="I73" s="123">
        <f t="shared" si="2"/>
        <v>-38571.259999999951</v>
      </c>
      <c r="J73" s="121">
        <f t="shared" si="0"/>
        <v>430825.10000000003</v>
      </c>
      <c r="K73" s="121">
        <f t="shared" si="4"/>
        <v>-38571.259999999951</v>
      </c>
      <c r="N73" s="112"/>
      <c r="O73" s="112"/>
      <c r="P73" s="112"/>
      <c r="Q73" s="112"/>
      <c r="R73" s="112"/>
      <c r="S73" s="142"/>
      <c r="T73" s="142"/>
      <c r="U73" s="142"/>
      <c r="V73" s="142"/>
      <c r="W73" s="142"/>
    </row>
    <row r="74" spans="1:23" s="120" customFormat="1" ht="16.899999999999999" hidden="1" customHeight="1" outlineLevel="1" x14ac:dyDescent="0.25">
      <c r="A74" s="108"/>
      <c r="B74" s="154"/>
      <c r="C74" s="155"/>
      <c r="D74" s="117">
        <f t="shared" si="1"/>
        <v>41851</v>
      </c>
      <c r="E74" s="154"/>
      <c r="F74" s="121">
        <v>472223.74</v>
      </c>
      <c r="G74" s="154"/>
      <c r="H74" s="121">
        <v>334164.55</v>
      </c>
      <c r="I74" s="123">
        <f t="shared" si="2"/>
        <v>-36433.250000000116</v>
      </c>
      <c r="J74" s="121">
        <f t="shared" si="0"/>
        <v>435790.48999999987</v>
      </c>
      <c r="K74" s="121">
        <f t="shared" si="4"/>
        <v>-36433.250000000116</v>
      </c>
      <c r="N74" s="112"/>
      <c r="O74" s="112"/>
      <c r="P74" s="112"/>
      <c r="Q74" s="112"/>
      <c r="R74" s="112"/>
      <c r="S74" s="142"/>
      <c r="T74" s="142"/>
      <c r="U74" s="142"/>
      <c r="V74" s="142"/>
      <c r="W74" s="142"/>
    </row>
    <row r="75" spans="1:23" s="120" customFormat="1" ht="16.899999999999999" hidden="1" customHeight="1" outlineLevel="1" x14ac:dyDescent="0.25">
      <c r="A75" s="108"/>
      <c r="B75" s="154"/>
      <c r="C75" s="155"/>
      <c r="D75" s="117">
        <f t="shared" si="1"/>
        <v>41882</v>
      </c>
      <c r="E75" s="154"/>
      <c r="F75" s="121">
        <v>611798.96</v>
      </c>
      <c r="G75" s="154"/>
      <c r="H75" s="121">
        <v>434872.15</v>
      </c>
      <c r="I75" s="123">
        <f t="shared" si="2"/>
        <v>-4047.0499999999884</v>
      </c>
      <c r="J75" s="121">
        <f t="shared" si="0"/>
        <v>607751.90999999992</v>
      </c>
      <c r="K75" s="121">
        <f t="shared" si="4"/>
        <v>-4047.0499999999884</v>
      </c>
      <c r="N75" s="112"/>
      <c r="O75" s="112"/>
      <c r="P75" s="112"/>
      <c r="Q75" s="112"/>
      <c r="R75" s="112"/>
      <c r="S75" s="142"/>
      <c r="T75" s="142"/>
      <c r="U75" s="142"/>
      <c r="V75" s="142"/>
      <c r="W75" s="142"/>
    </row>
    <row r="76" spans="1:23" s="120" customFormat="1" ht="16.899999999999999" hidden="1" customHeight="1" outlineLevel="1" x14ac:dyDescent="0.25">
      <c r="A76" s="108"/>
      <c r="B76" s="154"/>
      <c r="C76" s="155"/>
      <c r="D76" s="117">
        <f t="shared" si="1"/>
        <v>41912</v>
      </c>
      <c r="E76" s="154"/>
      <c r="F76" s="121">
        <v>510404.61</v>
      </c>
      <c r="G76" s="154"/>
      <c r="H76" s="121">
        <v>448600.31</v>
      </c>
      <c r="I76" s="123">
        <f t="shared" si="2"/>
        <v>-12809.820000000123</v>
      </c>
      <c r="J76" s="121">
        <f t="shared" si="0"/>
        <v>497594.78999999986</v>
      </c>
      <c r="K76" s="121">
        <f t="shared" si="4"/>
        <v>-12809.820000000123</v>
      </c>
      <c r="N76" s="112"/>
      <c r="O76" s="112"/>
      <c r="P76" s="112"/>
      <c r="Q76" s="112"/>
      <c r="R76" s="112"/>
      <c r="S76" s="142"/>
      <c r="T76" s="142"/>
      <c r="U76" s="142"/>
      <c r="V76" s="142"/>
      <c r="W76" s="142"/>
    </row>
    <row r="77" spans="1:23" s="120" customFormat="1" ht="16.899999999999999" hidden="1" customHeight="1" outlineLevel="1" x14ac:dyDescent="0.25">
      <c r="A77" s="108"/>
      <c r="B77" s="154"/>
      <c r="C77" s="155"/>
      <c r="D77" s="117">
        <f t="shared" si="1"/>
        <v>41943</v>
      </c>
      <c r="E77" s="154"/>
      <c r="F77" s="121">
        <v>387249.99</v>
      </c>
      <c r="G77" s="154"/>
      <c r="H77" s="121">
        <v>543672.09</v>
      </c>
      <c r="I77" s="123">
        <f t="shared" si="2"/>
        <v>64079.819999999949</v>
      </c>
      <c r="J77" s="121">
        <f t="shared" si="0"/>
        <v>451329.80999999994</v>
      </c>
      <c r="K77" s="121">
        <f t="shared" si="4"/>
        <v>64079.819999999949</v>
      </c>
      <c r="N77" s="112"/>
      <c r="O77" s="112"/>
      <c r="P77" s="112"/>
      <c r="Q77" s="112"/>
      <c r="R77" s="112"/>
      <c r="S77" s="142"/>
      <c r="T77" s="142"/>
      <c r="U77" s="142"/>
      <c r="V77" s="142"/>
      <c r="W77" s="142"/>
    </row>
    <row r="78" spans="1:23" s="120" customFormat="1" ht="16.899999999999999" hidden="1" customHeight="1" outlineLevel="1" x14ac:dyDescent="0.25">
      <c r="A78" s="108"/>
      <c r="B78" s="154"/>
      <c r="C78" s="155"/>
      <c r="D78" s="117">
        <f t="shared" si="1"/>
        <v>41973</v>
      </c>
      <c r="E78" s="154"/>
      <c r="F78" s="121">
        <v>475626.7</v>
      </c>
      <c r="G78" s="154"/>
      <c r="H78" s="121">
        <v>476237.86</v>
      </c>
      <c r="I78" s="123">
        <f t="shared" si="2"/>
        <v>21356.929999999877</v>
      </c>
      <c r="J78" s="121">
        <f t="shared" ref="J78:J99" si="5">+F78+I78</f>
        <v>496983.62999999989</v>
      </c>
      <c r="K78" s="121">
        <f t="shared" si="4"/>
        <v>21356.929999999877</v>
      </c>
      <c r="N78" s="112"/>
      <c r="O78" s="112"/>
      <c r="P78" s="112"/>
      <c r="Q78" s="112"/>
      <c r="R78" s="112"/>
      <c r="S78" s="142"/>
      <c r="T78" s="142"/>
      <c r="U78" s="142"/>
      <c r="V78" s="142"/>
      <c r="W78" s="142"/>
    </row>
    <row r="79" spans="1:23" s="120" customFormat="1" ht="16.899999999999999" hidden="1" customHeight="1" outlineLevel="1" x14ac:dyDescent="0.25">
      <c r="A79" s="108"/>
      <c r="B79" s="154"/>
      <c r="C79" s="155"/>
      <c r="D79" s="117">
        <f t="shared" si="1"/>
        <v>42004</v>
      </c>
      <c r="E79" s="154"/>
      <c r="F79" s="121">
        <v>530690.27</v>
      </c>
      <c r="G79" s="154"/>
      <c r="H79" s="121">
        <v>541545.91</v>
      </c>
      <c r="I79" s="123">
        <f t="shared" si="2"/>
        <v>-90216.100000000093</v>
      </c>
      <c r="J79" s="121">
        <f t="shared" si="5"/>
        <v>440474.16999999993</v>
      </c>
      <c r="K79" s="121">
        <f t="shared" si="4"/>
        <v>-90216.100000000093</v>
      </c>
      <c r="N79" s="112"/>
      <c r="O79" s="112"/>
      <c r="P79" s="112"/>
      <c r="Q79" s="112"/>
      <c r="R79" s="112"/>
      <c r="S79" s="142"/>
      <c r="T79" s="142"/>
      <c r="U79" s="142"/>
      <c r="V79" s="142"/>
      <c r="W79" s="142"/>
    </row>
    <row r="80" spans="1:23" s="120" customFormat="1" ht="16.899999999999999" hidden="1" customHeight="1" outlineLevel="1" x14ac:dyDescent="0.25">
      <c r="A80" s="108"/>
      <c r="B80" s="154"/>
      <c r="C80" s="155"/>
      <c r="D80" s="117">
        <f t="shared" ref="D80:D95" si="6">EOMONTH(D79,1)</f>
        <v>42035</v>
      </c>
      <c r="E80" s="154"/>
      <c r="F80" s="121">
        <v>624510.27</v>
      </c>
      <c r="G80" s="154"/>
      <c r="H80" s="121">
        <v>514613.35</v>
      </c>
      <c r="I80" s="123">
        <f t="shared" ref="I80:I91" si="7">+K80</f>
        <v>-17629.720000000088</v>
      </c>
      <c r="J80" s="121">
        <f t="shared" si="5"/>
        <v>606880.54999999993</v>
      </c>
      <c r="K80" s="121">
        <f t="shared" si="4"/>
        <v>-17629.720000000088</v>
      </c>
      <c r="N80" s="112"/>
      <c r="O80" s="112"/>
      <c r="P80" s="112"/>
      <c r="Q80" s="112"/>
      <c r="R80" s="112"/>
      <c r="S80" s="142"/>
      <c r="T80" s="142"/>
      <c r="U80" s="142"/>
      <c r="V80" s="142"/>
      <c r="W80" s="142"/>
    </row>
    <row r="81" spans="1:23" s="120" customFormat="1" ht="16.899999999999999" hidden="1" customHeight="1" outlineLevel="1" x14ac:dyDescent="0.25">
      <c r="A81" s="108"/>
      <c r="B81" s="154"/>
      <c r="C81" s="155"/>
      <c r="D81" s="117">
        <f t="shared" si="6"/>
        <v>42063</v>
      </c>
      <c r="E81" s="154"/>
      <c r="F81" s="121">
        <v>637414.80000000005</v>
      </c>
      <c r="G81" s="154"/>
      <c r="H81" s="121">
        <v>468537.7</v>
      </c>
      <c r="I81" s="123">
        <f t="shared" si="7"/>
        <v>-28063.530000000086</v>
      </c>
      <c r="J81" s="121">
        <f t="shared" si="5"/>
        <v>609351.27</v>
      </c>
      <c r="K81" s="121">
        <f t="shared" si="4"/>
        <v>-28063.530000000086</v>
      </c>
      <c r="N81" s="112"/>
      <c r="O81" s="112"/>
      <c r="P81" s="112"/>
      <c r="Q81" s="112"/>
      <c r="R81" s="112"/>
      <c r="S81" s="142"/>
      <c r="T81" s="142"/>
      <c r="U81" s="142"/>
      <c r="V81" s="142"/>
      <c r="W81" s="142"/>
    </row>
    <row r="82" spans="1:23" s="120" customFormat="1" ht="16.899999999999999" hidden="1" customHeight="1" outlineLevel="1" x14ac:dyDescent="0.25">
      <c r="A82" s="108"/>
      <c r="B82" s="154"/>
      <c r="C82" s="155"/>
      <c r="D82" s="117">
        <f t="shared" si="6"/>
        <v>42094</v>
      </c>
      <c r="E82" s="154"/>
      <c r="F82" s="121">
        <v>345334.55</v>
      </c>
      <c r="G82" s="154"/>
      <c r="H82" s="121">
        <v>599918.57999999996</v>
      </c>
      <c r="I82" s="123">
        <f t="shared" si="7"/>
        <v>6961.9699999999721</v>
      </c>
      <c r="J82" s="121">
        <f t="shared" si="5"/>
        <v>352296.51999999996</v>
      </c>
      <c r="K82" s="121">
        <f t="shared" si="4"/>
        <v>6961.9699999999721</v>
      </c>
      <c r="N82" s="112"/>
      <c r="O82" s="112"/>
      <c r="P82" s="112"/>
      <c r="Q82" s="112"/>
      <c r="R82" s="112"/>
      <c r="S82" s="142"/>
      <c r="T82" s="142"/>
      <c r="U82" s="142"/>
      <c r="V82" s="142"/>
      <c r="W82" s="142"/>
    </row>
    <row r="83" spans="1:23" s="120" customFormat="1" ht="18" hidden="1" customHeight="1" outlineLevel="1" x14ac:dyDescent="0.25">
      <c r="A83" s="108"/>
      <c r="B83" s="156"/>
      <c r="C83" s="155"/>
      <c r="D83" s="117">
        <f t="shared" si="6"/>
        <v>42124</v>
      </c>
      <c r="E83" s="156"/>
      <c r="F83" s="121">
        <v>174221.2</v>
      </c>
      <c r="G83" s="156"/>
      <c r="H83" s="121">
        <v>512289.6</v>
      </c>
      <c r="I83" s="123">
        <f t="shared" si="7"/>
        <v>97061.670000000042</v>
      </c>
      <c r="J83" s="121">
        <f t="shared" si="5"/>
        <v>271282.87000000005</v>
      </c>
      <c r="K83" s="121">
        <f t="shared" si="4"/>
        <v>97061.670000000042</v>
      </c>
      <c r="N83" s="112"/>
      <c r="O83" s="112"/>
      <c r="P83" s="112"/>
      <c r="Q83" s="112"/>
      <c r="R83" s="112"/>
      <c r="S83" s="143"/>
      <c r="T83" s="143"/>
      <c r="U83" s="143"/>
      <c r="V83" s="143"/>
      <c r="W83" s="143"/>
    </row>
    <row r="84" spans="1:23" s="120" customFormat="1" ht="18" hidden="1" customHeight="1" outlineLevel="1" x14ac:dyDescent="0.25">
      <c r="A84" s="108"/>
      <c r="B84" s="156"/>
      <c r="C84" s="155"/>
      <c r="D84" s="117">
        <f t="shared" si="6"/>
        <v>42155</v>
      </c>
      <c r="E84" s="156"/>
      <c r="F84" s="121">
        <v>221413.47</v>
      </c>
      <c r="G84" s="156"/>
      <c r="H84" s="121">
        <v>302710.83</v>
      </c>
      <c r="I84" s="123">
        <f t="shared" si="7"/>
        <v>49585.689999999944</v>
      </c>
      <c r="J84" s="121">
        <f t="shared" si="5"/>
        <v>270999.15999999992</v>
      </c>
      <c r="K84" s="121">
        <f t="shared" si="4"/>
        <v>49585.689999999944</v>
      </c>
      <c r="N84" s="112"/>
      <c r="O84" s="112"/>
      <c r="P84" s="112"/>
      <c r="Q84" s="112"/>
      <c r="R84" s="112"/>
      <c r="S84" s="143"/>
      <c r="T84" s="143"/>
      <c r="U84" s="143"/>
      <c r="V84" s="143"/>
      <c r="W84" s="143"/>
    </row>
    <row r="85" spans="1:23" s="120" customFormat="1" ht="18" hidden="1" customHeight="1" outlineLevel="1" x14ac:dyDescent="0.25">
      <c r="A85" s="108"/>
      <c r="B85" s="156"/>
      <c r="C85" s="155"/>
      <c r="D85" s="117">
        <f t="shared" si="6"/>
        <v>42185</v>
      </c>
      <c r="E85" s="156"/>
      <c r="F85" s="121">
        <v>587137.81000000006</v>
      </c>
      <c r="G85" s="156"/>
      <c r="H85" s="121">
        <v>298022.21000000002</v>
      </c>
      <c r="I85" s="123">
        <f t="shared" si="7"/>
        <v>-26739.339999999967</v>
      </c>
      <c r="J85" s="121">
        <f t="shared" si="5"/>
        <v>560398.47000000009</v>
      </c>
      <c r="K85" s="121">
        <f t="shared" si="4"/>
        <v>-26739.339999999967</v>
      </c>
      <c r="N85" s="112"/>
      <c r="O85" s="112"/>
      <c r="P85" s="112"/>
      <c r="Q85" s="112"/>
      <c r="R85" s="112"/>
      <c r="S85" s="143"/>
      <c r="T85" s="143"/>
      <c r="U85" s="143"/>
      <c r="V85" s="143"/>
      <c r="W85" s="143"/>
    </row>
    <row r="86" spans="1:23" s="120" customFormat="1" ht="18" hidden="1" customHeight="1" outlineLevel="1" x14ac:dyDescent="0.25">
      <c r="A86" s="108"/>
      <c r="B86" s="156"/>
      <c r="C86" s="155"/>
      <c r="D86" s="117">
        <f t="shared" si="6"/>
        <v>42216</v>
      </c>
      <c r="E86" s="156"/>
      <c r="F86" s="121">
        <v>437555.91</v>
      </c>
      <c r="G86" s="156"/>
      <c r="H86" s="121">
        <v>309964.65000000002</v>
      </c>
      <c r="I86" s="123">
        <f t="shared" si="7"/>
        <v>-38965.490000000107</v>
      </c>
      <c r="J86" s="121">
        <f t="shared" si="5"/>
        <v>398590.41999999987</v>
      </c>
      <c r="K86" s="121">
        <f t="shared" si="4"/>
        <v>-38965.490000000107</v>
      </c>
      <c r="N86" s="112"/>
      <c r="O86" s="112"/>
      <c r="P86" s="112"/>
      <c r="Q86" s="112"/>
      <c r="R86" s="112"/>
      <c r="S86" s="143"/>
      <c r="T86" s="143"/>
      <c r="U86" s="143"/>
      <c r="V86" s="143"/>
      <c r="W86" s="143"/>
    </row>
    <row r="87" spans="1:23" s="120" customFormat="1" ht="18" hidden="1" customHeight="1" outlineLevel="1" x14ac:dyDescent="0.25">
      <c r="A87" s="108"/>
      <c r="B87" s="156"/>
      <c r="C87" s="155"/>
      <c r="D87" s="117">
        <f t="shared" si="6"/>
        <v>42247</v>
      </c>
      <c r="E87" s="156"/>
      <c r="F87" s="121">
        <v>488735.02</v>
      </c>
      <c r="G87" s="156"/>
      <c r="H87" s="121">
        <v>590273.87</v>
      </c>
      <c r="I87" s="123">
        <f t="shared" si="7"/>
        <v>-29875.399999999907</v>
      </c>
      <c r="J87" s="121">
        <f t="shared" si="5"/>
        <v>458859.62000000011</v>
      </c>
      <c r="K87" s="121">
        <f t="shared" si="4"/>
        <v>-29875.399999999907</v>
      </c>
      <c r="N87" s="112"/>
      <c r="O87" s="112"/>
      <c r="P87" s="112"/>
      <c r="Q87" s="112"/>
      <c r="R87" s="112"/>
      <c r="S87" s="143"/>
      <c r="T87" s="143"/>
      <c r="U87" s="143"/>
      <c r="V87" s="143"/>
      <c r="W87" s="143"/>
    </row>
    <row r="88" spans="1:23" s="120" customFormat="1" ht="18" hidden="1" customHeight="1" outlineLevel="1" x14ac:dyDescent="0.25">
      <c r="A88" s="108"/>
      <c r="B88" s="156"/>
      <c r="C88" s="155"/>
      <c r="D88" s="117">
        <f t="shared" si="6"/>
        <v>42277</v>
      </c>
      <c r="E88" s="156"/>
      <c r="F88" s="121">
        <v>369160</v>
      </c>
      <c r="G88" s="156"/>
      <c r="H88" s="121">
        <v>371284.01</v>
      </c>
      <c r="I88" s="123">
        <f t="shared" si="7"/>
        <v>27306.409999999858</v>
      </c>
      <c r="J88" s="121">
        <f t="shared" si="5"/>
        <v>396466.40999999986</v>
      </c>
      <c r="K88" s="121">
        <f t="shared" si="4"/>
        <v>27306.409999999858</v>
      </c>
      <c r="N88" s="112"/>
      <c r="O88" s="112"/>
      <c r="P88" s="112"/>
      <c r="Q88" s="112"/>
      <c r="R88" s="112"/>
      <c r="S88" s="143"/>
      <c r="T88" s="143"/>
      <c r="U88" s="143"/>
      <c r="V88" s="143"/>
      <c r="W88" s="143"/>
    </row>
    <row r="89" spans="1:23" s="120" customFormat="1" ht="18" hidden="1" customHeight="1" outlineLevel="1" x14ac:dyDescent="0.25">
      <c r="A89" s="108"/>
      <c r="B89" s="156"/>
      <c r="C89" s="155"/>
      <c r="D89" s="117">
        <f t="shared" si="6"/>
        <v>42308</v>
      </c>
      <c r="E89" s="156"/>
      <c r="F89" s="121">
        <v>288917.18</v>
      </c>
      <c r="G89" s="156"/>
      <c r="H89" s="121">
        <v>445808.89</v>
      </c>
      <c r="I89" s="123">
        <f t="shared" si="7"/>
        <v>13050.730000000098</v>
      </c>
      <c r="J89" s="121">
        <f t="shared" si="5"/>
        <v>301967.91000000009</v>
      </c>
      <c r="K89" s="121">
        <f t="shared" si="4"/>
        <v>13050.730000000098</v>
      </c>
      <c r="N89" s="112"/>
      <c r="O89" s="112"/>
      <c r="P89" s="112"/>
      <c r="Q89" s="112"/>
      <c r="R89" s="112"/>
      <c r="S89" s="143"/>
      <c r="T89" s="143"/>
      <c r="U89" s="143"/>
      <c r="V89" s="143"/>
      <c r="W89" s="143"/>
    </row>
    <row r="90" spans="1:23" s="120" customFormat="1" ht="18" hidden="1" customHeight="1" outlineLevel="1" x14ac:dyDescent="0.25">
      <c r="A90" s="108"/>
      <c r="B90" s="156"/>
      <c r="C90" s="155"/>
      <c r="D90" s="117">
        <f t="shared" si="6"/>
        <v>42338</v>
      </c>
      <c r="E90" s="156"/>
      <c r="F90" s="121">
        <v>247234.19</v>
      </c>
      <c r="G90" s="156"/>
      <c r="H90" s="121">
        <v>349567.48</v>
      </c>
      <c r="I90" s="123">
        <f t="shared" si="7"/>
        <v>46898.929999999877</v>
      </c>
      <c r="J90" s="121">
        <f t="shared" si="5"/>
        <v>294133.11999999988</v>
      </c>
      <c r="K90" s="121">
        <f t="shared" si="4"/>
        <v>46898.929999999877</v>
      </c>
      <c r="N90" s="112"/>
      <c r="O90" s="112"/>
      <c r="P90" s="112"/>
      <c r="Q90" s="112"/>
      <c r="R90" s="112"/>
      <c r="S90" s="143"/>
      <c r="T90" s="143"/>
      <c r="U90" s="143"/>
      <c r="V90" s="143"/>
      <c r="W90" s="143"/>
    </row>
    <row r="91" spans="1:23" s="120" customFormat="1" ht="18" hidden="1" customHeight="1" outlineLevel="1" x14ac:dyDescent="0.25">
      <c r="A91" s="108"/>
      <c r="B91" s="156"/>
      <c r="C91" s="155"/>
      <c r="D91" s="117">
        <f t="shared" si="6"/>
        <v>42369</v>
      </c>
      <c r="E91" s="156"/>
      <c r="F91" s="121">
        <v>399366.28</v>
      </c>
      <c r="G91" s="156"/>
      <c r="H91" s="121">
        <v>318818.58</v>
      </c>
      <c r="I91" s="123">
        <f t="shared" si="7"/>
        <v>-16850.669999999925</v>
      </c>
      <c r="J91" s="121">
        <f t="shared" si="5"/>
        <v>382515.6100000001</v>
      </c>
      <c r="K91" s="121">
        <f t="shared" si="4"/>
        <v>-16850.669999999925</v>
      </c>
      <c r="N91" s="112"/>
      <c r="O91" s="112"/>
      <c r="P91" s="112"/>
      <c r="Q91" s="112"/>
      <c r="R91" s="112"/>
      <c r="S91" s="143"/>
      <c r="T91" s="143"/>
      <c r="U91" s="143"/>
      <c r="V91" s="143"/>
      <c r="W91" s="143"/>
    </row>
    <row r="92" spans="1:23" s="120" customFormat="1" ht="18" hidden="1" customHeight="1" outlineLevel="1" x14ac:dyDescent="0.25">
      <c r="A92" s="108"/>
      <c r="B92" s="156"/>
      <c r="C92" s="155"/>
      <c r="D92" s="117">
        <f t="shared" si="6"/>
        <v>42400</v>
      </c>
      <c r="E92" s="156"/>
      <c r="F92" s="121">
        <v>576129.63</v>
      </c>
      <c r="G92" s="156"/>
      <c r="H92" s="121">
        <v>317951.57</v>
      </c>
      <c r="I92" s="123">
        <f>+K92</f>
        <v>-23818.450000000128</v>
      </c>
      <c r="J92" s="121">
        <f t="shared" si="5"/>
        <v>552311.17999999993</v>
      </c>
      <c r="K92" s="121">
        <f t="shared" si="4"/>
        <v>-23818.450000000128</v>
      </c>
      <c r="N92" s="112"/>
      <c r="O92" s="112"/>
      <c r="P92" s="112"/>
      <c r="Q92" s="112"/>
      <c r="R92" s="112"/>
      <c r="S92" s="143"/>
      <c r="T92" s="143"/>
      <c r="U92" s="143"/>
      <c r="V92" s="143"/>
      <c r="W92" s="143"/>
    </row>
    <row r="93" spans="1:23" s="120" customFormat="1" ht="18" hidden="1" customHeight="1" outlineLevel="1" x14ac:dyDescent="0.25">
      <c r="A93" s="108"/>
      <c r="B93" s="156"/>
      <c r="C93" s="155"/>
      <c r="D93" s="117">
        <f t="shared" si="6"/>
        <v>42429</v>
      </c>
      <c r="E93" s="156"/>
      <c r="F93" s="121">
        <v>467310.47</v>
      </c>
      <c r="G93" s="156"/>
      <c r="H93" s="121">
        <v>436864.88</v>
      </c>
      <c r="I93" s="123">
        <f t="shared" ref="I93:I99" si="8">+K93</f>
        <v>-54349.269999999902</v>
      </c>
      <c r="J93" s="121">
        <f t="shared" si="5"/>
        <v>412961.20000000007</v>
      </c>
      <c r="K93" s="121">
        <f t="shared" si="4"/>
        <v>-54349.269999999902</v>
      </c>
      <c r="N93" s="112"/>
      <c r="O93" s="112"/>
      <c r="P93" s="112"/>
      <c r="Q93" s="112"/>
      <c r="R93" s="112"/>
      <c r="S93" s="143"/>
      <c r="T93" s="143"/>
      <c r="U93" s="143"/>
      <c r="V93" s="143"/>
      <c r="W93" s="143"/>
    </row>
    <row r="94" spans="1:23" s="120" customFormat="1" ht="18" hidden="1" customHeight="1" outlineLevel="1" x14ac:dyDescent="0.25">
      <c r="A94" s="108"/>
      <c r="B94" s="156"/>
      <c r="C94" s="155"/>
      <c r="D94" s="117">
        <f t="shared" si="6"/>
        <v>42460</v>
      </c>
      <c r="E94" s="156"/>
      <c r="F94" s="121">
        <v>322169.28999999998</v>
      </c>
      <c r="G94" s="156"/>
      <c r="H94" s="121">
        <v>492415.85</v>
      </c>
      <c r="I94" s="123">
        <f t="shared" si="8"/>
        <v>59895.329999999958</v>
      </c>
      <c r="J94" s="121">
        <f t="shared" si="5"/>
        <v>382064.61999999994</v>
      </c>
      <c r="K94" s="121">
        <f t="shared" si="4"/>
        <v>59895.329999999958</v>
      </c>
      <c r="N94" s="112"/>
      <c r="O94" s="112"/>
      <c r="P94" s="112"/>
      <c r="Q94" s="112"/>
      <c r="R94" s="112"/>
      <c r="S94" s="143"/>
      <c r="T94" s="143"/>
      <c r="U94" s="143"/>
      <c r="V94" s="143"/>
      <c r="W94" s="143"/>
    </row>
    <row r="95" spans="1:23" s="120" customFormat="1" ht="18" hidden="1" customHeight="1" outlineLevel="1" x14ac:dyDescent="0.25">
      <c r="A95" s="108"/>
      <c r="B95" s="156"/>
      <c r="C95" s="155"/>
      <c r="D95" s="117">
        <f t="shared" si="6"/>
        <v>42490</v>
      </c>
      <c r="E95" s="156"/>
      <c r="F95" s="121">
        <v>360999.5</v>
      </c>
      <c r="G95" s="156"/>
      <c r="H95" s="121">
        <v>354698.14</v>
      </c>
      <c r="I95" s="123">
        <f t="shared" si="8"/>
        <v>58263.060000000056</v>
      </c>
      <c r="J95" s="121">
        <f t="shared" si="5"/>
        <v>419262.56000000006</v>
      </c>
      <c r="K95" s="121">
        <f t="shared" si="4"/>
        <v>58263.060000000056</v>
      </c>
      <c r="N95" s="112"/>
      <c r="O95" s="112"/>
      <c r="P95" s="112"/>
      <c r="Q95" s="112"/>
      <c r="R95" s="112"/>
      <c r="S95" s="143"/>
      <c r="T95" s="143"/>
      <c r="U95" s="143"/>
      <c r="V95" s="143"/>
      <c r="W95" s="143"/>
    </row>
    <row r="96" spans="1:23" s="120" customFormat="1" ht="18" hidden="1" customHeight="1" outlineLevel="1" x14ac:dyDescent="0.25">
      <c r="A96" s="108"/>
      <c r="B96" s="156"/>
      <c r="C96" s="155"/>
      <c r="D96" s="117">
        <f t="shared" ref="D96:D109" si="9">EOMONTH(D95,1)</f>
        <v>42521</v>
      </c>
      <c r="E96" s="156"/>
      <c r="F96" s="121">
        <v>470408.12</v>
      </c>
      <c r="G96" s="156"/>
      <c r="H96" s="121">
        <v>362483.92</v>
      </c>
      <c r="I96" s="123">
        <f t="shared" si="8"/>
        <v>19580.699999999953</v>
      </c>
      <c r="J96" s="121">
        <f t="shared" si="5"/>
        <v>489988.81999999995</v>
      </c>
      <c r="K96" s="121">
        <f t="shared" si="4"/>
        <v>19580.699999999953</v>
      </c>
      <c r="N96" s="112"/>
      <c r="O96" s="112"/>
      <c r="P96" s="112"/>
      <c r="Q96" s="112"/>
      <c r="R96" s="112"/>
      <c r="S96" s="143"/>
      <c r="T96" s="143"/>
      <c r="U96" s="143"/>
      <c r="V96" s="143"/>
      <c r="W96" s="143"/>
    </row>
    <row r="97" spans="1:23" s="120" customFormat="1" ht="18" hidden="1" customHeight="1" outlineLevel="1" x14ac:dyDescent="0.25">
      <c r="A97" s="108"/>
      <c r="B97" s="156"/>
      <c r="C97" s="155"/>
      <c r="D97" s="117">
        <f t="shared" si="9"/>
        <v>42551</v>
      </c>
      <c r="E97" s="156"/>
      <c r="F97" s="121">
        <v>623690.37</v>
      </c>
      <c r="G97" s="156"/>
      <c r="H97" s="121">
        <v>434672.44</v>
      </c>
      <c r="I97" s="123">
        <f t="shared" si="8"/>
        <v>-15409.879999999946</v>
      </c>
      <c r="J97" s="121">
        <f t="shared" si="5"/>
        <v>608280.49</v>
      </c>
      <c r="K97" s="121">
        <f t="shared" si="4"/>
        <v>-15409.879999999946</v>
      </c>
      <c r="N97" s="112"/>
      <c r="O97" s="112"/>
      <c r="P97" s="112"/>
      <c r="Q97" s="112"/>
      <c r="R97" s="112"/>
      <c r="S97" s="143"/>
      <c r="T97" s="143"/>
      <c r="U97" s="143"/>
      <c r="V97" s="143"/>
      <c r="W97" s="143"/>
    </row>
    <row r="98" spans="1:23" s="120" customFormat="1" ht="18" hidden="1" customHeight="1" outlineLevel="1" x14ac:dyDescent="0.25">
      <c r="A98" s="108"/>
      <c r="B98" s="156"/>
      <c r="C98" s="155"/>
      <c r="D98" s="117">
        <f t="shared" si="9"/>
        <v>42582</v>
      </c>
      <c r="E98" s="156"/>
      <c r="F98" s="121">
        <v>834216.13</v>
      </c>
      <c r="G98" s="156"/>
      <c r="H98" s="121">
        <v>614552.44999999995</v>
      </c>
      <c r="I98" s="123">
        <f t="shared" si="8"/>
        <v>-124563.63</v>
      </c>
      <c r="J98" s="121">
        <f t="shared" si="5"/>
        <v>709652.5</v>
      </c>
      <c r="K98" s="121">
        <f t="shared" si="4"/>
        <v>-124563.63</v>
      </c>
      <c r="N98" s="112"/>
      <c r="O98" s="112"/>
      <c r="P98" s="112"/>
      <c r="Q98" s="112"/>
      <c r="R98" s="112"/>
      <c r="S98" s="143"/>
      <c r="T98" s="143"/>
      <c r="U98" s="143"/>
      <c r="V98" s="143"/>
      <c r="W98" s="143"/>
    </row>
    <row r="99" spans="1:23" s="120" customFormat="1" ht="18" hidden="1" customHeight="1" outlineLevel="1" x14ac:dyDescent="0.25">
      <c r="A99" s="108"/>
      <c r="B99" s="156"/>
      <c r="C99" s="155"/>
      <c r="D99" s="117">
        <f t="shared" si="9"/>
        <v>42613</v>
      </c>
      <c r="E99" s="156"/>
      <c r="F99" s="121">
        <v>678631.33</v>
      </c>
      <c r="G99" s="156"/>
      <c r="H99" s="121">
        <v>612032.85</v>
      </c>
      <c r="I99" s="123">
        <f t="shared" si="8"/>
        <v>-3752.359999999986</v>
      </c>
      <c r="J99" s="121">
        <f t="shared" si="5"/>
        <v>674878.97</v>
      </c>
      <c r="K99" s="121">
        <f t="shared" si="4"/>
        <v>-3752.359999999986</v>
      </c>
      <c r="N99" s="112"/>
      <c r="O99" s="112"/>
      <c r="P99" s="112"/>
      <c r="Q99" s="112"/>
      <c r="R99" s="112"/>
      <c r="S99" s="143"/>
      <c r="T99" s="143"/>
      <c r="U99" s="143"/>
      <c r="V99" s="143"/>
      <c r="W99" s="143"/>
    </row>
    <row r="100" spans="1:23" s="120" customFormat="1" ht="18" hidden="1" customHeight="1" outlineLevel="1" x14ac:dyDescent="0.25">
      <c r="A100" s="108"/>
      <c r="B100" s="156"/>
      <c r="C100" s="155"/>
      <c r="D100" s="117">
        <f t="shared" si="9"/>
        <v>42643</v>
      </c>
      <c r="E100" s="156"/>
      <c r="F100" s="121">
        <v>616226.62</v>
      </c>
      <c r="G100" s="156"/>
      <c r="H100" s="121">
        <v>698167.8</v>
      </c>
      <c r="I100" s="123">
        <f>+K100</f>
        <v>11484.699999999953</v>
      </c>
      <c r="J100" s="121">
        <f>+F100+I100</f>
        <v>627711.31999999995</v>
      </c>
      <c r="K100" s="121">
        <f>+J98-H100</f>
        <v>11484.699999999953</v>
      </c>
      <c r="N100" s="112"/>
      <c r="O100" s="112"/>
      <c r="P100" s="112"/>
      <c r="Q100" s="112"/>
      <c r="R100" s="112"/>
      <c r="S100" s="143"/>
      <c r="T100" s="143"/>
      <c r="U100" s="143"/>
      <c r="V100" s="143"/>
      <c r="W100" s="143"/>
    </row>
    <row r="101" spans="1:23" s="120" customFormat="1" ht="18" hidden="1" customHeight="1" outlineLevel="1" x14ac:dyDescent="0.25">
      <c r="A101" s="108"/>
      <c r="B101" s="156"/>
      <c r="C101" s="155"/>
      <c r="D101" s="117">
        <f t="shared" si="9"/>
        <v>42674</v>
      </c>
      <c r="E101" s="156"/>
      <c r="F101" s="121">
        <v>404786.74</v>
      </c>
      <c r="G101" s="156"/>
      <c r="H101" s="121">
        <v>619301.49</v>
      </c>
      <c r="I101" s="123">
        <f t="shared" ref="I101:I135" si="10">+K101</f>
        <v>55577.479999999981</v>
      </c>
      <c r="J101" s="121">
        <f t="shared" ref="J101:J111" si="11">+F101+I101</f>
        <v>460364.22</v>
      </c>
      <c r="K101" s="121">
        <f t="shared" ref="K101:K111" si="12">+J99-H101</f>
        <v>55577.479999999981</v>
      </c>
      <c r="N101" s="112"/>
      <c r="O101" s="112"/>
      <c r="P101" s="112"/>
      <c r="Q101" s="112"/>
      <c r="R101" s="112"/>
      <c r="S101" s="143"/>
      <c r="T101" s="143"/>
      <c r="U101" s="143"/>
      <c r="V101" s="143"/>
      <c r="W101" s="143"/>
    </row>
    <row r="102" spans="1:23" s="120" customFormat="1" ht="18" hidden="1" customHeight="1" outlineLevel="1" x14ac:dyDescent="0.25">
      <c r="A102" s="108"/>
      <c r="B102" s="156"/>
      <c r="C102" s="155"/>
      <c r="D102" s="117">
        <f t="shared" si="9"/>
        <v>42704</v>
      </c>
      <c r="E102" s="156"/>
      <c r="F102" s="121">
        <v>518593.88</v>
      </c>
      <c r="G102" s="156"/>
      <c r="H102" s="121">
        <v>526334.62</v>
      </c>
      <c r="I102" s="123">
        <f t="shared" si="10"/>
        <v>101376.69999999995</v>
      </c>
      <c r="J102" s="121">
        <f t="shared" si="11"/>
        <v>619970.57999999996</v>
      </c>
      <c r="K102" s="121">
        <f t="shared" si="12"/>
        <v>101376.69999999995</v>
      </c>
      <c r="N102" s="112"/>
      <c r="O102" s="112"/>
      <c r="P102" s="112"/>
      <c r="Q102" s="112"/>
      <c r="R102" s="112"/>
      <c r="S102" s="143"/>
      <c r="T102" s="143"/>
      <c r="U102" s="143"/>
      <c r="V102" s="143"/>
      <c r="W102" s="143"/>
    </row>
    <row r="103" spans="1:23" s="120" customFormat="1" ht="18" hidden="1" customHeight="1" outlineLevel="1" x14ac:dyDescent="0.25">
      <c r="A103" s="108"/>
      <c r="B103" s="156"/>
      <c r="C103" s="155"/>
      <c r="D103" s="117">
        <f t="shared" si="9"/>
        <v>42735</v>
      </c>
      <c r="E103" s="156"/>
      <c r="F103" s="121">
        <v>940800.97</v>
      </c>
      <c r="G103" s="156"/>
      <c r="H103" s="121">
        <v>468626.33</v>
      </c>
      <c r="I103" s="123">
        <f t="shared" si="10"/>
        <v>-8262.1100000000442</v>
      </c>
      <c r="J103" s="121">
        <f t="shared" si="11"/>
        <v>932538.85999999987</v>
      </c>
      <c r="K103" s="121">
        <f t="shared" si="12"/>
        <v>-8262.1100000000442</v>
      </c>
      <c r="N103" s="112"/>
      <c r="O103" s="112"/>
      <c r="P103" s="112"/>
      <c r="Q103" s="112"/>
      <c r="R103" s="112"/>
      <c r="S103" s="143"/>
      <c r="T103" s="143"/>
      <c r="U103" s="143"/>
      <c r="V103" s="143"/>
      <c r="W103" s="143"/>
    </row>
    <row r="104" spans="1:23" s="120" customFormat="1" ht="18" hidden="1" customHeight="1" outlineLevel="1" x14ac:dyDescent="0.25">
      <c r="A104" s="108"/>
      <c r="B104" s="156"/>
      <c r="C104" s="155"/>
      <c r="D104" s="117">
        <f t="shared" si="9"/>
        <v>42766</v>
      </c>
      <c r="E104" s="156"/>
      <c r="F104" s="121">
        <v>869175.74</v>
      </c>
      <c r="G104" s="156"/>
      <c r="H104" s="121">
        <v>839656.92</v>
      </c>
      <c r="I104" s="123">
        <f t="shared" si="10"/>
        <v>-219686.34000000008</v>
      </c>
      <c r="J104" s="121">
        <f t="shared" si="11"/>
        <v>649489.39999999991</v>
      </c>
      <c r="K104" s="121">
        <f t="shared" si="12"/>
        <v>-219686.34000000008</v>
      </c>
      <c r="N104" s="112"/>
      <c r="O104" s="112"/>
      <c r="P104" s="112"/>
      <c r="Q104" s="112"/>
      <c r="R104" s="112"/>
      <c r="S104" s="143"/>
      <c r="T104" s="143"/>
      <c r="U104" s="143"/>
      <c r="V104" s="143"/>
      <c r="W104" s="143"/>
    </row>
    <row r="105" spans="1:23" s="120" customFormat="1" ht="18" hidden="1" customHeight="1" outlineLevel="1" x14ac:dyDescent="0.25">
      <c r="A105" s="108"/>
      <c r="B105" s="156"/>
      <c r="C105" s="155"/>
      <c r="D105" s="117">
        <f t="shared" si="9"/>
        <v>42794</v>
      </c>
      <c r="E105" s="156"/>
      <c r="F105" s="121">
        <v>550426.63</v>
      </c>
      <c r="G105" s="156"/>
      <c r="H105" s="121">
        <v>948073.65</v>
      </c>
      <c r="I105" s="123">
        <f t="shared" si="10"/>
        <v>-15534.790000000154</v>
      </c>
      <c r="J105" s="121">
        <f t="shared" si="11"/>
        <v>534891.83999999985</v>
      </c>
      <c r="K105" s="121">
        <f t="shared" si="12"/>
        <v>-15534.790000000154</v>
      </c>
      <c r="N105" s="112"/>
      <c r="O105" s="112"/>
      <c r="P105" s="112"/>
      <c r="Q105" s="112"/>
      <c r="R105" s="112"/>
      <c r="S105" s="143"/>
      <c r="T105" s="143"/>
      <c r="U105" s="143"/>
      <c r="V105" s="143"/>
      <c r="W105" s="143"/>
    </row>
    <row r="106" spans="1:23" s="120" customFormat="1" ht="18" hidden="1" customHeight="1" outlineLevel="1" x14ac:dyDescent="0.25">
      <c r="A106" s="108"/>
      <c r="B106" s="156"/>
      <c r="C106" s="155"/>
      <c r="D106" s="117">
        <f t="shared" si="9"/>
        <v>42825</v>
      </c>
      <c r="E106" s="156"/>
      <c r="F106" s="121">
        <v>415254.12</v>
      </c>
      <c r="G106" s="156"/>
      <c r="H106" s="121">
        <v>593445.86</v>
      </c>
      <c r="I106" s="123">
        <f t="shared" si="10"/>
        <v>56043.539999999921</v>
      </c>
      <c r="J106" s="121">
        <f t="shared" si="11"/>
        <v>471297.65999999992</v>
      </c>
      <c r="K106" s="121">
        <f t="shared" si="12"/>
        <v>56043.539999999921</v>
      </c>
      <c r="N106" s="112"/>
      <c r="O106" s="112"/>
      <c r="P106" s="112"/>
      <c r="Q106" s="112"/>
      <c r="R106" s="112"/>
      <c r="S106" s="143"/>
      <c r="T106" s="143"/>
      <c r="U106" s="143"/>
      <c r="V106" s="143"/>
      <c r="W106" s="143"/>
    </row>
    <row r="107" spans="1:23" s="120" customFormat="1" ht="18" hidden="1" customHeight="1" outlineLevel="1" x14ac:dyDescent="0.25">
      <c r="A107" s="108"/>
      <c r="B107" s="156"/>
      <c r="C107" s="155"/>
      <c r="D107" s="117">
        <f t="shared" si="9"/>
        <v>42855</v>
      </c>
      <c r="E107" s="156"/>
      <c r="F107" s="121">
        <v>404443.35</v>
      </c>
      <c r="G107" s="156"/>
      <c r="H107" s="121">
        <v>559928.4</v>
      </c>
      <c r="I107" s="123">
        <f t="shared" si="10"/>
        <v>-25036.560000000172</v>
      </c>
      <c r="J107" s="121">
        <f t="shared" si="11"/>
        <v>379406.7899999998</v>
      </c>
      <c r="K107" s="121">
        <f t="shared" si="12"/>
        <v>-25036.560000000172</v>
      </c>
      <c r="N107" s="112"/>
      <c r="O107" s="112"/>
      <c r="P107" s="112"/>
      <c r="Q107" s="112"/>
      <c r="R107" s="112"/>
      <c r="S107" s="143"/>
      <c r="T107" s="143"/>
      <c r="U107" s="143"/>
      <c r="V107" s="143"/>
      <c r="W107" s="143"/>
    </row>
    <row r="108" spans="1:23" s="120" customFormat="1" ht="18" hidden="1" customHeight="1" outlineLevel="1" x14ac:dyDescent="0.25">
      <c r="A108" s="108"/>
      <c r="B108" s="156"/>
      <c r="C108" s="155"/>
      <c r="D108" s="117">
        <f t="shared" si="9"/>
        <v>42886</v>
      </c>
      <c r="E108" s="156"/>
      <c r="F108" s="121">
        <v>494546.93</v>
      </c>
      <c r="G108" s="156"/>
      <c r="H108" s="121">
        <v>435152.68</v>
      </c>
      <c r="I108" s="123">
        <f t="shared" si="10"/>
        <v>36144.979999999923</v>
      </c>
      <c r="J108" s="121">
        <f t="shared" si="11"/>
        <v>530691.90999999992</v>
      </c>
      <c r="K108" s="121">
        <f t="shared" si="12"/>
        <v>36144.979999999923</v>
      </c>
      <c r="N108" s="112"/>
      <c r="O108" s="112"/>
      <c r="P108" s="112"/>
      <c r="Q108" s="112"/>
      <c r="R108" s="112"/>
      <c r="S108" s="143"/>
      <c r="T108" s="143"/>
      <c r="U108" s="143"/>
      <c r="V108" s="143"/>
      <c r="W108" s="143"/>
    </row>
    <row r="109" spans="1:23" s="120" customFormat="1" ht="18" hidden="1" customHeight="1" outlineLevel="1" x14ac:dyDescent="0.25">
      <c r="A109" s="108"/>
      <c r="B109" s="156"/>
      <c r="C109" s="155"/>
      <c r="D109" s="117">
        <f t="shared" si="9"/>
        <v>42916</v>
      </c>
      <c r="E109" s="156"/>
      <c r="F109" s="121">
        <v>800892.11</v>
      </c>
      <c r="G109" s="156"/>
      <c r="H109" s="121">
        <v>460899.56</v>
      </c>
      <c r="I109" s="123">
        <f t="shared" si="10"/>
        <v>-81492.770000000193</v>
      </c>
      <c r="J109" s="121">
        <f t="shared" si="11"/>
        <v>719399.33999999985</v>
      </c>
      <c r="K109" s="121">
        <f t="shared" si="12"/>
        <v>-81492.770000000193</v>
      </c>
      <c r="N109" s="112"/>
      <c r="O109" s="112"/>
      <c r="P109" s="112"/>
      <c r="Q109" s="112"/>
      <c r="R109" s="112"/>
      <c r="S109" s="143"/>
      <c r="T109" s="143"/>
      <c r="U109" s="143"/>
      <c r="V109" s="143"/>
      <c r="W109" s="143"/>
    </row>
    <row r="110" spans="1:23" s="120" customFormat="1" ht="18" hidden="1" customHeight="1" outlineLevel="1" x14ac:dyDescent="0.25">
      <c r="A110" s="108">
        <v>8</v>
      </c>
      <c r="B110" s="131">
        <v>42887</v>
      </c>
      <c r="C110" s="140">
        <v>0.10875093</v>
      </c>
      <c r="D110" s="117">
        <v>42917</v>
      </c>
      <c r="E110" s="131">
        <v>42948</v>
      </c>
      <c r="F110" s="121">
        <v>1014987.58</v>
      </c>
      <c r="G110" s="131">
        <f>EOMONTH(E110,1)</f>
        <v>43008</v>
      </c>
      <c r="H110" s="121">
        <v>680618.94</v>
      </c>
      <c r="I110" s="123">
        <f t="shared" si="10"/>
        <v>-149927.03000000003</v>
      </c>
      <c r="J110" s="121">
        <f t="shared" si="11"/>
        <v>865060.54999999993</v>
      </c>
      <c r="K110" s="121">
        <f t="shared" si="12"/>
        <v>-149927.03000000003</v>
      </c>
      <c r="N110" s="112"/>
      <c r="O110" s="112"/>
      <c r="P110" s="112"/>
      <c r="Q110" s="112"/>
      <c r="R110" s="112"/>
      <c r="S110" s="143"/>
      <c r="T110" s="143"/>
      <c r="U110" s="143"/>
      <c r="V110" s="143"/>
      <c r="W110" s="143"/>
    </row>
    <row r="111" spans="1:23" s="120" customFormat="1" ht="18" hidden="1" customHeight="1" outlineLevel="1" x14ac:dyDescent="0.25">
      <c r="A111" s="108">
        <v>9</v>
      </c>
      <c r="B111" s="131">
        <f t="shared" ref="B111:B174" si="13">EOMONTH(B110,1)</f>
        <v>42947</v>
      </c>
      <c r="C111" s="140">
        <v>8.6012889999999995E-2</v>
      </c>
      <c r="D111" s="117">
        <f t="shared" ref="D111:D142" si="14">EOMONTH(D110,1)</f>
        <v>42978</v>
      </c>
      <c r="E111" s="131">
        <f t="shared" ref="E111:E142" si="15">EOMONTH(E110,1)</f>
        <v>43008</v>
      </c>
      <c r="F111" s="121">
        <v>714573.6</v>
      </c>
      <c r="G111" s="131">
        <f t="shared" ref="G111:G135" si="16">EOMONTH(E111,1)</f>
        <v>43039</v>
      </c>
      <c r="H111" s="121">
        <v>846075.29</v>
      </c>
      <c r="I111" s="123">
        <f t="shared" si="10"/>
        <v>-126675.95000000019</v>
      </c>
      <c r="J111" s="121">
        <f t="shared" si="11"/>
        <v>587897.64999999979</v>
      </c>
      <c r="K111" s="121">
        <f t="shared" si="12"/>
        <v>-126675.95000000019</v>
      </c>
      <c r="N111" s="112"/>
      <c r="O111" s="112"/>
      <c r="P111" s="112"/>
      <c r="Q111" s="112"/>
      <c r="R111" s="112"/>
      <c r="S111" s="143"/>
      <c r="T111" s="143"/>
      <c r="U111" s="143"/>
      <c r="V111" s="143"/>
      <c r="W111" s="143"/>
    </row>
    <row r="112" spans="1:23" s="120" customFormat="1" ht="18" hidden="1" customHeight="1" outlineLevel="1" x14ac:dyDescent="0.25">
      <c r="A112" s="108">
        <v>10</v>
      </c>
      <c r="B112" s="131">
        <f t="shared" si="13"/>
        <v>42978</v>
      </c>
      <c r="C112" s="140">
        <f>'Att(1of6)(JP-Non)'!C112</f>
        <v>4.5882630000000001E-2</v>
      </c>
      <c r="D112" s="117">
        <f t="shared" si="14"/>
        <v>43008</v>
      </c>
      <c r="E112" s="131">
        <f t="shared" si="15"/>
        <v>43039</v>
      </c>
      <c r="F112" s="121">
        <v>345251.06</v>
      </c>
      <c r="G112" s="131">
        <f t="shared" si="16"/>
        <v>43069</v>
      </c>
      <c r="H112" s="121">
        <v>730042.47</v>
      </c>
      <c r="I112" s="123">
        <f t="shared" si="10"/>
        <v>135018.07999999996</v>
      </c>
      <c r="J112" s="121">
        <f t="shared" ref="J112:J135" si="17">+F112+I112</f>
        <v>480269.13999999996</v>
      </c>
      <c r="K112" s="121">
        <f>+J110-H112</f>
        <v>135018.07999999996</v>
      </c>
      <c r="N112" s="112"/>
      <c r="O112" s="112"/>
      <c r="P112" s="112"/>
      <c r="Q112" s="112"/>
      <c r="R112" s="112"/>
      <c r="S112" s="143"/>
      <c r="T112" s="143"/>
      <c r="U112" s="143"/>
      <c r="V112" s="143"/>
      <c r="W112" s="143"/>
    </row>
    <row r="113" spans="1:23" s="120" customFormat="1" ht="18" hidden="1" customHeight="1" outlineLevel="1" x14ac:dyDescent="0.25">
      <c r="A113" s="108">
        <v>11</v>
      </c>
      <c r="B113" s="131">
        <f t="shared" si="13"/>
        <v>43008</v>
      </c>
      <c r="C113" s="140">
        <f>'Att(1of6)(JP-Non)'!C113</f>
        <v>8.1473870000000004E-2</v>
      </c>
      <c r="D113" s="117">
        <f t="shared" si="14"/>
        <v>43039</v>
      </c>
      <c r="E113" s="131">
        <f t="shared" si="15"/>
        <v>43069</v>
      </c>
      <c r="F113" s="121">
        <v>529459.27</v>
      </c>
      <c r="G113" s="131">
        <f t="shared" si="16"/>
        <v>43100</v>
      </c>
      <c r="H113" s="121">
        <v>510826.95</v>
      </c>
      <c r="I113" s="123">
        <f t="shared" si="10"/>
        <v>77070.699999999779</v>
      </c>
      <c r="J113" s="121">
        <f t="shared" si="17"/>
        <v>606529.96999999974</v>
      </c>
      <c r="K113" s="121">
        <f t="shared" ref="K113:K135" si="18">+J111-H113</f>
        <v>77070.699999999779</v>
      </c>
      <c r="N113" s="112"/>
      <c r="O113" s="112"/>
      <c r="P113" s="112"/>
      <c r="Q113" s="112"/>
      <c r="R113" s="112"/>
      <c r="S113" s="143"/>
      <c r="T113" s="143"/>
      <c r="U113" s="143"/>
      <c r="V113" s="143"/>
      <c r="W113" s="143"/>
    </row>
    <row r="114" spans="1:23" s="120" customFormat="1" ht="18" hidden="1" customHeight="1" outlineLevel="1" x14ac:dyDescent="0.25">
      <c r="A114" s="108">
        <v>12</v>
      </c>
      <c r="B114" s="131">
        <f t="shared" si="13"/>
        <v>43039</v>
      </c>
      <c r="C114" s="140">
        <f>'Att(1of6)(JP-Non)'!C114</f>
        <v>8.3922060000000007E-2</v>
      </c>
      <c r="D114" s="117">
        <f t="shared" si="14"/>
        <v>43069</v>
      </c>
      <c r="E114" s="131">
        <f t="shared" si="15"/>
        <v>43100</v>
      </c>
      <c r="F114" s="121">
        <v>559666.16</v>
      </c>
      <c r="G114" s="131">
        <f t="shared" si="16"/>
        <v>43131</v>
      </c>
      <c r="H114" s="121">
        <v>433572.84</v>
      </c>
      <c r="I114" s="123">
        <f t="shared" si="10"/>
        <v>46696.29999999993</v>
      </c>
      <c r="J114" s="121">
        <f t="shared" si="17"/>
        <v>606362.46</v>
      </c>
      <c r="K114" s="121">
        <f t="shared" si="18"/>
        <v>46696.29999999993</v>
      </c>
      <c r="N114" s="112"/>
      <c r="O114" s="112"/>
      <c r="P114" s="112"/>
      <c r="Q114" s="112"/>
      <c r="R114" s="112"/>
      <c r="S114" s="143"/>
      <c r="T114" s="143"/>
      <c r="U114" s="143"/>
      <c r="V114" s="143"/>
      <c r="W114" s="143"/>
    </row>
    <row r="115" spans="1:23" s="120" customFormat="1" ht="18" hidden="1" customHeight="1" outlineLevel="1" x14ac:dyDescent="0.25">
      <c r="A115" s="108">
        <v>13</v>
      </c>
      <c r="B115" s="131">
        <f t="shared" si="13"/>
        <v>43069</v>
      </c>
      <c r="C115" s="140">
        <f>'Att(1of6)(JP-Non)'!C115</f>
        <v>9.3462320000000002E-2</v>
      </c>
      <c r="D115" s="117">
        <f t="shared" si="14"/>
        <v>43100</v>
      </c>
      <c r="E115" s="131">
        <f t="shared" si="15"/>
        <v>43131</v>
      </c>
      <c r="F115" s="121">
        <v>798875.66</v>
      </c>
      <c r="G115" s="131">
        <f t="shared" si="16"/>
        <v>43159</v>
      </c>
      <c r="H115" s="121">
        <v>655275.31000000006</v>
      </c>
      <c r="I115" s="123">
        <f t="shared" si="10"/>
        <v>-48745.340000000317</v>
      </c>
      <c r="J115" s="121">
        <f t="shared" si="17"/>
        <v>750130.31999999972</v>
      </c>
      <c r="K115" s="121">
        <f t="shared" si="18"/>
        <v>-48745.340000000317</v>
      </c>
      <c r="N115" s="112"/>
      <c r="O115" s="112"/>
      <c r="P115" s="112"/>
      <c r="Q115" s="112"/>
      <c r="R115" s="112"/>
      <c r="S115" s="143"/>
      <c r="T115" s="143"/>
      <c r="U115" s="143"/>
      <c r="V115" s="143"/>
      <c r="W115" s="143"/>
    </row>
    <row r="116" spans="1:23" s="120" customFormat="1" ht="18" hidden="1" customHeight="1" outlineLevel="1" x14ac:dyDescent="0.25">
      <c r="A116" s="108">
        <v>14</v>
      </c>
      <c r="B116" s="131">
        <f t="shared" si="13"/>
        <v>43100</v>
      </c>
      <c r="C116" s="140">
        <f>'Att(1of6)(JP-Non)'!C116</f>
        <v>8.6848540000000002E-2</v>
      </c>
      <c r="D116" s="117">
        <f t="shared" si="14"/>
        <v>43131</v>
      </c>
      <c r="E116" s="131">
        <f t="shared" si="15"/>
        <v>43159</v>
      </c>
      <c r="F116" s="121">
        <v>855558.96</v>
      </c>
      <c r="G116" s="131">
        <f t="shared" si="16"/>
        <v>43190</v>
      </c>
      <c r="H116" s="121">
        <v>837103.06</v>
      </c>
      <c r="I116" s="123">
        <f t="shared" si="10"/>
        <v>-230740.60000000009</v>
      </c>
      <c r="J116" s="121">
        <f t="shared" si="17"/>
        <v>624818.35999999987</v>
      </c>
      <c r="K116" s="121">
        <f t="shared" si="18"/>
        <v>-230740.60000000009</v>
      </c>
      <c r="N116" s="112"/>
      <c r="O116" s="112"/>
      <c r="P116" s="112"/>
      <c r="Q116" s="112"/>
      <c r="R116" s="112"/>
      <c r="S116" s="143"/>
      <c r="T116" s="143"/>
      <c r="U116" s="143"/>
      <c r="V116" s="143"/>
      <c r="W116" s="143"/>
    </row>
    <row r="117" spans="1:23" s="120" customFormat="1" ht="18" hidden="1" customHeight="1" outlineLevel="1" x14ac:dyDescent="0.25">
      <c r="A117" s="108">
        <v>15</v>
      </c>
      <c r="B117" s="131">
        <f t="shared" si="13"/>
        <v>43131</v>
      </c>
      <c r="C117" s="140">
        <f>'Att(1of6)(JP-Non)'!C117</f>
        <v>8.9125689999999994E-2</v>
      </c>
      <c r="D117" s="117">
        <f t="shared" si="14"/>
        <v>43159</v>
      </c>
      <c r="E117" s="131">
        <f t="shared" si="15"/>
        <v>43190</v>
      </c>
      <c r="F117" s="121">
        <v>666812.68999999994</v>
      </c>
      <c r="G117" s="131">
        <f t="shared" si="16"/>
        <v>43220</v>
      </c>
      <c r="H117" s="121">
        <v>746233.36</v>
      </c>
      <c r="I117" s="123">
        <f t="shared" si="10"/>
        <v>3896.9599999997299</v>
      </c>
      <c r="J117" s="121">
        <f t="shared" si="17"/>
        <v>670709.64999999967</v>
      </c>
      <c r="K117" s="121">
        <f t="shared" si="18"/>
        <v>3896.9599999997299</v>
      </c>
      <c r="N117" s="112"/>
      <c r="O117" s="112"/>
      <c r="P117" s="112"/>
      <c r="Q117" s="112"/>
      <c r="R117" s="112"/>
      <c r="S117" s="143"/>
      <c r="T117" s="143"/>
      <c r="U117" s="143"/>
      <c r="V117" s="143"/>
      <c r="W117" s="143"/>
    </row>
    <row r="118" spans="1:23" s="120" customFormat="1" ht="18" hidden="1" customHeight="1" outlineLevel="1" x14ac:dyDescent="0.25">
      <c r="A118" s="108">
        <v>16</v>
      </c>
      <c r="B118" s="131">
        <f t="shared" si="13"/>
        <v>43159</v>
      </c>
      <c r="C118" s="140">
        <f>'Att(1of6)(JP-Non)'!C118</f>
        <v>6.4310989999999998E-2</v>
      </c>
      <c r="D118" s="117">
        <f t="shared" si="14"/>
        <v>43190</v>
      </c>
      <c r="E118" s="131">
        <f t="shared" si="15"/>
        <v>43220</v>
      </c>
      <c r="F118" s="121">
        <v>463493</v>
      </c>
      <c r="G118" s="131">
        <f t="shared" si="16"/>
        <v>43251</v>
      </c>
      <c r="H118" s="121">
        <v>400911.4</v>
      </c>
      <c r="I118" s="123">
        <f t="shared" si="10"/>
        <v>223906.95999999985</v>
      </c>
      <c r="J118" s="121">
        <f t="shared" si="17"/>
        <v>687399.95999999985</v>
      </c>
      <c r="K118" s="121">
        <f t="shared" si="18"/>
        <v>223906.95999999985</v>
      </c>
      <c r="N118" s="112"/>
      <c r="O118" s="112"/>
      <c r="P118" s="112"/>
      <c r="Q118" s="112"/>
      <c r="R118" s="112"/>
      <c r="S118" s="143"/>
      <c r="T118" s="143"/>
      <c r="U118" s="143"/>
      <c r="V118" s="143"/>
      <c r="W118" s="143"/>
    </row>
    <row r="119" spans="1:23" s="120" customFormat="1" ht="18" hidden="1" customHeight="1" outlineLevel="1" x14ac:dyDescent="0.25">
      <c r="A119" s="108">
        <v>17</v>
      </c>
      <c r="B119" s="131">
        <f t="shared" si="13"/>
        <v>43190</v>
      </c>
      <c r="C119" s="140">
        <f>'Att(1of6)(JP-Non)'!C119</f>
        <v>8.5307889999999997E-2</v>
      </c>
      <c r="D119" s="117">
        <f t="shared" si="14"/>
        <v>43220</v>
      </c>
      <c r="E119" s="131">
        <f t="shared" si="15"/>
        <v>43251</v>
      </c>
      <c r="F119" s="121">
        <v>516590.91</v>
      </c>
      <c r="G119" s="131">
        <f t="shared" si="16"/>
        <v>43281</v>
      </c>
      <c r="H119" s="121">
        <v>630999.35</v>
      </c>
      <c r="I119" s="123">
        <f t="shared" si="10"/>
        <v>39710.299999999697</v>
      </c>
      <c r="J119" s="121">
        <f t="shared" si="17"/>
        <v>556301.20999999973</v>
      </c>
      <c r="K119" s="121">
        <f t="shared" si="18"/>
        <v>39710.299999999697</v>
      </c>
      <c r="N119" s="112"/>
      <c r="O119" s="112"/>
      <c r="P119" s="112"/>
      <c r="Q119" s="112"/>
      <c r="R119" s="112"/>
      <c r="S119" s="143"/>
      <c r="T119" s="143"/>
      <c r="U119" s="143"/>
      <c r="V119" s="143"/>
      <c r="W119" s="143"/>
    </row>
    <row r="120" spans="1:23" s="120" customFormat="1" ht="18" hidden="1" customHeight="1" outlineLevel="1" x14ac:dyDescent="0.25">
      <c r="A120" s="108">
        <v>18</v>
      </c>
      <c r="B120" s="131">
        <f t="shared" si="13"/>
        <v>43220</v>
      </c>
      <c r="C120" s="140">
        <f>'Att(1of6)(JP-Non)'!C120</f>
        <v>8.1429319999999999E-2</v>
      </c>
      <c r="D120" s="117">
        <f t="shared" si="14"/>
        <v>43251</v>
      </c>
      <c r="E120" s="131">
        <f t="shared" si="15"/>
        <v>43281</v>
      </c>
      <c r="F120" s="121">
        <v>606885.13</v>
      </c>
      <c r="G120" s="131">
        <f t="shared" si="16"/>
        <v>43312</v>
      </c>
      <c r="H120" s="121">
        <v>563184.5</v>
      </c>
      <c r="I120" s="123">
        <f t="shared" si="10"/>
        <v>124215.45999999985</v>
      </c>
      <c r="J120" s="121">
        <f t="shared" si="17"/>
        <v>731100.58999999985</v>
      </c>
      <c r="K120" s="121">
        <f t="shared" si="18"/>
        <v>124215.45999999985</v>
      </c>
      <c r="N120" s="112"/>
      <c r="O120" s="112"/>
      <c r="P120" s="112"/>
      <c r="Q120" s="112"/>
      <c r="R120" s="112"/>
      <c r="S120" s="143"/>
      <c r="T120" s="143"/>
      <c r="U120" s="143"/>
      <c r="V120" s="143"/>
      <c r="W120" s="143"/>
    </row>
    <row r="121" spans="1:23" s="120" customFormat="1" ht="18" hidden="1" customHeight="1" outlineLevel="1" x14ac:dyDescent="0.25">
      <c r="A121" s="108">
        <v>19</v>
      </c>
      <c r="B121" s="131">
        <f t="shared" si="13"/>
        <v>43251</v>
      </c>
      <c r="C121" s="140">
        <f>'Att(1of6)(JP-Non)'!C121</f>
        <v>9.4201789999999994E-2</v>
      </c>
      <c r="D121" s="117">
        <f t="shared" si="14"/>
        <v>43281</v>
      </c>
      <c r="E121" s="131">
        <f t="shared" si="15"/>
        <v>43312</v>
      </c>
      <c r="F121" s="121">
        <v>806546.94</v>
      </c>
      <c r="G121" s="131">
        <f t="shared" si="16"/>
        <v>43343</v>
      </c>
      <c r="H121" s="121">
        <v>702322.93</v>
      </c>
      <c r="I121" s="123">
        <f t="shared" si="10"/>
        <v>-146021.72000000032</v>
      </c>
      <c r="J121" s="121">
        <f t="shared" si="17"/>
        <v>660525.21999999962</v>
      </c>
      <c r="K121" s="121">
        <f t="shared" si="18"/>
        <v>-146021.72000000032</v>
      </c>
      <c r="N121" s="112"/>
      <c r="O121" s="112"/>
      <c r="P121" s="112"/>
      <c r="Q121" s="112"/>
      <c r="R121" s="112"/>
      <c r="S121" s="143"/>
      <c r="T121" s="143"/>
      <c r="U121" s="143"/>
      <c r="V121" s="143"/>
      <c r="W121" s="143"/>
    </row>
    <row r="122" spans="1:23" s="120" customFormat="1" ht="18" hidden="1" customHeight="1" outlineLevel="1" x14ac:dyDescent="0.25">
      <c r="A122" s="108">
        <v>20</v>
      </c>
      <c r="B122" s="131">
        <f t="shared" si="13"/>
        <v>43281</v>
      </c>
      <c r="C122" s="140">
        <f>'Att(1of6)(JP-Non)'!C122</f>
        <v>8.5653030000000005E-2</v>
      </c>
      <c r="D122" s="117">
        <f t="shared" si="14"/>
        <v>43312</v>
      </c>
      <c r="E122" s="131">
        <f t="shared" si="15"/>
        <v>43343</v>
      </c>
      <c r="F122" s="121">
        <v>782975.05</v>
      </c>
      <c r="G122" s="131">
        <f t="shared" si="16"/>
        <v>43373</v>
      </c>
      <c r="H122" s="121">
        <v>885372.83</v>
      </c>
      <c r="I122" s="123">
        <f t="shared" si="10"/>
        <v>-154272.24000000011</v>
      </c>
      <c r="J122" s="121">
        <f t="shared" si="17"/>
        <v>628702.80999999994</v>
      </c>
      <c r="K122" s="121">
        <f t="shared" si="18"/>
        <v>-154272.24000000011</v>
      </c>
      <c r="N122" s="112"/>
      <c r="O122" s="112"/>
      <c r="P122" s="112"/>
      <c r="Q122" s="112"/>
      <c r="R122" s="112"/>
      <c r="S122" s="143"/>
      <c r="T122" s="143"/>
      <c r="U122" s="143"/>
      <c r="V122" s="143"/>
      <c r="W122" s="143"/>
    </row>
    <row r="123" spans="1:23" s="120" customFormat="1" ht="18" hidden="1" customHeight="1" outlineLevel="1" x14ac:dyDescent="0.25">
      <c r="A123" s="108">
        <v>21</v>
      </c>
      <c r="B123" s="131">
        <f t="shared" si="13"/>
        <v>43312</v>
      </c>
      <c r="C123" s="140">
        <f>'Att(1of6)(JP-Non)'!C123</f>
        <v>9.7209050000000005E-2</v>
      </c>
      <c r="D123" s="117">
        <f t="shared" si="14"/>
        <v>43343</v>
      </c>
      <c r="E123" s="131">
        <f t="shared" si="15"/>
        <v>43373</v>
      </c>
      <c r="F123" s="121">
        <v>842986.56</v>
      </c>
      <c r="G123" s="131">
        <f t="shared" si="16"/>
        <v>43404</v>
      </c>
      <c r="H123" s="121">
        <v>675162.26</v>
      </c>
      <c r="I123" s="123">
        <f t="shared" si="10"/>
        <v>-14637.040000000386</v>
      </c>
      <c r="J123" s="121">
        <f t="shared" si="17"/>
        <v>828349.51999999967</v>
      </c>
      <c r="K123" s="121">
        <f t="shared" si="18"/>
        <v>-14637.040000000386</v>
      </c>
      <c r="N123" s="112"/>
      <c r="O123" s="112"/>
      <c r="P123" s="112"/>
      <c r="Q123" s="112"/>
      <c r="R123" s="112"/>
      <c r="S123" s="143"/>
      <c r="T123" s="143"/>
      <c r="U123" s="143"/>
      <c r="V123" s="143"/>
      <c r="W123" s="143"/>
    </row>
    <row r="124" spans="1:23" s="120" customFormat="1" ht="18" hidden="1" customHeight="1" outlineLevel="1" x14ac:dyDescent="0.25">
      <c r="A124" s="108">
        <v>22</v>
      </c>
      <c r="B124" s="131">
        <f t="shared" si="13"/>
        <v>43343</v>
      </c>
      <c r="C124" s="140">
        <f>'Att(1of6)(JP-Non)'!C124</f>
        <v>6.773962E-2</v>
      </c>
      <c r="D124" s="117">
        <f t="shared" si="14"/>
        <v>43373</v>
      </c>
      <c r="E124" s="131">
        <f t="shared" si="15"/>
        <v>43404</v>
      </c>
      <c r="F124" s="121">
        <v>548916.38</v>
      </c>
      <c r="G124" s="131">
        <f t="shared" si="16"/>
        <v>43434</v>
      </c>
      <c r="H124" s="121">
        <v>580469.73</v>
      </c>
      <c r="I124" s="123">
        <f t="shared" si="10"/>
        <v>48233.079999999958</v>
      </c>
      <c r="J124" s="121">
        <f t="shared" si="17"/>
        <v>597149.46</v>
      </c>
      <c r="K124" s="121">
        <f t="shared" si="18"/>
        <v>48233.079999999958</v>
      </c>
      <c r="N124" s="112"/>
      <c r="O124" s="112"/>
      <c r="P124" s="112"/>
      <c r="Q124" s="112"/>
      <c r="R124" s="112"/>
      <c r="S124" s="143"/>
      <c r="T124" s="143"/>
      <c r="U124" s="143"/>
      <c r="V124" s="143"/>
      <c r="W124" s="143"/>
    </row>
    <row r="125" spans="1:23" s="120" customFormat="1" ht="18" hidden="1" customHeight="1" outlineLevel="1" x14ac:dyDescent="0.25">
      <c r="A125" s="108">
        <v>23</v>
      </c>
      <c r="B125" s="131">
        <f t="shared" si="13"/>
        <v>43373</v>
      </c>
      <c r="C125" s="140">
        <f>'Att(1of6)(JP-Non)'!C125</f>
        <v>9.6567710000000001E-2</v>
      </c>
      <c r="D125" s="117">
        <f t="shared" si="14"/>
        <v>43404</v>
      </c>
      <c r="E125" s="131">
        <f t="shared" si="15"/>
        <v>43434</v>
      </c>
      <c r="F125" s="121">
        <v>683100.54</v>
      </c>
      <c r="G125" s="131">
        <f t="shared" si="16"/>
        <v>43465</v>
      </c>
      <c r="H125" s="121">
        <v>706162.94</v>
      </c>
      <c r="I125" s="123">
        <f t="shared" si="10"/>
        <v>122186.57999999973</v>
      </c>
      <c r="J125" s="121">
        <f t="shared" si="17"/>
        <v>805287.11999999976</v>
      </c>
      <c r="K125" s="121">
        <f t="shared" si="18"/>
        <v>122186.57999999973</v>
      </c>
      <c r="N125" s="112"/>
      <c r="O125" s="112"/>
      <c r="P125" s="112"/>
      <c r="Q125" s="112"/>
      <c r="R125" s="112"/>
      <c r="S125" s="143"/>
      <c r="T125" s="143"/>
      <c r="U125" s="143"/>
      <c r="V125" s="143"/>
      <c r="W125" s="143"/>
    </row>
    <row r="126" spans="1:23" s="120" customFormat="1" ht="18" hidden="1" customHeight="1" outlineLevel="1" x14ac:dyDescent="0.25">
      <c r="A126" s="108">
        <v>24</v>
      </c>
      <c r="B126" s="131">
        <f t="shared" si="13"/>
        <v>43404</v>
      </c>
      <c r="C126" s="140">
        <f>'Att(1of6)(JP-Non)'!C126</f>
        <v>9.6868129999999997E-2</v>
      </c>
      <c r="D126" s="117">
        <f t="shared" si="14"/>
        <v>43434</v>
      </c>
      <c r="E126" s="131">
        <f t="shared" si="15"/>
        <v>43465</v>
      </c>
      <c r="F126" s="121">
        <v>735905.13</v>
      </c>
      <c r="G126" s="131">
        <f t="shared" si="16"/>
        <v>43496</v>
      </c>
      <c r="H126" s="121">
        <v>518164.94</v>
      </c>
      <c r="I126" s="123">
        <f t="shared" si="10"/>
        <v>78984.51999999996</v>
      </c>
      <c r="J126" s="121">
        <f t="shared" si="17"/>
        <v>814889.64999999991</v>
      </c>
      <c r="K126" s="121">
        <f t="shared" si="18"/>
        <v>78984.51999999996</v>
      </c>
      <c r="N126" s="112"/>
      <c r="O126" s="112"/>
      <c r="P126" s="112"/>
      <c r="Q126" s="112"/>
      <c r="R126" s="112"/>
      <c r="S126" s="143"/>
      <c r="T126" s="143"/>
      <c r="U126" s="143"/>
      <c r="V126" s="143"/>
      <c r="W126" s="143"/>
    </row>
    <row r="127" spans="1:23" s="120" customFormat="1" ht="18" hidden="1" customHeight="1" outlineLevel="1" x14ac:dyDescent="0.25">
      <c r="A127" s="108">
        <v>25</v>
      </c>
      <c r="B127" s="131">
        <f t="shared" si="13"/>
        <v>43434</v>
      </c>
      <c r="C127" s="140">
        <f>'Att(1of6)(JP-Non)'!C127</f>
        <v>0.10872047</v>
      </c>
      <c r="D127" s="117">
        <f t="shared" si="14"/>
        <v>43465</v>
      </c>
      <c r="E127" s="131">
        <f t="shared" si="15"/>
        <v>43496</v>
      </c>
      <c r="F127" s="121">
        <v>820582.40000000002</v>
      </c>
      <c r="G127" s="131">
        <f t="shared" si="16"/>
        <v>43524</v>
      </c>
      <c r="H127" s="121">
        <v>903187.14</v>
      </c>
      <c r="I127" s="123">
        <f t="shared" si="10"/>
        <v>-97900.020000000251</v>
      </c>
      <c r="J127" s="121">
        <f t="shared" si="17"/>
        <v>722682.37999999977</v>
      </c>
      <c r="K127" s="121">
        <f t="shared" si="18"/>
        <v>-97900.020000000251</v>
      </c>
      <c r="N127" s="112"/>
      <c r="O127" s="112"/>
      <c r="P127" s="112"/>
      <c r="Q127" s="112"/>
      <c r="R127" s="112"/>
      <c r="S127" s="143"/>
      <c r="T127" s="143"/>
      <c r="U127" s="143"/>
      <c r="V127" s="143"/>
      <c r="W127" s="143"/>
    </row>
    <row r="128" spans="1:23" s="120" customFormat="1" ht="18" hidden="1" customHeight="1" outlineLevel="1" x14ac:dyDescent="0.25">
      <c r="A128" s="108">
        <v>26</v>
      </c>
      <c r="B128" s="131">
        <f t="shared" si="13"/>
        <v>43465</v>
      </c>
      <c r="C128" s="140">
        <f>'Att(1of6)(JP-Non)'!C128</f>
        <v>0.10952069</v>
      </c>
      <c r="D128" s="117">
        <f t="shared" si="14"/>
        <v>43496</v>
      </c>
      <c r="E128" s="131">
        <f t="shared" si="15"/>
        <v>43524</v>
      </c>
      <c r="F128" s="121">
        <v>968268.47</v>
      </c>
      <c r="G128" s="131">
        <f t="shared" si="16"/>
        <v>43555</v>
      </c>
      <c r="H128" s="121">
        <v>869036.58</v>
      </c>
      <c r="I128" s="123">
        <f t="shared" si="10"/>
        <v>-54146.930000000051</v>
      </c>
      <c r="J128" s="121">
        <f t="shared" si="17"/>
        <v>914121.53999999992</v>
      </c>
      <c r="K128" s="121">
        <f t="shared" si="18"/>
        <v>-54146.930000000051</v>
      </c>
      <c r="N128" s="112"/>
      <c r="O128" s="112"/>
      <c r="P128" s="112"/>
      <c r="Q128" s="112"/>
      <c r="R128" s="112"/>
      <c r="S128" s="143"/>
      <c r="T128" s="143"/>
      <c r="U128" s="143"/>
      <c r="V128" s="143"/>
      <c r="W128" s="143"/>
    </row>
    <row r="129" spans="1:23" s="120" customFormat="1" ht="18" hidden="1" customHeight="1" outlineLevel="1" x14ac:dyDescent="0.25">
      <c r="A129" s="108">
        <v>27</v>
      </c>
      <c r="B129" s="131">
        <f t="shared" si="13"/>
        <v>43496</v>
      </c>
      <c r="C129" s="140">
        <f>'Att(1of6)(JP-Non)'!C129</f>
        <v>9.6100149999999995E-2</v>
      </c>
      <c r="D129" s="117">
        <f t="shared" si="14"/>
        <v>43524</v>
      </c>
      <c r="E129" s="131">
        <f t="shared" si="15"/>
        <v>43555</v>
      </c>
      <c r="F129" s="121">
        <v>679514.76</v>
      </c>
      <c r="G129" s="131">
        <f t="shared" si="16"/>
        <v>43585</v>
      </c>
      <c r="H129" s="121">
        <v>791326.51</v>
      </c>
      <c r="I129" s="123">
        <f t="shared" si="10"/>
        <v>-68644.130000000237</v>
      </c>
      <c r="J129" s="121">
        <f t="shared" si="17"/>
        <v>610870.62999999977</v>
      </c>
      <c r="K129" s="121">
        <f t="shared" si="18"/>
        <v>-68644.130000000237</v>
      </c>
      <c r="N129" s="112"/>
      <c r="O129" s="112"/>
      <c r="P129" s="112"/>
      <c r="Q129" s="112"/>
      <c r="R129" s="112"/>
      <c r="S129" s="143"/>
      <c r="T129" s="143"/>
      <c r="U129" s="143"/>
      <c r="V129" s="143"/>
      <c r="W129" s="143"/>
    </row>
    <row r="130" spans="1:23" s="120" customFormat="1" ht="18" hidden="1" customHeight="1" outlineLevel="1" x14ac:dyDescent="0.25">
      <c r="A130" s="108">
        <v>28</v>
      </c>
      <c r="B130" s="131">
        <f t="shared" si="13"/>
        <v>43524</v>
      </c>
      <c r="C130" s="140">
        <f>'Att(1of6)(JP-Non)'!C130</f>
        <v>7.8860360000000004E-2</v>
      </c>
      <c r="D130" s="117">
        <f t="shared" si="14"/>
        <v>43555</v>
      </c>
      <c r="E130" s="131">
        <f t="shared" si="15"/>
        <v>43585</v>
      </c>
      <c r="F130" s="121">
        <v>592973</v>
      </c>
      <c r="G130" s="131">
        <f t="shared" si="16"/>
        <v>43616</v>
      </c>
      <c r="H130" s="121">
        <v>761588.31</v>
      </c>
      <c r="I130" s="123">
        <f t="shared" si="10"/>
        <v>152533.22999999986</v>
      </c>
      <c r="J130" s="121">
        <f t="shared" si="17"/>
        <v>745506.22999999986</v>
      </c>
      <c r="K130" s="121">
        <f t="shared" si="18"/>
        <v>152533.22999999986</v>
      </c>
      <c r="N130" s="112"/>
      <c r="O130" s="112"/>
      <c r="P130" s="112"/>
      <c r="Q130" s="112"/>
      <c r="R130" s="112"/>
      <c r="S130" s="143"/>
      <c r="T130" s="143"/>
      <c r="U130" s="143"/>
      <c r="V130" s="143"/>
      <c r="W130" s="143"/>
    </row>
    <row r="131" spans="1:23" s="120" customFormat="1" ht="18" hidden="1" customHeight="1" outlineLevel="1" x14ac:dyDescent="0.25">
      <c r="A131" s="108">
        <v>29</v>
      </c>
      <c r="B131" s="131">
        <f t="shared" si="13"/>
        <v>43555</v>
      </c>
      <c r="C131" s="140">
        <f>'Att(1of6)(JP-Non)'!C131</f>
        <v>8.642946E-2</v>
      </c>
      <c r="D131" s="117">
        <f t="shared" si="14"/>
        <v>43585</v>
      </c>
      <c r="E131" s="131">
        <f t="shared" si="15"/>
        <v>43616</v>
      </c>
      <c r="F131" s="121">
        <v>475200.28</v>
      </c>
      <c r="G131" s="131">
        <f t="shared" si="16"/>
        <v>43646</v>
      </c>
      <c r="H131" s="121">
        <v>553542.48</v>
      </c>
      <c r="I131" s="123">
        <f t="shared" si="10"/>
        <v>57328.14999999979</v>
      </c>
      <c r="J131" s="121">
        <f t="shared" si="17"/>
        <v>532528.42999999982</v>
      </c>
      <c r="K131" s="121">
        <f t="shared" si="18"/>
        <v>57328.14999999979</v>
      </c>
      <c r="N131" s="112"/>
      <c r="O131" s="112"/>
      <c r="P131" s="112"/>
      <c r="Q131" s="112"/>
      <c r="R131" s="112"/>
      <c r="S131" s="143"/>
      <c r="T131" s="143"/>
      <c r="U131" s="143"/>
      <c r="V131" s="143"/>
      <c r="W131" s="143"/>
    </row>
    <row r="132" spans="1:23" s="120" customFormat="1" ht="18" hidden="1" customHeight="1" outlineLevel="1" x14ac:dyDescent="0.25">
      <c r="A132" s="108">
        <v>30</v>
      </c>
      <c r="B132" s="131">
        <f t="shared" si="13"/>
        <v>43585</v>
      </c>
      <c r="C132" s="140">
        <f>'Att(1of6)(JP-Non)'!C132</f>
        <v>7.4784340000000005E-2</v>
      </c>
      <c r="D132" s="117">
        <f t="shared" si="14"/>
        <v>43616</v>
      </c>
      <c r="E132" s="131">
        <f t="shared" si="15"/>
        <v>43646</v>
      </c>
      <c r="F132" s="121">
        <v>520955.77</v>
      </c>
      <c r="G132" s="131">
        <f t="shared" si="16"/>
        <v>43677</v>
      </c>
      <c r="H132" s="121">
        <v>565838.54</v>
      </c>
      <c r="I132" s="123">
        <f t="shared" si="10"/>
        <v>179667.68999999983</v>
      </c>
      <c r="J132" s="121">
        <f t="shared" si="17"/>
        <v>700623.45999999985</v>
      </c>
      <c r="K132" s="121">
        <f t="shared" si="18"/>
        <v>179667.68999999983</v>
      </c>
      <c r="N132" s="112"/>
      <c r="O132" s="112"/>
      <c r="P132" s="112"/>
      <c r="Q132" s="112"/>
      <c r="R132" s="112"/>
      <c r="S132" s="143"/>
      <c r="T132" s="143"/>
      <c r="U132" s="143"/>
      <c r="V132" s="143"/>
      <c r="W132" s="143"/>
    </row>
    <row r="133" spans="1:23" s="120" customFormat="1" ht="18" hidden="1" customHeight="1" outlineLevel="1" x14ac:dyDescent="0.25">
      <c r="A133" s="108">
        <v>31</v>
      </c>
      <c r="B133" s="131">
        <f t="shared" si="13"/>
        <v>43616</v>
      </c>
      <c r="C133" s="140">
        <f>'Att(1of6)(JP-Non)'!C133</f>
        <v>9.9774479999999999E-2</v>
      </c>
      <c r="D133" s="117">
        <f t="shared" si="14"/>
        <v>43646</v>
      </c>
      <c r="E133" s="131">
        <f t="shared" si="15"/>
        <v>43677</v>
      </c>
      <c r="F133" s="121">
        <v>766265.57</v>
      </c>
      <c r="G133" s="131">
        <f t="shared" si="16"/>
        <v>43708</v>
      </c>
      <c r="H133" s="121">
        <v>671536.03</v>
      </c>
      <c r="I133" s="123">
        <f t="shared" si="10"/>
        <v>-139007.60000000021</v>
      </c>
      <c r="J133" s="121">
        <f t="shared" si="17"/>
        <v>627257.96999999974</v>
      </c>
      <c r="K133" s="121">
        <f t="shared" si="18"/>
        <v>-139007.60000000021</v>
      </c>
      <c r="N133" s="112"/>
      <c r="O133" s="112"/>
      <c r="P133" s="112"/>
      <c r="Q133" s="112"/>
      <c r="R133" s="112"/>
      <c r="S133" s="143"/>
      <c r="T133" s="143"/>
      <c r="U133" s="143"/>
      <c r="V133" s="143"/>
      <c r="W133" s="143"/>
    </row>
    <row r="134" spans="1:23" s="120" customFormat="1" ht="18" hidden="1" customHeight="1" outlineLevel="1" x14ac:dyDescent="0.25">
      <c r="A134" s="108">
        <v>32</v>
      </c>
      <c r="B134" s="131">
        <f t="shared" si="13"/>
        <v>43646</v>
      </c>
      <c r="C134" s="140">
        <f>'Att(1of6)(JP-Non)'!C134</f>
        <v>8.8896310000000006E-2</v>
      </c>
      <c r="D134" s="117">
        <f t="shared" si="14"/>
        <v>43677</v>
      </c>
      <c r="E134" s="131">
        <f t="shared" si="15"/>
        <v>43708</v>
      </c>
      <c r="F134" s="121">
        <v>771702.71</v>
      </c>
      <c r="G134" s="131">
        <f t="shared" si="16"/>
        <v>43738</v>
      </c>
      <c r="H134" s="121">
        <v>835081.2</v>
      </c>
      <c r="I134" s="123">
        <f t="shared" si="10"/>
        <v>-134457.74000000011</v>
      </c>
      <c r="J134" s="121">
        <f t="shared" si="17"/>
        <v>637244.96999999986</v>
      </c>
      <c r="K134" s="121">
        <f t="shared" si="18"/>
        <v>-134457.74000000011</v>
      </c>
      <c r="N134" s="112"/>
      <c r="O134" s="112"/>
      <c r="P134" s="112"/>
      <c r="Q134" s="112"/>
      <c r="R134" s="112"/>
      <c r="S134" s="143"/>
      <c r="T134" s="143"/>
      <c r="U134" s="143"/>
      <c r="V134" s="143"/>
      <c r="W134" s="143"/>
    </row>
    <row r="135" spans="1:23" s="120" customFormat="1" ht="18" hidden="1" customHeight="1" outlineLevel="1" x14ac:dyDescent="0.25">
      <c r="A135" s="108">
        <v>33</v>
      </c>
      <c r="B135" s="131">
        <f t="shared" si="13"/>
        <v>43677</v>
      </c>
      <c r="C135" s="140">
        <f>'Att(1of6)(JP-Non)'!C135</f>
        <v>9.3644240000000004E-2</v>
      </c>
      <c r="D135" s="117">
        <f t="shared" si="14"/>
        <v>43708</v>
      </c>
      <c r="E135" s="131">
        <f t="shared" si="15"/>
        <v>43738</v>
      </c>
      <c r="F135" s="121">
        <f>+'[69]Page 2'!$J$11</f>
        <v>808992.32</v>
      </c>
      <c r="G135" s="131">
        <f t="shared" si="16"/>
        <v>43769</v>
      </c>
      <c r="H135" s="121">
        <f>+'[69]Page 2'!$E$29</f>
        <v>749725.80475738901</v>
      </c>
      <c r="I135" s="123">
        <f t="shared" si="10"/>
        <v>-122467.83475738927</v>
      </c>
      <c r="J135" s="121">
        <f t="shared" si="17"/>
        <v>686524.48524261068</v>
      </c>
      <c r="K135" s="121">
        <f t="shared" si="18"/>
        <v>-122467.83475738927</v>
      </c>
      <c r="N135" s="112"/>
      <c r="O135" s="112"/>
      <c r="P135" s="112"/>
      <c r="Q135" s="112"/>
      <c r="R135" s="112"/>
      <c r="S135" s="143"/>
      <c r="T135" s="143"/>
      <c r="U135" s="143"/>
      <c r="V135" s="143"/>
      <c r="W135" s="143"/>
    </row>
    <row r="136" spans="1:23" s="120" customFormat="1" ht="18" hidden="1" customHeight="1" outlineLevel="1" x14ac:dyDescent="0.25">
      <c r="A136" s="108">
        <f>+A13+1</f>
        <v>1</v>
      </c>
      <c r="B136" s="131">
        <f t="shared" si="13"/>
        <v>43708</v>
      </c>
      <c r="C136" s="140">
        <f>'Att(1of6)(JP-Non)'!C136</f>
        <v>6.5542030000000001E-2</v>
      </c>
      <c r="D136" s="117">
        <f t="shared" si="14"/>
        <v>43738</v>
      </c>
      <c r="E136" s="131">
        <f t="shared" si="15"/>
        <v>43769</v>
      </c>
      <c r="F136" s="121">
        <f>+'[70]Page 2'!$J$11</f>
        <v>554766.97</v>
      </c>
      <c r="G136" s="131">
        <f t="shared" ref="G136:G199" si="19">EOMONTH(E136,1)</f>
        <v>43799</v>
      </c>
      <c r="H136" s="121">
        <f>+'[70]Page 2'!$E$29</f>
        <v>600202.69259922393</v>
      </c>
      <c r="I136" s="123">
        <f t="shared" ref="I136:I185" si="20">+K136</f>
        <v>37042.277400775929</v>
      </c>
      <c r="J136" s="121">
        <f t="shared" ref="J136:J185" si="21">+F136+I136</f>
        <v>591809.2474007759</v>
      </c>
      <c r="K136" s="121">
        <f t="shared" ref="K136:K185" si="22">+J134-H136</f>
        <v>37042.277400775929</v>
      </c>
      <c r="N136" s="112"/>
      <c r="O136" s="112"/>
      <c r="P136" s="112"/>
      <c r="Q136" s="112"/>
      <c r="R136" s="112"/>
      <c r="S136" s="143"/>
      <c r="T136" s="143"/>
      <c r="U136" s="143"/>
      <c r="V136" s="143"/>
      <c r="W136" s="143"/>
    </row>
    <row r="137" spans="1:23" s="120" customFormat="1" ht="18" hidden="1" customHeight="1" outlineLevel="1" x14ac:dyDescent="0.25">
      <c r="A137" s="108">
        <f>+A136+1</f>
        <v>2</v>
      </c>
      <c r="B137" s="131">
        <f t="shared" si="13"/>
        <v>43738</v>
      </c>
      <c r="C137" s="140">
        <f>'Att(1of6)(JP-Non)'!C137</f>
        <v>6.2412290000000002E-2</v>
      </c>
      <c r="D137" s="117">
        <f t="shared" si="14"/>
        <v>43769</v>
      </c>
      <c r="E137" s="131">
        <f t="shared" si="15"/>
        <v>43799</v>
      </c>
      <c r="F137" s="121">
        <f>+'[71]Page 2'!$J$11</f>
        <v>441953.87</v>
      </c>
      <c r="G137" s="131">
        <f t="shared" si="19"/>
        <v>43830</v>
      </c>
      <c r="H137" s="121">
        <f>+'[71]Page 2'!$E$29</f>
        <v>626810.25877398299</v>
      </c>
      <c r="I137" s="123">
        <f t="shared" si="20"/>
        <v>59714.22646862769</v>
      </c>
      <c r="J137" s="121">
        <f t="shared" si="21"/>
        <v>501668.09646862769</v>
      </c>
      <c r="K137" s="121">
        <f t="shared" si="22"/>
        <v>59714.22646862769</v>
      </c>
      <c r="N137" s="112"/>
      <c r="O137" s="112"/>
      <c r="P137" s="112"/>
      <c r="Q137" s="112"/>
      <c r="R137" s="112"/>
      <c r="S137" s="143"/>
      <c r="T137" s="143"/>
      <c r="U137" s="143"/>
      <c r="V137" s="143"/>
      <c r="W137" s="143"/>
    </row>
    <row r="138" spans="1:23" s="120" customFormat="1" ht="18" hidden="1" customHeight="1" outlineLevel="1" x14ac:dyDescent="0.25">
      <c r="A138" s="108">
        <f t="shared" ref="A138:A201" si="23">+A137+1</f>
        <v>3</v>
      </c>
      <c r="B138" s="131">
        <f t="shared" si="13"/>
        <v>43769</v>
      </c>
      <c r="C138" s="140">
        <f>'Att(1of6)(JP-Non)'!C138</f>
        <v>5.4750090000000001E-2</v>
      </c>
      <c r="D138" s="117">
        <f t="shared" si="14"/>
        <v>43799</v>
      </c>
      <c r="E138" s="131">
        <f t="shared" si="15"/>
        <v>43830</v>
      </c>
      <c r="F138" s="121">
        <f>+'[72]Page 2'!$J$11</f>
        <v>429901.35</v>
      </c>
      <c r="G138" s="131">
        <f t="shared" si="19"/>
        <v>43861</v>
      </c>
      <c r="H138" s="121">
        <f>+'[72]Page 2'!$E$29</f>
        <v>462273.09931875003</v>
      </c>
      <c r="I138" s="123">
        <f t="shared" si="20"/>
        <v>129536.14808202587</v>
      </c>
      <c r="J138" s="121">
        <f t="shared" si="21"/>
        <v>559437.49808202591</v>
      </c>
      <c r="K138" s="121">
        <f t="shared" si="22"/>
        <v>129536.14808202587</v>
      </c>
      <c r="N138" s="112"/>
      <c r="O138" s="112"/>
      <c r="P138" s="112"/>
      <c r="Q138" s="112"/>
      <c r="R138" s="112"/>
      <c r="S138" s="143"/>
      <c r="T138" s="143"/>
      <c r="U138" s="143"/>
      <c r="V138" s="143"/>
      <c r="W138" s="143"/>
    </row>
    <row r="139" spans="1:23" s="120" customFormat="1" ht="18" hidden="1" customHeight="1" outlineLevel="1" x14ac:dyDescent="0.25">
      <c r="A139" s="108">
        <f t="shared" si="23"/>
        <v>4</v>
      </c>
      <c r="B139" s="131">
        <f t="shared" si="13"/>
        <v>43799</v>
      </c>
      <c r="C139" s="140">
        <f>'Att(1of6)(JP-Non)'!C139</f>
        <v>7.0155609999999993E-2</v>
      </c>
      <c r="D139" s="117">
        <f t="shared" si="14"/>
        <v>43830</v>
      </c>
      <c r="E139" s="131">
        <f t="shared" si="15"/>
        <v>43861</v>
      </c>
      <c r="F139" s="121">
        <f>+'[73]Page 2'!$J$11</f>
        <v>538480.65</v>
      </c>
      <c r="G139" s="131">
        <f t="shared" si="19"/>
        <v>43890</v>
      </c>
      <c r="H139" s="121">
        <f>+'[73]Page 2'!$E$29</f>
        <v>600553.07531153492</v>
      </c>
      <c r="I139" s="123">
        <f t="shared" si="20"/>
        <v>-98884.978842907236</v>
      </c>
      <c r="J139" s="121">
        <f t="shared" si="21"/>
        <v>439595.67115709279</v>
      </c>
      <c r="K139" s="121">
        <f t="shared" si="22"/>
        <v>-98884.978842907236</v>
      </c>
      <c r="N139" s="112"/>
      <c r="O139" s="112"/>
      <c r="P139" s="112"/>
      <c r="Q139" s="112"/>
      <c r="R139" s="112"/>
      <c r="S139" s="143"/>
      <c r="T139" s="143"/>
      <c r="U139" s="143"/>
      <c r="V139" s="143"/>
      <c r="W139" s="143"/>
    </row>
    <row r="140" spans="1:23" s="120" customFormat="1" ht="18" hidden="1" customHeight="1" outlineLevel="1" x14ac:dyDescent="0.25">
      <c r="A140" s="108">
        <f t="shared" si="23"/>
        <v>5</v>
      </c>
      <c r="B140" s="131">
        <f t="shared" si="13"/>
        <v>43830</v>
      </c>
      <c r="C140" s="140">
        <f>'Att(1of6)(JP-Non)'!C140</f>
        <v>4.5191549999999997E-2</v>
      </c>
      <c r="D140" s="117">
        <f t="shared" si="14"/>
        <v>43861</v>
      </c>
      <c r="E140" s="131">
        <f t="shared" si="15"/>
        <v>43890</v>
      </c>
      <c r="F140" s="121">
        <f>+'[74]Page 2'!$J$11</f>
        <v>349674.7</v>
      </c>
      <c r="G140" s="131">
        <f t="shared" si="19"/>
        <v>43921</v>
      </c>
      <c r="H140" s="121">
        <f>+'[74]Page 2'!$E$29</f>
        <v>566219.96563509991</v>
      </c>
      <c r="I140" s="123">
        <f t="shared" si="20"/>
        <v>-6782.467553074006</v>
      </c>
      <c r="J140" s="121">
        <f t="shared" si="21"/>
        <v>342892.23244692601</v>
      </c>
      <c r="K140" s="121">
        <f t="shared" si="22"/>
        <v>-6782.467553074006</v>
      </c>
      <c r="N140" s="112"/>
      <c r="O140" s="112"/>
      <c r="P140" s="112"/>
      <c r="Q140" s="112"/>
      <c r="R140" s="112"/>
      <c r="S140" s="143"/>
      <c r="T140" s="143"/>
      <c r="U140" s="143"/>
      <c r="V140" s="143"/>
      <c r="W140" s="143"/>
    </row>
    <row r="141" spans="1:23" s="120" customFormat="1" ht="18" hidden="1" customHeight="1" outlineLevel="1" x14ac:dyDescent="0.25">
      <c r="A141" s="108">
        <f t="shared" si="23"/>
        <v>6</v>
      </c>
      <c r="B141" s="131">
        <f t="shared" si="13"/>
        <v>43861</v>
      </c>
      <c r="C141" s="140">
        <f>'Att(1of6)(JP-Non)'!C141</f>
        <v>4.2630380000000002E-2</v>
      </c>
      <c r="D141" s="117">
        <f t="shared" si="14"/>
        <v>43890</v>
      </c>
      <c r="E141" s="131">
        <f t="shared" si="15"/>
        <v>43921</v>
      </c>
      <c r="F141" s="121">
        <f>+'[75]Page 2'!$J$11</f>
        <v>324519.11</v>
      </c>
      <c r="G141" s="131">
        <f t="shared" si="19"/>
        <v>43951</v>
      </c>
      <c r="H141" s="121">
        <f>+'[75]Page 2'!$E$29</f>
        <v>460632.65489430592</v>
      </c>
      <c r="I141" s="123">
        <f t="shared" si="20"/>
        <v>-21036.98373721313</v>
      </c>
      <c r="J141" s="121">
        <f t="shared" si="21"/>
        <v>303482.12626278686</v>
      </c>
      <c r="K141" s="121">
        <f t="shared" si="22"/>
        <v>-21036.98373721313</v>
      </c>
      <c r="N141" s="112"/>
      <c r="O141" s="112"/>
      <c r="P141" s="112"/>
      <c r="Q141" s="112"/>
      <c r="R141" s="112"/>
      <c r="S141" s="143"/>
      <c r="T141" s="143"/>
      <c r="U141" s="143"/>
      <c r="V141" s="143"/>
      <c r="W141" s="143"/>
    </row>
    <row r="142" spans="1:23" s="120" customFormat="1" ht="18" hidden="1" customHeight="1" outlineLevel="1" x14ac:dyDescent="0.25">
      <c r="A142" s="108">
        <f t="shared" si="23"/>
        <v>7</v>
      </c>
      <c r="B142" s="131">
        <f t="shared" si="13"/>
        <v>43890</v>
      </c>
      <c r="C142" s="140">
        <f>'Att(1of6)(JP-Non)'!C142</f>
        <v>5.358359E-2</v>
      </c>
      <c r="D142" s="117">
        <f t="shared" si="14"/>
        <v>43921</v>
      </c>
      <c r="E142" s="131">
        <f t="shared" si="15"/>
        <v>43951</v>
      </c>
      <c r="F142" s="121">
        <f>+'[76]Page 2'!$J$11</f>
        <v>323649.59999999998</v>
      </c>
      <c r="G142" s="131">
        <f t="shared" si="19"/>
        <v>43982</v>
      </c>
      <c r="H142" s="121">
        <f>+'[76]Page 2'!$E$29</f>
        <v>305306.18207743799</v>
      </c>
      <c r="I142" s="123">
        <f t="shared" si="20"/>
        <v>37586.050369488017</v>
      </c>
      <c r="J142" s="121">
        <f t="shared" si="21"/>
        <v>361235.65036948799</v>
      </c>
      <c r="K142" s="121">
        <f t="shared" si="22"/>
        <v>37586.050369488017</v>
      </c>
      <c r="N142" s="112"/>
      <c r="O142" s="112"/>
      <c r="P142" s="112"/>
      <c r="Q142" s="112"/>
      <c r="R142" s="112"/>
      <c r="S142" s="143"/>
      <c r="T142" s="143"/>
      <c r="U142" s="143"/>
      <c r="V142" s="143"/>
      <c r="W142" s="143"/>
    </row>
    <row r="143" spans="1:23" s="120" customFormat="1" ht="18" hidden="1" customHeight="1" outlineLevel="1" x14ac:dyDescent="0.25">
      <c r="A143" s="108">
        <f t="shared" si="23"/>
        <v>8</v>
      </c>
      <c r="B143" s="131">
        <f t="shared" si="13"/>
        <v>43921</v>
      </c>
      <c r="C143" s="140">
        <f>'Att(1of6)(JP-Non)'!C143</f>
        <v>4.8569349999999997E-2</v>
      </c>
      <c r="D143" s="117">
        <f t="shared" ref="D143:D174" si="24">EOMONTH(D142,1)</f>
        <v>43951</v>
      </c>
      <c r="E143" s="131">
        <f t="shared" ref="E143:E174" si="25">EOMONTH(E142,1)</f>
        <v>43982</v>
      </c>
      <c r="F143" s="121">
        <f>+'[77]Page 2'!$J$11</f>
        <v>262985.73</v>
      </c>
      <c r="G143" s="131">
        <f t="shared" si="19"/>
        <v>44012</v>
      </c>
      <c r="H143" s="121">
        <f>+'[77]Page 2'!$E$29</f>
        <v>244592.648358048</v>
      </c>
      <c r="I143" s="123">
        <f t="shared" si="20"/>
        <v>58889.477904738858</v>
      </c>
      <c r="J143" s="121">
        <f t="shared" si="21"/>
        <v>321875.20790473884</v>
      </c>
      <c r="K143" s="121">
        <f t="shared" si="22"/>
        <v>58889.477904738858</v>
      </c>
      <c r="N143" s="112"/>
      <c r="O143" s="112"/>
      <c r="P143" s="112"/>
      <c r="Q143" s="112"/>
      <c r="R143" s="112"/>
      <c r="S143" s="143"/>
      <c r="T143" s="143"/>
      <c r="U143" s="143"/>
      <c r="V143" s="143"/>
      <c r="W143" s="143"/>
    </row>
    <row r="144" spans="1:23" s="120" customFormat="1" ht="18" hidden="1" customHeight="1" outlineLevel="1" x14ac:dyDescent="0.25">
      <c r="A144" s="108">
        <f t="shared" si="23"/>
        <v>9</v>
      </c>
      <c r="B144" s="131">
        <f t="shared" si="13"/>
        <v>43951</v>
      </c>
      <c r="C144" s="140">
        <f>'Att(1of6)(JP-Non)'!C144</f>
        <v>4.5622419999999997E-2</v>
      </c>
      <c r="D144" s="117">
        <f t="shared" si="24"/>
        <v>43982</v>
      </c>
      <c r="E144" s="131">
        <f t="shared" si="25"/>
        <v>44012</v>
      </c>
      <c r="F144" s="121">
        <f>+'[78]Page 2'!$J$11</f>
        <v>277665.15000000002</v>
      </c>
      <c r="G144" s="131">
        <f t="shared" si="19"/>
        <v>44043</v>
      </c>
      <c r="H144" s="121">
        <f>+'[78]Page 2'!$E$29</f>
        <v>311133.81969721994</v>
      </c>
      <c r="I144" s="123">
        <f t="shared" si="20"/>
        <v>50101.830672268057</v>
      </c>
      <c r="J144" s="121">
        <f t="shared" si="21"/>
        <v>327766.98067226808</v>
      </c>
      <c r="K144" s="121">
        <f t="shared" si="22"/>
        <v>50101.830672268057</v>
      </c>
      <c r="N144" s="112"/>
      <c r="O144" s="112"/>
      <c r="P144" s="112"/>
      <c r="Q144" s="112"/>
      <c r="R144" s="112"/>
      <c r="S144" s="143"/>
      <c r="T144" s="143"/>
      <c r="U144" s="143"/>
      <c r="V144" s="143"/>
      <c r="W144" s="143"/>
    </row>
    <row r="145" spans="1:23" s="120" customFormat="1" ht="18" hidden="1" customHeight="1" outlineLevel="1" x14ac:dyDescent="0.25">
      <c r="A145" s="108">
        <f t="shared" si="23"/>
        <v>10</v>
      </c>
      <c r="B145" s="131">
        <f t="shared" si="13"/>
        <v>43982</v>
      </c>
      <c r="C145" s="140">
        <f>'Att(1of6)(JP-Non)'!C145</f>
        <v>5.1122569999999999E-2</v>
      </c>
      <c r="D145" s="117">
        <f t="shared" si="24"/>
        <v>44012</v>
      </c>
      <c r="E145" s="131">
        <f t="shared" si="25"/>
        <v>44043</v>
      </c>
      <c r="F145" s="121">
        <f>+'[79]Page 2'!$J$11</f>
        <v>390103.31</v>
      </c>
      <c r="G145" s="131">
        <f t="shared" si="19"/>
        <v>44074</v>
      </c>
      <c r="H145" s="121">
        <f>+'[79]Page 2'!$E$29</f>
        <v>386372.67554743105</v>
      </c>
      <c r="I145" s="123">
        <f t="shared" si="20"/>
        <v>-64497.467642692209</v>
      </c>
      <c r="J145" s="121">
        <f t="shared" si="21"/>
        <v>325605.84235730779</v>
      </c>
      <c r="K145" s="121">
        <f t="shared" si="22"/>
        <v>-64497.467642692209</v>
      </c>
      <c r="N145" s="112"/>
      <c r="O145" s="112"/>
      <c r="P145" s="112"/>
      <c r="Q145" s="112"/>
      <c r="R145" s="112"/>
      <c r="S145" s="143"/>
      <c r="T145" s="143"/>
      <c r="U145" s="143"/>
      <c r="V145" s="143"/>
      <c r="W145" s="143"/>
    </row>
    <row r="146" spans="1:23" s="120" customFormat="1" ht="18" hidden="1" customHeight="1" outlineLevel="1" x14ac:dyDescent="0.25">
      <c r="A146" s="108">
        <f t="shared" si="23"/>
        <v>11</v>
      </c>
      <c r="B146" s="131">
        <f t="shared" si="13"/>
        <v>44012</v>
      </c>
      <c r="C146" s="140">
        <f>'Att(1of6)(JP-Non)'!C146</f>
        <v>7.7336489999999994E-2</v>
      </c>
      <c r="D146" s="117">
        <f t="shared" si="24"/>
        <v>44043</v>
      </c>
      <c r="E146" s="131">
        <f t="shared" si="25"/>
        <v>44074</v>
      </c>
      <c r="F146" s="121">
        <f>+'[80]Page 2'!$J$11</f>
        <v>678080.44000000006</v>
      </c>
      <c r="G146" s="131">
        <f t="shared" si="19"/>
        <v>44104</v>
      </c>
      <c r="H146" s="121">
        <f>+'[80]Page 2'!$E$29</f>
        <v>451351.49195190001</v>
      </c>
      <c r="I146" s="123">
        <f t="shared" si="20"/>
        <v>-123584.51127963193</v>
      </c>
      <c r="J146" s="121">
        <f t="shared" si="21"/>
        <v>554495.92872036807</v>
      </c>
      <c r="K146" s="121">
        <f t="shared" si="22"/>
        <v>-123584.51127963193</v>
      </c>
      <c r="N146" s="112"/>
      <c r="O146" s="112"/>
      <c r="P146" s="112"/>
      <c r="Q146" s="112"/>
      <c r="R146" s="112"/>
      <c r="S146" s="143"/>
      <c r="T146" s="143"/>
      <c r="U146" s="143"/>
      <c r="V146" s="143"/>
      <c r="W146" s="143"/>
    </row>
    <row r="147" spans="1:23" s="120" customFormat="1" ht="18" hidden="1" customHeight="1" outlineLevel="1" x14ac:dyDescent="0.25">
      <c r="A147" s="108">
        <f t="shared" si="23"/>
        <v>12</v>
      </c>
      <c r="B147" s="131">
        <f t="shared" si="13"/>
        <v>44043</v>
      </c>
      <c r="C147" s="140">
        <f>'Att(1of6)(JP-Non)'!C147</f>
        <v>8.3776569999999995E-2</v>
      </c>
      <c r="D147" s="117">
        <f t="shared" si="24"/>
        <v>44074</v>
      </c>
      <c r="E147" s="131">
        <f t="shared" si="25"/>
        <v>44104</v>
      </c>
      <c r="F147" s="121">
        <f>+'[81]Page 2'!$J$11</f>
        <v>705723.84</v>
      </c>
      <c r="G147" s="131">
        <f t="shared" si="19"/>
        <v>44135</v>
      </c>
      <c r="H147" s="121">
        <f>+'[81]Page 2'!$E$29</f>
        <v>377219.90864970395</v>
      </c>
      <c r="I147" s="123">
        <f t="shared" si="20"/>
        <v>-51614.066292396164</v>
      </c>
      <c r="J147" s="121">
        <f t="shared" si="21"/>
        <v>654109.7737076038</v>
      </c>
      <c r="K147" s="121">
        <f t="shared" si="22"/>
        <v>-51614.066292396164</v>
      </c>
      <c r="N147" s="112"/>
      <c r="O147" s="112"/>
      <c r="P147" s="112"/>
      <c r="Q147" s="112"/>
      <c r="R147" s="112"/>
      <c r="S147" s="143"/>
      <c r="T147" s="143"/>
      <c r="U147" s="143"/>
      <c r="V147" s="143"/>
      <c r="W147" s="143"/>
    </row>
    <row r="148" spans="1:23" s="120" customFormat="1" ht="18" hidden="1" customHeight="1" outlineLevel="1" x14ac:dyDescent="0.25">
      <c r="A148" s="108">
        <f t="shared" si="23"/>
        <v>13</v>
      </c>
      <c r="B148" s="131">
        <f t="shared" si="13"/>
        <v>44074</v>
      </c>
      <c r="C148" s="140">
        <f>'Att(1of6)(JP-Non)'!C148</f>
        <v>7.4521589999999999E-2</v>
      </c>
      <c r="D148" s="117">
        <f t="shared" si="24"/>
        <v>44104</v>
      </c>
      <c r="E148" s="131">
        <f t="shared" si="25"/>
        <v>44135</v>
      </c>
      <c r="F148" s="121">
        <f>+'[82]Page 2'!$J$11</f>
        <v>527631.84</v>
      </c>
      <c r="G148" s="131">
        <f t="shared" si="19"/>
        <v>44165</v>
      </c>
      <c r="H148" s="121">
        <f>+'[82]Page 2'!$E$29</f>
        <v>484172.46779706504</v>
      </c>
      <c r="I148" s="123">
        <f t="shared" si="20"/>
        <v>70323.460923303035</v>
      </c>
      <c r="J148" s="121">
        <f t="shared" si="21"/>
        <v>597955.300923303</v>
      </c>
      <c r="K148" s="121">
        <f t="shared" si="22"/>
        <v>70323.460923303035</v>
      </c>
      <c r="N148" s="112"/>
      <c r="O148" s="112"/>
      <c r="P148" s="112"/>
      <c r="Q148" s="112"/>
      <c r="R148" s="112"/>
      <c r="S148" s="143"/>
      <c r="T148" s="143"/>
      <c r="U148" s="143"/>
      <c r="V148" s="143"/>
      <c r="W148" s="143"/>
    </row>
    <row r="149" spans="1:23" s="120" customFormat="1" ht="18" hidden="1" customHeight="1" outlineLevel="1" x14ac:dyDescent="0.25">
      <c r="A149" s="108">
        <f t="shared" si="23"/>
        <v>14</v>
      </c>
      <c r="B149" s="131">
        <f t="shared" si="13"/>
        <v>44104</v>
      </c>
      <c r="C149" s="140">
        <f>'Att(1of6)(JP-Non)'!C149</f>
        <v>4.0003150000000001E-2</v>
      </c>
      <c r="D149" s="117">
        <f t="shared" si="24"/>
        <v>44135</v>
      </c>
      <c r="E149" s="131">
        <f t="shared" si="25"/>
        <v>44165</v>
      </c>
      <c r="F149" s="121">
        <f>+'[83]Page 2'!$J$11</f>
        <v>212661.21000000002</v>
      </c>
      <c r="G149" s="131">
        <f t="shared" si="19"/>
        <v>44196</v>
      </c>
      <c r="H149" s="121">
        <f>+'[83]Page 2'!$E$29</f>
        <v>507828.80069190008</v>
      </c>
      <c r="I149" s="123">
        <f t="shared" si="20"/>
        <v>146280.97301570373</v>
      </c>
      <c r="J149" s="121">
        <f t="shared" si="21"/>
        <v>358942.18301570375</v>
      </c>
      <c r="K149" s="121">
        <f t="shared" si="22"/>
        <v>146280.97301570373</v>
      </c>
      <c r="N149" s="112"/>
      <c r="O149" s="112"/>
      <c r="P149" s="112"/>
      <c r="Q149" s="112"/>
      <c r="R149" s="112"/>
      <c r="S149" s="143"/>
      <c r="T149" s="143"/>
      <c r="U149" s="143"/>
      <c r="V149" s="143"/>
      <c r="W149" s="143"/>
    </row>
    <row r="150" spans="1:23" s="120" customFormat="1" ht="18" hidden="1" customHeight="1" outlineLevel="1" x14ac:dyDescent="0.25">
      <c r="A150" s="108">
        <f t="shared" si="23"/>
        <v>15</v>
      </c>
      <c r="B150" s="131">
        <f t="shared" si="13"/>
        <v>44135</v>
      </c>
      <c r="C150" s="140">
        <f>'Att(1of6)(JP-Non)'!C150</f>
        <v>5.9319419999999998E-2</v>
      </c>
      <c r="D150" s="117">
        <f t="shared" si="24"/>
        <v>44165</v>
      </c>
      <c r="E150" s="131">
        <f t="shared" si="25"/>
        <v>44196</v>
      </c>
      <c r="F150" s="121">
        <f>+'[84]Page 2'!$J$11</f>
        <v>368440.27999999997</v>
      </c>
      <c r="G150" s="131">
        <f t="shared" si="19"/>
        <v>44227</v>
      </c>
      <c r="H150" s="121">
        <f>+'[84]Page 2'!$E$29</f>
        <v>516912.12801040505</v>
      </c>
      <c r="I150" s="123">
        <f t="shared" si="20"/>
        <v>81043.17291289795</v>
      </c>
      <c r="J150" s="121">
        <f t="shared" si="21"/>
        <v>449483.45291289792</v>
      </c>
      <c r="K150" s="121">
        <f t="shared" si="22"/>
        <v>81043.17291289795</v>
      </c>
      <c r="N150" s="112"/>
      <c r="O150" s="112"/>
      <c r="P150" s="112"/>
      <c r="Q150" s="112"/>
      <c r="R150" s="112"/>
      <c r="S150" s="143"/>
      <c r="T150" s="143"/>
      <c r="U150" s="143"/>
      <c r="V150" s="143"/>
      <c r="W150" s="143"/>
    </row>
    <row r="151" spans="1:23" s="120" customFormat="1" ht="18" hidden="1" customHeight="1" outlineLevel="1" x14ac:dyDescent="0.25">
      <c r="A151" s="108">
        <f t="shared" si="23"/>
        <v>16</v>
      </c>
      <c r="B151" s="131">
        <f t="shared" si="13"/>
        <v>44165</v>
      </c>
      <c r="C151" s="140">
        <f>'Att(1of6)(JP-Non)'!C151</f>
        <v>6.1659560000000002E-2</v>
      </c>
      <c r="D151" s="117">
        <f t="shared" si="24"/>
        <v>44196</v>
      </c>
      <c r="E151" s="131">
        <f t="shared" si="25"/>
        <v>44227</v>
      </c>
      <c r="F151" s="121">
        <f>+'[85]Page 2'!$J$11</f>
        <v>473923.17</v>
      </c>
      <c r="G151" s="131">
        <f t="shared" si="19"/>
        <v>44255</v>
      </c>
      <c r="H151" s="121">
        <f>+'[85]Page 2'!$E$29</f>
        <v>413324.30669568008</v>
      </c>
      <c r="I151" s="123">
        <f t="shared" si="20"/>
        <v>-54382.123679976328</v>
      </c>
      <c r="J151" s="121">
        <f t="shared" si="21"/>
        <v>419541.04632002366</v>
      </c>
      <c r="K151" s="121">
        <f t="shared" si="22"/>
        <v>-54382.123679976328</v>
      </c>
      <c r="N151" s="112"/>
      <c r="O151" s="112"/>
      <c r="P151" s="112"/>
      <c r="Q151" s="112"/>
      <c r="R151" s="112"/>
      <c r="S151" s="143"/>
      <c r="T151" s="143"/>
      <c r="U151" s="143"/>
      <c r="V151" s="143"/>
      <c r="W151" s="143"/>
    </row>
    <row r="152" spans="1:23" s="120" customFormat="1" ht="18" hidden="1" customHeight="1" outlineLevel="1" x14ac:dyDescent="0.25">
      <c r="A152" s="108">
        <f t="shared" si="23"/>
        <v>17</v>
      </c>
      <c r="B152" s="131">
        <f t="shared" si="13"/>
        <v>44196</v>
      </c>
      <c r="C152" s="140">
        <f>'Att(1of6)(JP-Non)'!C152</f>
        <v>8.6877410000000002E-2</v>
      </c>
      <c r="D152" s="117">
        <f t="shared" si="24"/>
        <v>44227</v>
      </c>
      <c r="E152" s="131">
        <f t="shared" si="25"/>
        <v>44255</v>
      </c>
      <c r="F152" s="121">
        <f>+'[86]Page 2'!$J$11</f>
        <v>666208.84</v>
      </c>
      <c r="G152" s="131">
        <f t="shared" si="19"/>
        <v>44286</v>
      </c>
      <c r="H152" s="121">
        <f>+'[86]Page 2'!$E$29</f>
        <v>595650.08312791015</v>
      </c>
      <c r="I152" s="123">
        <f t="shared" si="20"/>
        <v>-146166.63021501224</v>
      </c>
      <c r="J152" s="121">
        <f t="shared" si="21"/>
        <v>520042.20978498773</v>
      </c>
      <c r="K152" s="121">
        <f t="shared" si="22"/>
        <v>-146166.63021501224</v>
      </c>
      <c r="N152" s="112"/>
      <c r="O152" s="112"/>
      <c r="P152" s="112"/>
      <c r="Q152" s="112"/>
      <c r="R152" s="112"/>
      <c r="S152" s="143"/>
      <c r="T152" s="143"/>
      <c r="U152" s="143"/>
      <c r="V152" s="143"/>
      <c r="W152" s="143"/>
    </row>
    <row r="153" spans="1:23" s="120" customFormat="1" ht="18" hidden="1" customHeight="1" outlineLevel="1" x14ac:dyDescent="0.25">
      <c r="A153" s="108">
        <f t="shared" si="23"/>
        <v>18</v>
      </c>
      <c r="B153" s="131">
        <f t="shared" si="13"/>
        <v>44227</v>
      </c>
      <c r="C153" s="140">
        <f>'Att(1of6)(JP-Non)'!C153</f>
        <v>5.7239890000000002E-2</v>
      </c>
      <c r="D153" s="117">
        <f t="shared" si="24"/>
        <v>44255</v>
      </c>
      <c r="E153" s="131">
        <f t="shared" si="25"/>
        <v>44286</v>
      </c>
      <c r="F153" s="121">
        <f>+'[87]Page 2'!$J$11</f>
        <v>487781.01</v>
      </c>
      <c r="G153" s="131">
        <f t="shared" si="19"/>
        <v>44316</v>
      </c>
      <c r="H153" s="121">
        <f>+'[87]Page 2'!$E$29</f>
        <v>460152.94106976001</v>
      </c>
      <c r="I153" s="123">
        <f t="shared" si="20"/>
        <v>-40611.894749736355</v>
      </c>
      <c r="J153" s="121">
        <f t="shared" si="21"/>
        <v>447169.11525026365</v>
      </c>
      <c r="K153" s="121">
        <f t="shared" si="22"/>
        <v>-40611.894749736355</v>
      </c>
      <c r="N153" s="112"/>
      <c r="O153" s="112"/>
      <c r="P153" s="112"/>
      <c r="Q153" s="112"/>
      <c r="R153" s="112"/>
      <c r="S153" s="143"/>
      <c r="T153" s="143"/>
      <c r="U153" s="143"/>
      <c r="V153" s="143"/>
      <c r="W153" s="143"/>
    </row>
    <row r="154" spans="1:23" s="120" customFormat="1" ht="18" hidden="1" customHeight="1" outlineLevel="1" x14ac:dyDescent="0.25">
      <c r="A154" s="108">
        <f t="shared" si="23"/>
        <v>19</v>
      </c>
      <c r="B154" s="131">
        <f t="shared" si="13"/>
        <v>44255</v>
      </c>
      <c r="C154" s="140">
        <f>'Att(1of6)(JP-Non)'!C154</f>
        <v>8.6906159999999996E-2</v>
      </c>
      <c r="D154" s="117">
        <f t="shared" si="24"/>
        <v>44286</v>
      </c>
      <c r="E154" s="131">
        <f t="shared" si="25"/>
        <v>44316</v>
      </c>
      <c r="F154" s="121">
        <f>+'[88]Page 2'!$J$11</f>
        <v>477317.21</v>
      </c>
      <c r="G154" s="131">
        <f t="shared" si="19"/>
        <v>44347</v>
      </c>
      <c r="H154" s="121">
        <f>+'[88]Page 2'!$E$29</f>
        <v>469621.85798731202</v>
      </c>
      <c r="I154" s="123">
        <f t="shared" si="20"/>
        <v>50420.351797675714</v>
      </c>
      <c r="J154" s="121">
        <f t="shared" si="21"/>
        <v>527737.56179767568</v>
      </c>
      <c r="K154" s="121">
        <f t="shared" si="22"/>
        <v>50420.351797675714</v>
      </c>
      <c r="N154" s="112"/>
      <c r="O154" s="112"/>
      <c r="P154" s="112"/>
      <c r="Q154" s="112"/>
      <c r="R154" s="112"/>
      <c r="S154" s="143"/>
      <c r="T154" s="143"/>
      <c r="U154" s="143"/>
      <c r="V154" s="143"/>
      <c r="W154" s="143"/>
    </row>
    <row r="155" spans="1:23" s="120" customFormat="1" ht="18" hidden="1" customHeight="1" outlineLevel="1" x14ac:dyDescent="0.25">
      <c r="A155" s="108">
        <f t="shared" si="23"/>
        <v>20</v>
      </c>
      <c r="B155" s="131">
        <f t="shared" si="13"/>
        <v>44286</v>
      </c>
      <c r="C155" s="140">
        <f>'Att(1of6)(JP-Non)'!C155</f>
        <v>4.6249430000000001E-2</v>
      </c>
      <c r="D155" s="117">
        <f t="shared" si="24"/>
        <v>44316</v>
      </c>
      <c r="E155" s="131">
        <f t="shared" si="25"/>
        <v>44347</v>
      </c>
      <c r="F155" s="121">
        <f>+'[89]Page 2'!$J$11</f>
        <v>252424.92</v>
      </c>
      <c r="G155" s="131">
        <f t="shared" si="19"/>
        <v>44377</v>
      </c>
      <c r="H155" s="121">
        <f>+'[89]Page 2'!$E$29</f>
        <v>301554.17388064996</v>
      </c>
      <c r="I155" s="123">
        <f t="shared" si="20"/>
        <v>145614.94136961369</v>
      </c>
      <c r="J155" s="121">
        <f t="shared" si="21"/>
        <v>398039.86136961367</v>
      </c>
      <c r="K155" s="121">
        <f t="shared" si="22"/>
        <v>145614.94136961369</v>
      </c>
      <c r="N155" s="112"/>
      <c r="O155" s="112"/>
      <c r="P155" s="112"/>
      <c r="Q155" s="112"/>
      <c r="R155" s="112"/>
      <c r="S155" s="143"/>
      <c r="T155" s="143"/>
      <c r="U155" s="143"/>
      <c r="V155" s="143"/>
      <c r="W155" s="143"/>
    </row>
    <row r="156" spans="1:23" s="120" customFormat="1" ht="18" hidden="1" customHeight="1" outlineLevel="1" x14ac:dyDescent="0.25">
      <c r="A156" s="108">
        <f t="shared" si="23"/>
        <v>21</v>
      </c>
      <c r="B156" s="131">
        <f t="shared" si="13"/>
        <v>44316</v>
      </c>
      <c r="C156" s="140">
        <f>'Att(1of6)(JP-Non)'!C156</f>
        <v>9.2364520000000006E-2</v>
      </c>
      <c r="D156" s="117">
        <f t="shared" si="24"/>
        <v>44347</v>
      </c>
      <c r="E156" s="131">
        <f t="shared" si="25"/>
        <v>44377</v>
      </c>
      <c r="F156" s="121">
        <f>+'[90]Page 2'!$J$11</f>
        <v>572639.61</v>
      </c>
      <c r="G156" s="131">
        <f t="shared" si="19"/>
        <v>44408</v>
      </c>
      <c r="H156" s="121">
        <f>+'[90]Page 2'!$E$29</f>
        <v>464993.46650560002</v>
      </c>
      <c r="I156" s="123">
        <f t="shared" si="20"/>
        <v>62744.095292075654</v>
      </c>
      <c r="J156" s="121">
        <f t="shared" si="21"/>
        <v>635383.70529207564</v>
      </c>
      <c r="K156" s="121">
        <f t="shared" si="22"/>
        <v>62744.095292075654</v>
      </c>
      <c r="N156" s="112"/>
      <c r="O156" s="112"/>
      <c r="P156" s="112"/>
      <c r="Q156" s="112"/>
      <c r="R156" s="112"/>
      <c r="S156" s="143"/>
      <c r="T156" s="143"/>
      <c r="U156" s="143"/>
      <c r="V156" s="143"/>
      <c r="W156" s="143"/>
    </row>
    <row r="157" spans="1:23" s="120" customFormat="1" ht="18" hidden="1" customHeight="1" outlineLevel="1" x14ac:dyDescent="0.25">
      <c r="A157" s="108">
        <f t="shared" si="23"/>
        <v>22</v>
      </c>
      <c r="B157" s="131">
        <f t="shared" si="13"/>
        <v>44347</v>
      </c>
      <c r="C157" s="140">
        <f>'Att(1of6)(JP-Non)'!C157</f>
        <v>0.11100549</v>
      </c>
      <c r="D157" s="117">
        <f t="shared" si="24"/>
        <v>44377</v>
      </c>
      <c r="E157" s="131">
        <f t="shared" si="25"/>
        <v>44408</v>
      </c>
      <c r="F157" s="121">
        <f>+'[91]Page 2'!$J$11</f>
        <v>861950.53</v>
      </c>
      <c r="G157" s="131">
        <f t="shared" si="19"/>
        <v>44439</v>
      </c>
      <c r="H157" s="121">
        <f>+'[91]Page 2'!$E$29</f>
        <v>466922.38024075399</v>
      </c>
      <c r="I157" s="123">
        <f t="shared" si="20"/>
        <v>-68882.518871140317</v>
      </c>
      <c r="J157" s="121">
        <f t="shared" si="21"/>
        <v>793068.01112885971</v>
      </c>
      <c r="K157" s="121">
        <f t="shared" si="22"/>
        <v>-68882.518871140317</v>
      </c>
      <c r="N157" s="112"/>
      <c r="O157" s="112"/>
      <c r="P157" s="112"/>
      <c r="Q157" s="112"/>
      <c r="R157" s="112"/>
      <c r="S157" s="143"/>
      <c r="T157" s="143"/>
      <c r="U157" s="143"/>
      <c r="V157" s="143"/>
      <c r="W157" s="143"/>
    </row>
    <row r="158" spans="1:23" s="120" customFormat="1" ht="18" hidden="1" customHeight="1" outlineLevel="1" x14ac:dyDescent="0.25">
      <c r="A158" s="108">
        <f t="shared" si="23"/>
        <v>23</v>
      </c>
      <c r="B158" s="131">
        <f t="shared" si="13"/>
        <v>44377</v>
      </c>
      <c r="C158" s="140">
        <f>'Att(1of6)(JP-Non)'!C158</f>
        <v>8.88428E-2</v>
      </c>
      <c r="D158" s="117">
        <f t="shared" si="24"/>
        <v>44408</v>
      </c>
      <c r="E158" s="131">
        <f t="shared" si="25"/>
        <v>44439</v>
      </c>
      <c r="F158" s="121">
        <f>+'[92]Page 2'!$J$11</f>
        <v>758349.88</v>
      </c>
      <c r="G158" s="131">
        <f t="shared" si="19"/>
        <v>44469</v>
      </c>
      <c r="H158" s="121">
        <f>+'[92]Page 2'!$E$29</f>
        <v>866338.96434420103</v>
      </c>
      <c r="I158" s="123">
        <f t="shared" si="20"/>
        <v>-230955.25905212539</v>
      </c>
      <c r="J158" s="121">
        <f t="shared" si="21"/>
        <v>527394.62094787462</v>
      </c>
      <c r="K158" s="121">
        <f t="shared" si="22"/>
        <v>-230955.25905212539</v>
      </c>
      <c r="N158" s="112"/>
      <c r="O158" s="112"/>
      <c r="P158" s="112"/>
      <c r="Q158" s="112"/>
      <c r="R158" s="112"/>
      <c r="S158" s="143"/>
      <c r="T158" s="143"/>
      <c r="U158" s="143"/>
      <c r="V158" s="143"/>
      <c r="W158" s="143"/>
    </row>
    <row r="159" spans="1:23" s="120" customFormat="1" ht="18" hidden="1" customHeight="1" outlineLevel="1" x14ac:dyDescent="0.25">
      <c r="A159" s="108">
        <f t="shared" si="23"/>
        <v>24</v>
      </c>
      <c r="B159" s="131">
        <f t="shared" si="13"/>
        <v>44408</v>
      </c>
      <c r="C159" s="140">
        <f>'Att(1of6)(JP-Non)'!C159</f>
        <v>8.8505819999999999E-2</v>
      </c>
      <c r="D159" s="117">
        <f t="shared" si="24"/>
        <v>44439</v>
      </c>
      <c r="E159" s="131">
        <f t="shared" si="25"/>
        <v>44469</v>
      </c>
      <c r="F159" s="121">
        <f>+'[93]Page 2'!$J$11</f>
        <v>780382.56</v>
      </c>
      <c r="G159" s="131">
        <f t="shared" si="19"/>
        <v>44500</v>
      </c>
      <c r="H159" s="121">
        <f>+'[93]Page 2'!$E$29</f>
        <v>886791.84568546596</v>
      </c>
      <c r="I159" s="123">
        <f t="shared" si="20"/>
        <v>-93723.834556606249</v>
      </c>
      <c r="J159" s="121">
        <f t="shared" si="21"/>
        <v>686658.72544339381</v>
      </c>
      <c r="K159" s="121">
        <f t="shared" si="22"/>
        <v>-93723.834556606249</v>
      </c>
      <c r="N159" s="112"/>
      <c r="O159" s="112"/>
      <c r="P159" s="112"/>
      <c r="Q159" s="112"/>
      <c r="R159" s="112"/>
      <c r="S159" s="143"/>
      <c r="T159" s="143"/>
      <c r="U159" s="143"/>
      <c r="V159" s="143"/>
      <c r="W159" s="143"/>
    </row>
    <row r="160" spans="1:23" s="120" customFormat="1" ht="18" hidden="1" customHeight="1" outlineLevel="1" x14ac:dyDescent="0.25">
      <c r="A160" s="108">
        <f t="shared" si="23"/>
        <v>25</v>
      </c>
      <c r="B160" s="131">
        <f t="shared" si="13"/>
        <v>44439</v>
      </c>
      <c r="C160" s="140">
        <f>'Att(1of6)(JP-Non)'!C160</f>
        <v>0.1058065</v>
      </c>
      <c r="D160" s="117">
        <f t="shared" si="24"/>
        <v>44469</v>
      </c>
      <c r="E160" s="131">
        <f t="shared" si="25"/>
        <v>44500</v>
      </c>
      <c r="F160" s="121">
        <f>+'[94]Page 2'!$J$11</f>
        <v>770184.09</v>
      </c>
      <c r="G160" s="131">
        <f t="shared" si="19"/>
        <v>44530</v>
      </c>
      <c r="H160" s="121">
        <f>+'[94]Page 2'!$E$29</f>
        <v>523540.22244209202</v>
      </c>
      <c r="I160" s="123">
        <f t="shared" si="20"/>
        <v>3854.3985057825921</v>
      </c>
      <c r="J160" s="121">
        <f t="shared" si="21"/>
        <v>774038.48850578256</v>
      </c>
      <c r="K160" s="121">
        <f t="shared" si="22"/>
        <v>3854.3985057825921</v>
      </c>
      <c r="N160" s="112"/>
      <c r="O160" s="112"/>
      <c r="P160" s="112"/>
      <c r="Q160" s="112"/>
      <c r="R160" s="112"/>
      <c r="S160" s="143"/>
      <c r="T160" s="143"/>
      <c r="U160" s="143"/>
      <c r="V160" s="143"/>
      <c r="W160" s="143"/>
    </row>
    <row r="161" spans="1:23" s="120" customFormat="1" ht="18" hidden="1" customHeight="1" outlineLevel="1" x14ac:dyDescent="0.25">
      <c r="A161" s="108">
        <f t="shared" si="23"/>
        <v>26</v>
      </c>
      <c r="B161" s="131">
        <f t="shared" si="13"/>
        <v>44469</v>
      </c>
      <c r="C161" s="140">
        <f>'Att(1of6)(JP-Non)'!C161</f>
        <v>5.8713899999999999E-2</v>
      </c>
      <c r="D161" s="117">
        <f t="shared" si="24"/>
        <v>44500</v>
      </c>
      <c r="E161" s="131">
        <f t="shared" si="25"/>
        <v>44530</v>
      </c>
      <c r="F161" s="121">
        <f>+'[95]Page 2'!$J$11</f>
        <v>369930.96</v>
      </c>
      <c r="G161" s="131">
        <f t="shared" si="19"/>
        <v>44561</v>
      </c>
      <c r="H161" s="121">
        <f>+'[95]Page 2'!$E$29</f>
        <v>537086.34204482799</v>
      </c>
      <c r="I161" s="123">
        <f t="shared" si="20"/>
        <v>149572.38339856581</v>
      </c>
      <c r="J161" s="121">
        <f t="shared" si="21"/>
        <v>519503.34339856583</v>
      </c>
      <c r="K161" s="121">
        <f t="shared" si="22"/>
        <v>149572.38339856581</v>
      </c>
      <c r="N161" s="112"/>
      <c r="O161" s="112"/>
      <c r="P161" s="112"/>
      <c r="Q161" s="112"/>
      <c r="R161" s="112"/>
      <c r="S161" s="143"/>
      <c r="T161" s="143"/>
      <c r="U161" s="143"/>
      <c r="V161" s="143"/>
      <c r="W161" s="143"/>
    </row>
    <row r="162" spans="1:23" s="120" customFormat="1" ht="18" hidden="1" customHeight="1" outlineLevel="1" x14ac:dyDescent="0.25">
      <c r="A162" s="108">
        <f t="shared" si="23"/>
        <v>27</v>
      </c>
      <c r="B162" s="131">
        <f t="shared" si="13"/>
        <v>44500</v>
      </c>
      <c r="C162" s="140">
        <f>'Att(1of6)(JP-Non)'!C162</f>
        <v>8.2686480000000007E-2</v>
      </c>
      <c r="D162" s="117">
        <f t="shared" si="24"/>
        <v>44530</v>
      </c>
      <c r="E162" s="131">
        <f t="shared" si="25"/>
        <v>44561</v>
      </c>
      <c r="F162" s="121">
        <f>+'[96]Page 2'!$J$11</f>
        <v>613123.41</v>
      </c>
      <c r="G162" s="131">
        <f t="shared" si="19"/>
        <v>44592</v>
      </c>
      <c r="H162" s="121">
        <f>+'[96]Page 2'!$E$29</f>
        <v>696843.41739316087</v>
      </c>
      <c r="I162" s="123">
        <f t="shared" si="20"/>
        <v>77195.071112621692</v>
      </c>
      <c r="J162" s="121">
        <f t="shared" si="21"/>
        <v>690318.48111262172</v>
      </c>
      <c r="K162" s="121">
        <f t="shared" si="22"/>
        <v>77195.071112621692</v>
      </c>
      <c r="N162" s="112"/>
      <c r="O162" s="112"/>
      <c r="P162" s="112"/>
      <c r="Q162" s="112"/>
      <c r="R162" s="112"/>
      <c r="S162" s="143"/>
      <c r="T162" s="143"/>
      <c r="U162" s="143"/>
      <c r="V162" s="143"/>
      <c r="W162" s="143"/>
    </row>
    <row r="163" spans="1:23" s="120" customFormat="1" ht="18" hidden="1" customHeight="1" outlineLevel="1" x14ac:dyDescent="0.25">
      <c r="A163" s="108">
        <f t="shared" si="23"/>
        <v>28</v>
      </c>
      <c r="B163" s="131">
        <f t="shared" si="13"/>
        <v>44530</v>
      </c>
      <c r="C163" s="140">
        <f>'Att(1of6)(JP-Non)'!C163</f>
        <v>0.10017524999999999</v>
      </c>
      <c r="D163" s="117">
        <f t="shared" si="24"/>
        <v>44561</v>
      </c>
      <c r="E163" s="131">
        <f t="shared" si="25"/>
        <v>44592</v>
      </c>
      <c r="F163" s="121">
        <f>+'[97]Page 2'!$J$11</f>
        <v>718134.46</v>
      </c>
      <c r="G163" s="131">
        <f t="shared" si="19"/>
        <v>44620</v>
      </c>
      <c r="H163" s="121">
        <f>+'[97]Page 2'!$E$29</f>
        <v>570367.87122838106</v>
      </c>
      <c r="I163" s="123">
        <f t="shared" si="20"/>
        <v>-50864.527829815226</v>
      </c>
      <c r="J163" s="121">
        <f t="shared" si="21"/>
        <v>667269.93217018479</v>
      </c>
      <c r="K163" s="121">
        <f t="shared" si="22"/>
        <v>-50864.527829815226</v>
      </c>
      <c r="N163" s="112"/>
      <c r="O163" s="112"/>
      <c r="P163" s="112"/>
      <c r="Q163" s="112"/>
      <c r="R163" s="112"/>
      <c r="S163" s="143"/>
      <c r="T163" s="143"/>
      <c r="U163" s="143"/>
      <c r="V163" s="143"/>
      <c r="W163" s="143"/>
    </row>
    <row r="164" spans="1:23" s="120" customFormat="1" ht="18" hidden="1" customHeight="1" outlineLevel="1" x14ac:dyDescent="0.25">
      <c r="A164" s="108">
        <f t="shared" si="23"/>
        <v>29</v>
      </c>
      <c r="B164" s="131">
        <f t="shared" si="13"/>
        <v>44561</v>
      </c>
      <c r="C164" s="140">
        <f>'Att(1of6)(JP-Non)'!C164</f>
        <v>8.7579480000000001E-2</v>
      </c>
      <c r="D164" s="117">
        <f t="shared" si="24"/>
        <v>44592</v>
      </c>
      <c r="E164" s="131">
        <f t="shared" si="25"/>
        <v>44620</v>
      </c>
      <c r="F164" s="121">
        <f>+'[98]Page 2'!$J$11</f>
        <v>877485.3</v>
      </c>
      <c r="G164" s="131">
        <f t="shared" si="19"/>
        <v>44651</v>
      </c>
      <c r="H164" s="121">
        <f>+'[98]Page 2'!$E$29</f>
        <v>757156.18273305404</v>
      </c>
      <c r="I164" s="123">
        <f t="shared" si="20"/>
        <v>-66837.701620432315</v>
      </c>
      <c r="J164" s="121">
        <f t="shared" si="21"/>
        <v>810647.59837956773</v>
      </c>
      <c r="K164" s="121">
        <f t="shared" si="22"/>
        <v>-66837.701620432315</v>
      </c>
      <c r="N164" s="112"/>
      <c r="O164" s="112"/>
      <c r="P164" s="112"/>
      <c r="Q164" s="112"/>
      <c r="R164" s="112"/>
      <c r="S164" s="143"/>
      <c r="T164" s="143"/>
      <c r="U164" s="143"/>
      <c r="V164" s="143"/>
      <c r="W164" s="143"/>
    </row>
    <row r="165" spans="1:23" s="120" customFormat="1" ht="18" hidden="1" customHeight="1" outlineLevel="1" x14ac:dyDescent="0.25">
      <c r="A165" s="108">
        <f t="shared" si="23"/>
        <v>30</v>
      </c>
      <c r="B165" s="131">
        <f t="shared" si="13"/>
        <v>44592</v>
      </c>
      <c r="C165" s="140">
        <f>'Att(1of6)(JP-Non)'!C165</f>
        <v>0.10760119</v>
      </c>
      <c r="D165" s="117">
        <f t="shared" si="24"/>
        <v>44620</v>
      </c>
      <c r="E165" s="131">
        <f t="shared" si="25"/>
        <v>44651</v>
      </c>
      <c r="F165" s="121">
        <f>+'[99]Page 2'!$J$11</f>
        <v>917962.41</v>
      </c>
      <c r="G165" s="131">
        <f t="shared" si="19"/>
        <v>44681</v>
      </c>
      <c r="H165" s="121">
        <f>+'[99]Page 2'!$E$29</f>
        <v>885795.28893836401</v>
      </c>
      <c r="I165" s="123">
        <f t="shared" si="20"/>
        <v>-218525.35676817922</v>
      </c>
      <c r="J165" s="121">
        <f t="shared" si="21"/>
        <v>699437.05323182081</v>
      </c>
      <c r="K165" s="121">
        <f t="shared" si="22"/>
        <v>-218525.35676817922</v>
      </c>
      <c r="N165" s="112"/>
      <c r="O165" s="112"/>
      <c r="P165" s="112"/>
      <c r="Q165" s="112"/>
      <c r="R165" s="112"/>
      <c r="S165" s="143"/>
      <c r="T165" s="143"/>
      <c r="U165" s="143"/>
      <c r="V165" s="143"/>
      <c r="W165" s="143"/>
    </row>
    <row r="166" spans="1:23" s="120" customFormat="1" ht="18" hidden="1" customHeight="1" outlineLevel="1" x14ac:dyDescent="0.25">
      <c r="A166" s="108">
        <f t="shared" si="23"/>
        <v>31</v>
      </c>
      <c r="B166" s="131">
        <f t="shared" si="13"/>
        <v>44620</v>
      </c>
      <c r="C166" s="140">
        <f>'Att(1of6)(JP-Non)'!C166</f>
        <v>5.359796E-2</v>
      </c>
      <c r="D166" s="117">
        <f t="shared" si="24"/>
        <v>44651</v>
      </c>
      <c r="E166" s="131">
        <f t="shared" si="25"/>
        <v>44681</v>
      </c>
      <c r="F166" s="121">
        <f>+'[100]Page 2'!$J$11</f>
        <v>435887.41</v>
      </c>
      <c r="G166" s="131">
        <f t="shared" si="19"/>
        <v>44712</v>
      </c>
      <c r="H166" s="121">
        <f>+'[100]Page 2'!$E$29</f>
        <v>613134.79175202199</v>
      </c>
      <c r="I166" s="123">
        <f t="shared" si="20"/>
        <v>197512.80662754574</v>
      </c>
      <c r="J166" s="121">
        <f t="shared" si="21"/>
        <v>633400.21662754565</v>
      </c>
      <c r="K166" s="121">
        <f t="shared" si="22"/>
        <v>197512.80662754574</v>
      </c>
      <c r="N166" s="112"/>
      <c r="O166" s="112"/>
      <c r="P166" s="112"/>
      <c r="Q166" s="112"/>
      <c r="R166" s="112"/>
      <c r="S166" s="143"/>
      <c r="T166" s="143"/>
      <c r="U166" s="143"/>
      <c r="V166" s="143"/>
      <c r="W166" s="143"/>
    </row>
    <row r="167" spans="1:23" s="120" customFormat="1" ht="18" hidden="1" customHeight="1" outlineLevel="1" x14ac:dyDescent="0.25">
      <c r="A167" s="108">
        <f t="shared" si="23"/>
        <v>32</v>
      </c>
      <c r="B167" s="131">
        <f t="shared" si="13"/>
        <v>44651</v>
      </c>
      <c r="C167" s="140">
        <f>'Att(1of6)(JP-Non)'!C167</f>
        <v>6.5133720000000006E-2</v>
      </c>
      <c r="D167" s="117">
        <f t="shared" si="24"/>
        <v>44681</v>
      </c>
      <c r="E167" s="131">
        <f t="shared" si="25"/>
        <v>44712</v>
      </c>
      <c r="F167" s="121">
        <f>+'[101]Page 2'!$J$11</f>
        <v>430803.51</v>
      </c>
      <c r="G167" s="131">
        <f t="shared" si="19"/>
        <v>44742</v>
      </c>
      <c r="H167" s="121">
        <f>+'[101]Page 2'!$E$29</f>
        <v>569484.70281674014</v>
      </c>
      <c r="I167" s="123">
        <f t="shared" si="20"/>
        <v>129952.35041508067</v>
      </c>
      <c r="J167" s="121">
        <f t="shared" si="21"/>
        <v>560755.86041508068</v>
      </c>
      <c r="K167" s="121">
        <f t="shared" si="22"/>
        <v>129952.35041508067</v>
      </c>
      <c r="N167" s="112"/>
      <c r="O167" s="112"/>
      <c r="P167" s="112"/>
      <c r="Q167" s="112"/>
      <c r="R167" s="112"/>
      <c r="S167" s="143"/>
      <c r="T167" s="143"/>
      <c r="U167" s="143"/>
      <c r="V167" s="143"/>
      <c r="W167" s="143"/>
    </row>
    <row r="168" spans="1:23" s="120" customFormat="1" ht="18" hidden="1" customHeight="1" outlineLevel="1" x14ac:dyDescent="0.25">
      <c r="A168" s="108">
        <f t="shared" si="23"/>
        <v>33</v>
      </c>
      <c r="B168" s="131">
        <f t="shared" si="13"/>
        <v>44681</v>
      </c>
      <c r="C168" s="140">
        <f>'Att(1of6)(JP-Non)'!C168</f>
        <v>4.3170529999999999E-2</v>
      </c>
      <c r="D168" s="117">
        <f t="shared" si="24"/>
        <v>44712</v>
      </c>
      <c r="E168" s="131">
        <f t="shared" si="25"/>
        <v>44742</v>
      </c>
      <c r="F168" s="121">
        <f>+'[102]Page 2'!$J$11</f>
        <v>358803.69</v>
      </c>
      <c r="G168" s="131">
        <f t="shared" si="19"/>
        <v>44773</v>
      </c>
      <c r="H168" s="121">
        <f>+'[102]Page 2'!$E$29</f>
        <v>560820.70000620594</v>
      </c>
      <c r="I168" s="123">
        <f t="shared" si="20"/>
        <v>72579.516621339717</v>
      </c>
      <c r="J168" s="121">
        <f t="shared" si="21"/>
        <v>431383.20662133972</v>
      </c>
      <c r="K168" s="121">
        <f t="shared" si="22"/>
        <v>72579.516621339717</v>
      </c>
      <c r="N168" s="112"/>
      <c r="O168" s="112"/>
      <c r="P168" s="112"/>
      <c r="Q168" s="112"/>
      <c r="R168" s="112"/>
      <c r="S168" s="143"/>
      <c r="T168" s="143"/>
      <c r="U168" s="143"/>
      <c r="V168" s="143"/>
      <c r="W168" s="143"/>
    </row>
    <row r="169" spans="1:23" s="120" customFormat="1" ht="18" hidden="1" customHeight="1" outlineLevel="1" x14ac:dyDescent="0.25">
      <c r="A169" s="108">
        <f t="shared" si="23"/>
        <v>34</v>
      </c>
      <c r="B169" s="131">
        <f t="shared" si="13"/>
        <v>44712</v>
      </c>
      <c r="C169" s="140">
        <f>'Att(1of6)(JP-Non)'!C169</f>
        <v>6.3858090000000006E-2</v>
      </c>
      <c r="D169" s="117">
        <f t="shared" si="24"/>
        <v>44742</v>
      </c>
      <c r="E169" s="131">
        <f t="shared" si="25"/>
        <v>44773</v>
      </c>
      <c r="F169" s="121">
        <f>+'[103]Page 2'!$J$11</f>
        <v>573376.5</v>
      </c>
      <c r="G169" s="131">
        <f t="shared" si="19"/>
        <v>44804</v>
      </c>
      <c r="H169" s="121">
        <f>+'[103]Page 2'!$E$29</f>
        <v>685211.55627545412</v>
      </c>
      <c r="I169" s="123">
        <f t="shared" si="20"/>
        <v>-124455.69586037344</v>
      </c>
      <c r="J169" s="121">
        <f t="shared" si="21"/>
        <v>448920.80413962656</v>
      </c>
      <c r="K169" s="121">
        <f t="shared" si="22"/>
        <v>-124455.69586037344</v>
      </c>
      <c r="N169" s="112"/>
      <c r="O169" s="112"/>
      <c r="P169" s="112"/>
      <c r="Q169" s="112"/>
      <c r="R169" s="112"/>
      <c r="S169" s="143"/>
      <c r="T169" s="143"/>
      <c r="U169" s="143"/>
      <c r="V169" s="143"/>
      <c r="W169" s="143"/>
    </row>
    <row r="170" spans="1:23" s="120" customFormat="1" ht="18" hidden="1" customHeight="1" outlineLevel="1" x14ac:dyDescent="0.25">
      <c r="A170" s="108">
        <f t="shared" si="23"/>
        <v>35</v>
      </c>
      <c r="B170" s="131">
        <f t="shared" si="13"/>
        <v>44742</v>
      </c>
      <c r="C170" s="140">
        <f>'Att(1of6)(JP-Non)'!C170</f>
        <v>4.570544E-2</v>
      </c>
      <c r="D170" s="117">
        <f t="shared" si="24"/>
        <v>44773</v>
      </c>
      <c r="E170" s="131">
        <f t="shared" si="25"/>
        <v>44804</v>
      </c>
      <c r="F170" s="121">
        <f>+'[104]Page 2'!$J$11</f>
        <v>537548.57999999996</v>
      </c>
      <c r="G170" s="131">
        <f t="shared" si="19"/>
        <v>44834</v>
      </c>
      <c r="H170" s="121">
        <f>+'[104]Page 2'!$E$29</f>
        <v>571906.24865594599</v>
      </c>
      <c r="I170" s="123">
        <f t="shared" si="20"/>
        <v>-140523.04203460627</v>
      </c>
      <c r="J170" s="121">
        <f t="shared" si="21"/>
        <v>397025.53796539368</v>
      </c>
      <c r="K170" s="121">
        <f t="shared" si="22"/>
        <v>-140523.04203460627</v>
      </c>
      <c r="N170" s="112"/>
      <c r="O170" s="112"/>
      <c r="P170" s="112"/>
      <c r="Q170" s="112"/>
      <c r="R170" s="112"/>
      <c r="S170" s="143"/>
      <c r="T170" s="143"/>
      <c r="U170" s="143"/>
      <c r="V170" s="143"/>
      <c r="W170" s="143"/>
    </row>
    <row r="171" spans="1:23" s="120" customFormat="1" ht="18" hidden="1" customHeight="1" outlineLevel="1" x14ac:dyDescent="0.25">
      <c r="A171" s="108">
        <f t="shared" si="23"/>
        <v>36</v>
      </c>
      <c r="B171" s="131">
        <f t="shared" si="13"/>
        <v>44773</v>
      </c>
      <c r="C171" s="140">
        <f>'Att(1of6)(JP-Non)'!C171</f>
        <v>4.7493880000000002E-2</v>
      </c>
      <c r="D171" s="117">
        <f t="shared" si="24"/>
        <v>44804</v>
      </c>
      <c r="E171" s="131">
        <f t="shared" si="25"/>
        <v>44834</v>
      </c>
      <c r="F171" s="121">
        <f>+'[105]Page 2'!$J$11</f>
        <v>523000.83</v>
      </c>
      <c r="G171" s="131">
        <f t="shared" si="19"/>
        <v>44865</v>
      </c>
      <c r="H171" s="121">
        <f>+'[105]Page 2'!$E$29</f>
        <v>507130.90261734801</v>
      </c>
      <c r="I171" s="123">
        <f t="shared" si="20"/>
        <v>-58210.098477721447</v>
      </c>
      <c r="J171" s="121">
        <f t="shared" si="21"/>
        <v>464790.73152227857</v>
      </c>
      <c r="K171" s="121">
        <f t="shared" si="22"/>
        <v>-58210.098477721447</v>
      </c>
      <c r="N171" s="112"/>
      <c r="O171" s="112"/>
      <c r="P171" s="112"/>
      <c r="Q171" s="112"/>
      <c r="R171" s="112"/>
      <c r="S171" s="143"/>
      <c r="T171" s="143"/>
      <c r="U171" s="143"/>
      <c r="V171" s="143"/>
      <c r="W171" s="143"/>
    </row>
    <row r="172" spans="1:23" s="120" customFormat="1" ht="18" hidden="1" customHeight="1" outlineLevel="1" x14ac:dyDescent="0.25">
      <c r="A172" s="108">
        <f t="shared" si="23"/>
        <v>37</v>
      </c>
      <c r="B172" s="131">
        <f t="shared" si="13"/>
        <v>44804</v>
      </c>
      <c r="C172" s="140">
        <f>'Att(1of6)(JP-Non)'!C172</f>
        <v>3.0638189999999999E-2</v>
      </c>
      <c r="D172" s="117">
        <f t="shared" si="24"/>
        <v>44834</v>
      </c>
      <c r="E172" s="131">
        <f t="shared" si="25"/>
        <v>44865</v>
      </c>
      <c r="F172" s="121">
        <f>+'[106]Page 2'!$J$11</f>
        <v>337553.18</v>
      </c>
      <c r="G172" s="131">
        <f t="shared" si="19"/>
        <v>44895</v>
      </c>
      <c r="H172" s="121">
        <f>+'[106]Page 2'!$E$29</f>
        <v>350642.84948950005</v>
      </c>
      <c r="I172" s="123">
        <f t="shared" si="20"/>
        <v>46382.688475893636</v>
      </c>
      <c r="J172" s="121">
        <f t="shared" si="21"/>
        <v>383935.86847589363</v>
      </c>
      <c r="K172" s="121">
        <f t="shared" si="22"/>
        <v>46382.688475893636</v>
      </c>
      <c r="N172" s="112"/>
      <c r="O172" s="112"/>
      <c r="P172" s="112"/>
      <c r="Q172" s="112"/>
      <c r="R172" s="112"/>
      <c r="S172" s="143"/>
      <c r="T172" s="143"/>
      <c r="U172" s="143"/>
      <c r="V172" s="143"/>
      <c r="W172" s="143"/>
    </row>
    <row r="173" spans="1:23" s="120" customFormat="1" ht="18" hidden="1" customHeight="1" outlineLevel="1" x14ac:dyDescent="0.25">
      <c r="A173" s="108">
        <f t="shared" si="23"/>
        <v>38</v>
      </c>
      <c r="B173" s="131">
        <f t="shared" si="13"/>
        <v>44834</v>
      </c>
      <c r="C173" s="140">
        <f>'Att(1of6)(JP-Non)'!C173</f>
        <v>4.1599219999999999E-2</v>
      </c>
      <c r="D173" s="117">
        <f t="shared" si="24"/>
        <v>44865</v>
      </c>
      <c r="E173" s="131">
        <f t="shared" si="25"/>
        <v>44895</v>
      </c>
      <c r="F173" s="121">
        <f>+'[107]Page 2'!$J$11</f>
        <v>329572.69</v>
      </c>
      <c r="G173" s="131">
        <f t="shared" si="19"/>
        <v>44926</v>
      </c>
      <c r="H173" s="121">
        <f>+'[107]Page 2'!$E$29</f>
        <v>352039.21175139805</v>
      </c>
      <c r="I173" s="123">
        <f t="shared" si="20"/>
        <v>112751.51977088052</v>
      </c>
      <c r="J173" s="121">
        <f t="shared" si="21"/>
        <v>442324.20977088052</v>
      </c>
      <c r="K173" s="121">
        <f t="shared" si="22"/>
        <v>112751.51977088052</v>
      </c>
      <c r="N173" s="112"/>
      <c r="O173" s="112"/>
      <c r="P173" s="112"/>
      <c r="Q173" s="112"/>
      <c r="R173" s="112"/>
      <c r="S173" s="143"/>
      <c r="T173" s="143"/>
      <c r="U173" s="143"/>
      <c r="V173" s="143"/>
      <c r="W173" s="143"/>
    </row>
    <row r="174" spans="1:23" s="120" customFormat="1" ht="18" hidden="1" customHeight="1" outlineLevel="1" x14ac:dyDescent="0.25">
      <c r="A174" s="108">
        <f t="shared" si="23"/>
        <v>39</v>
      </c>
      <c r="B174" s="131">
        <f t="shared" si="13"/>
        <v>44865</v>
      </c>
      <c r="C174" s="140">
        <f>'Att(1of6)(JP-Non)'!C174</f>
        <v>3.2982659999999997E-2</v>
      </c>
      <c r="D174" s="117">
        <f t="shared" si="24"/>
        <v>44895</v>
      </c>
      <c r="E174" s="131">
        <f t="shared" si="25"/>
        <v>44926</v>
      </c>
      <c r="F174" s="121">
        <f>+'[108]Page 2'!$J$11</f>
        <v>297656.48</v>
      </c>
      <c r="G174" s="131">
        <f t="shared" si="19"/>
        <v>44957</v>
      </c>
      <c r="H174" s="121">
        <f>+'[108]Page 2'!$E$29</f>
        <v>320163.36702375009</v>
      </c>
      <c r="I174" s="123">
        <f t="shared" si="20"/>
        <v>63772.501452143537</v>
      </c>
      <c r="J174" s="121">
        <f t="shared" si="21"/>
        <v>361428.98145214352</v>
      </c>
      <c r="K174" s="121">
        <f t="shared" si="22"/>
        <v>63772.501452143537</v>
      </c>
      <c r="N174" s="112"/>
      <c r="O174" s="112"/>
      <c r="P174" s="112"/>
      <c r="Q174" s="112"/>
      <c r="R174" s="112"/>
      <c r="S174" s="143"/>
      <c r="T174" s="143"/>
      <c r="U174" s="143"/>
      <c r="V174" s="143"/>
      <c r="W174" s="143"/>
    </row>
    <row r="175" spans="1:23" s="120" customFormat="1" ht="18" hidden="1" customHeight="1" outlineLevel="1" x14ac:dyDescent="0.25">
      <c r="A175" s="108">
        <f t="shared" si="23"/>
        <v>40</v>
      </c>
      <c r="B175" s="131">
        <f t="shared" ref="B175:B203" si="26">EOMONTH(B174,1)</f>
        <v>44895</v>
      </c>
      <c r="C175" s="140">
        <f>'Att(1of6)(JP-Non)'!C175</f>
        <v>4.0698829999999998E-2</v>
      </c>
      <c r="D175" s="117">
        <f t="shared" ref="D175:D203" si="27">EOMONTH(D174,1)</f>
        <v>44926</v>
      </c>
      <c r="E175" s="131">
        <f t="shared" ref="E175:E203" si="28">EOMONTH(E174,1)</f>
        <v>44957</v>
      </c>
      <c r="F175" s="121">
        <f>+'[109]Page 2'!$J$11</f>
        <v>469319.27</v>
      </c>
      <c r="G175" s="131">
        <f t="shared" si="19"/>
        <v>44985</v>
      </c>
      <c r="H175" s="121">
        <f>+'[109]Page 2'!$E$29</f>
        <v>546193.60800279211</v>
      </c>
      <c r="I175" s="123">
        <f t="shared" si="20"/>
        <v>-103869.39823191159</v>
      </c>
      <c r="J175" s="121">
        <f t="shared" si="21"/>
        <v>365449.87176808843</v>
      </c>
      <c r="K175" s="121">
        <f t="shared" si="22"/>
        <v>-103869.39823191159</v>
      </c>
      <c r="N175" s="112"/>
      <c r="O175" s="112"/>
      <c r="P175" s="112"/>
      <c r="Q175" s="112"/>
      <c r="R175" s="112"/>
      <c r="S175" s="143"/>
      <c r="T175" s="143"/>
      <c r="U175" s="143"/>
      <c r="V175" s="143"/>
      <c r="W175" s="143"/>
    </row>
    <row r="176" spans="1:23" s="120" customFormat="1" ht="18" hidden="1" customHeight="1" outlineLevel="1" x14ac:dyDescent="0.25">
      <c r="A176" s="108">
        <f t="shared" si="23"/>
        <v>41</v>
      </c>
      <c r="B176" s="131">
        <f t="shared" si="26"/>
        <v>44926</v>
      </c>
      <c r="C176" s="140">
        <f>'Att(1of6)(JP-Non)'!C176</f>
        <v>0.10631458000000001</v>
      </c>
      <c r="D176" s="117">
        <f t="shared" si="27"/>
        <v>44957</v>
      </c>
      <c r="E176" s="131">
        <f t="shared" si="28"/>
        <v>44985</v>
      </c>
      <c r="F176" s="121">
        <f>+'[110]Page 2'!$J$11</f>
        <v>977076.05</v>
      </c>
      <c r="G176" s="131">
        <f t="shared" si="19"/>
        <v>45016</v>
      </c>
      <c r="H176" s="121">
        <f>+'[110]Page 2'!$E$29</f>
        <v>444504.23314811499</v>
      </c>
      <c r="I176" s="123">
        <f t="shared" si="20"/>
        <v>-83075.25169597147</v>
      </c>
      <c r="J176" s="121">
        <f t="shared" si="21"/>
        <v>894000.79830402858</v>
      </c>
      <c r="K176" s="121">
        <f t="shared" si="22"/>
        <v>-83075.25169597147</v>
      </c>
      <c r="N176" s="112"/>
      <c r="O176" s="112"/>
      <c r="P176" s="112"/>
      <c r="Q176" s="112"/>
      <c r="R176" s="112"/>
      <c r="S176" s="143"/>
      <c r="T176" s="143"/>
      <c r="U176" s="143"/>
      <c r="V176" s="143"/>
      <c r="W176" s="143"/>
    </row>
    <row r="177" spans="1:23" s="120" customFormat="1" ht="18" hidden="1" customHeight="1" outlineLevel="1" x14ac:dyDescent="0.25">
      <c r="A177" s="108">
        <f t="shared" si="23"/>
        <v>42</v>
      </c>
      <c r="B177" s="131">
        <f t="shared" si="26"/>
        <v>44957</v>
      </c>
      <c r="C177" s="140">
        <f>'Att(1of6)(JP-Non)'!C177</f>
        <v>5.0254630000000002E-2</v>
      </c>
      <c r="D177" s="117">
        <f t="shared" si="27"/>
        <v>44985</v>
      </c>
      <c r="E177" s="131">
        <f t="shared" si="28"/>
        <v>45016</v>
      </c>
      <c r="F177" s="121">
        <f>+'[111]Page 2'!$J$11</f>
        <v>378313.11</v>
      </c>
      <c r="G177" s="131">
        <f t="shared" si="19"/>
        <v>45046</v>
      </c>
      <c r="H177" s="121">
        <f>+'[111]Page 2'!$E$29</f>
        <v>339599.55362033797</v>
      </c>
      <c r="I177" s="123">
        <f t="shared" si="20"/>
        <v>25850.318147750455</v>
      </c>
      <c r="J177" s="121">
        <f t="shared" si="21"/>
        <v>404163.42814775044</v>
      </c>
      <c r="K177" s="121">
        <f t="shared" si="22"/>
        <v>25850.318147750455</v>
      </c>
      <c r="N177" s="112"/>
      <c r="O177" s="112"/>
      <c r="P177" s="112"/>
      <c r="Q177" s="112"/>
      <c r="R177" s="112"/>
      <c r="S177" s="143"/>
      <c r="T177" s="143"/>
      <c r="U177" s="143"/>
      <c r="V177" s="143"/>
      <c r="W177" s="143"/>
    </row>
    <row r="178" spans="1:23" s="120" customFormat="1" ht="18" hidden="1" customHeight="1" outlineLevel="1" x14ac:dyDescent="0.25">
      <c r="A178" s="108">
        <f t="shared" si="23"/>
        <v>43</v>
      </c>
      <c r="B178" s="131">
        <f t="shared" si="26"/>
        <v>44985</v>
      </c>
      <c r="C178" s="140">
        <f>'Att(1of6)(JP-Non)'!C178</f>
        <v>4.6768179999999999E-2</v>
      </c>
      <c r="D178" s="117">
        <f t="shared" si="27"/>
        <v>45016</v>
      </c>
      <c r="E178" s="131">
        <f t="shared" si="28"/>
        <v>45046</v>
      </c>
      <c r="F178" s="121">
        <f>+'[112]Page 2'!$J$11</f>
        <v>320110.40999999997</v>
      </c>
      <c r="G178" s="131">
        <f t="shared" si="19"/>
        <v>45077</v>
      </c>
      <c r="H178" s="121">
        <f>+'[112]Page 2'!$E$29</f>
        <v>712663.51363604004</v>
      </c>
      <c r="I178" s="123">
        <f t="shared" si="20"/>
        <v>181337.28466798854</v>
      </c>
      <c r="J178" s="121">
        <f>+F178+I178+0.01</f>
        <v>501447.70466798852</v>
      </c>
      <c r="K178" s="121">
        <f t="shared" si="22"/>
        <v>181337.28466798854</v>
      </c>
      <c r="N178" s="112"/>
      <c r="O178" s="112"/>
      <c r="P178" s="112"/>
      <c r="Q178" s="112"/>
      <c r="R178" s="112"/>
      <c r="S178" s="143"/>
      <c r="T178" s="143"/>
      <c r="U178" s="143"/>
      <c r="V178" s="143"/>
      <c r="W178" s="143"/>
    </row>
    <row r="179" spans="1:23" s="120" customFormat="1" ht="18" hidden="1" customHeight="1" outlineLevel="1" x14ac:dyDescent="0.25">
      <c r="A179" s="108">
        <f t="shared" si="23"/>
        <v>44</v>
      </c>
      <c r="B179" s="131">
        <f t="shared" si="26"/>
        <v>45016</v>
      </c>
      <c r="C179" s="140">
        <f>'Att(1of6)(JP-Non)'!C179</f>
        <v>6.4901299999999995E-2</v>
      </c>
      <c r="D179" s="117">
        <f t="shared" si="27"/>
        <v>45046</v>
      </c>
      <c r="E179" s="131">
        <f t="shared" si="28"/>
        <v>45077</v>
      </c>
      <c r="F179" s="121">
        <f>+'[113]Page 2'!$J$11</f>
        <v>353839.8</v>
      </c>
      <c r="G179" s="131">
        <f t="shared" si="19"/>
        <v>45107</v>
      </c>
      <c r="H179" s="121">
        <f>+'[113]Page 2'!$E$29</f>
        <v>386387.08277644205</v>
      </c>
      <c r="I179" s="123">
        <f t="shared" si="20"/>
        <v>17776.345371308387</v>
      </c>
      <c r="J179" s="121">
        <f t="shared" si="21"/>
        <v>371616.14537130838</v>
      </c>
      <c r="K179" s="121">
        <f t="shared" si="22"/>
        <v>17776.345371308387</v>
      </c>
      <c r="N179" s="112"/>
      <c r="O179" s="112"/>
      <c r="P179" s="112"/>
      <c r="Q179" s="112"/>
      <c r="R179" s="112"/>
      <c r="S179" s="143"/>
      <c r="T179" s="143"/>
      <c r="U179" s="143"/>
      <c r="V179" s="143"/>
      <c r="W179" s="143"/>
    </row>
    <row r="180" spans="1:23" s="120" customFormat="1" ht="18" hidden="1" customHeight="1" outlineLevel="1" x14ac:dyDescent="0.25">
      <c r="A180" s="108">
        <f t="shared" si="23"/>
        <v>45</v>
      </c>
      <c r="B180" s="131">
        <f t="shared" si="26"/>
        <v>45046</v>
      </c>
      <c r="C180" s="140">
        <f>'Att(1of6)(JP-Non)'!C180</f>
        <v>6.2863630000000004E-2</v>
      </c>
      <c r="D180" s="117">
        <f t="shared" si="27"/>
        <v>45077</v>
      </c>
      <c r="E180" s="131">
        <f t="shared" si="28"/>
        <v>45107</v>
      </c>
      <c r="F180" s="121">
        <f>+'[114]Page 2'!$J$11</f>
        <v>436093.96</v>
      </c>
      <c r="G180" s="131">
        <f t="shared" si="19"/>
        <v>45138</v>
      </c>
      <c r="H180" s="121">
        <f>+'[114]Page 2'!$E$29</f>
        <v>418090.70334573503</v>
      </c>
      <c r="I180" s="123">
        <f t="shared" si="20"/>
        <v>83357.001322253491</v>
      </c>
      <c r="J180" s="121">
        <f t="shared" si="21"/>
        <v>519450.96132225351</v>
      </c>
      <c r="K180" s="121">
        <f t="shared" si="22"/>
        <v>83357.001322253491</v>
      </c>
      <c r="N180" s="112"/>
      <c r="O180" s="112"/>
      <c r="P180" s="112"/>
      <c r="Q180" s="112"/>
      <c r="R180" s="112"/>
      <c r="S180" s="143"/>
      <c r="T180" s="143"/>
      <c r="U180" s="143"/>
      <c r="V180" s="143"/>
      <c r="W180" s="143"/>
    </row>
    <row r="181" spans="1:23" s="120" customFormat="1" ht="18" hidden="1" customHeight="1" outlineLevel="1" x14ac:dyDescent="0.25">
      <c r="A181" s="108">
        <f t="shared" si="23"/>
        <v>46</v>
      </c>
      <c r="B181" s="131">
        <f t="shared" si="26"/>
        <v>45077</v>
      </c>
      <c r="C181" s="140">
        <f>'Att(1of6)(JP-Non)'!C181</f>
        <v>8.1644729999999999E-2</v>
      </c>
      <c r="D181" s="117">
        <f t="shared" si="27"/>
        <v>45107</v>
      </c>
      <c r="E181" s="131">
        <f t="shared" si="28"/>
        <v>45138</v>
      </c>
      <c r="F181" s="121">
        <f>+'[115]Page 2'!$J$11</f>
        <v>655720.62</v>
      </c>
      <c r="G181" s="131">
        <f t="shared" si="19"/>
        <v>45169</v>
      </c>
      <c r="H181" s="121">
        <f>+'[115]Page 2'!$E$29</f>
        <v>446543.1484695751</v>
      </c>
      <c r="I181" s="123">
        <f t="shared" si="20"/>
        <v>-74927.003098266723</v>
      </c>
      <c r="J181" s="121">
        <f t="shared" si="21"/>
        <v>580793.61690173321</v>
      </c>
      <c r="K181" s="121">
        <f t="shared" si="22"/>
        <v>-74927.003098266723</v>
      </c>
      <c r="N181" s="112"/>
      <c r="O181" s="112"/>
      <c r="P181" s="112"/>
      <c r="Q181" s="112"/>
      <c r="R181" s="112"/>
      <c r="S181" s="143"/>
      <c r="T181" s="143"/>
      <c r="U181" s="143"/>
      <c r="V181" s="143"/>
      <c r="W181" s="143"/>
    </row>
    <row r="182" spans="1:23" s="120" customFormat="1" ht="18" customHeight="1" collapsed="1" x14ac:dyDescent="0.25">
      <c r="A182" s="108">
        <v>1</v>
      </c>
      <c r="B182" s="131">
        <f t="shared" si="26"/>
        <v>45107</v>
      </c>
      <c r="C182" s="140">
        <f>'Att(1of6)(JP-Non)'!C182</f>
        <v>7.4411459999999999E-2</v>
      </c>
      <c r="D182" s="117">
        <f t="shared" si="27"/>
        <v>45138</v>
      </c>
      <c r="E182" s="131">
        <f t="shared" si="28"/>
        <v>45169</v>
      </c>
      <c r="F182" s="121">
        <f>+'[116]Page 2'!$J$11</f>
        <v>760807.77</v>
      </c>
      <c r="G182" s="131">
        <f t="shared" si="19"/>
        <v>45199</v>
      </c>
      <c r="H182" s="121">
        <f>+'[116]Page 2'!$E$29</f>
        <v>642333.58320599096</v>
      </c>
      <c r="I182" s="123">
        <f t="shared" si="20"/>
        <v>-122882.62188373745</v>
      </c>
      <c r="J182" s="121">
        <f t="shared" si="21"/>
        <v>637925.14811626263</v>
      </c>
      <c r="K182" s="121">
        <f t="shared" si="22"/>
        <v>-122882.62188373745</v>
      </c>
      <c r="N182" s="112"/>
      <c r="O182" s="112"/>
      <c r="P182" s="112"/>
      <c r="Q182" s="112"/>
      <c r="R182" s="112"/>
      <c r="S182" s="143"/>
      <c r="T182" s="143"/>
      <c r="U182" s="143"/>
      <c r="V182" s="143"/>
      <c r="W182" s="143"/>
    </row>
    <row r="183" spans="1:23" s="120" customFormat="1" ht="18" customHeight="1" x14ac:dyDescent="0.25">
      <c r="A183" s="108">
        <f t="shared" si="23"/>
        <v>2</v>
      </c>
      <c r="B183" s="131">
        <f t="shared" si="26"/>
        <v>45138</v>
      </c>
      <c r="C183" s="140">
        <f>'Att(1of6)(JP-Non)'!C183</f>
        <v>7.5493160000000004E-2</v>
      </c>
      <c r="D183" s="117">
        <f t="shared" si="27"/>
        <v>45169</v>
      </c>
      <c r="E183" s="131">
        <f t="shared" si="28"/>
        <v>45199</v>
      </c>
      <c r="F183" s="121">
        <f>+'[117]Page 2'!$J$11</f>
        <v>726449.87</v>
      </c>
      <c r="G183" s="131">
        <f t="shared" si="19"/>
        <v>45230</v>
      </c>
      <c r="H183" s="121">
        <f>+'[117]Page 2'!$E$29</f>
        <v>688470.17225577007</v>
      </c>
      <c r="I183" s="123">
        <f t="shared" si="20"/>
        <v>-107676.55535403686</v>
      </c>
      <c r="J183" s="121">
        <f>+F183+I183+0.01</f>
        <v>618773.32464596315</v>
      </c>
      <c r="K183" s="121">
        <f t="shared" si="22"/>
        <v>-107676.55535403686</v>
      </c>
      <c r="N183" s="112"/>
      <c r="O183" s="112"/>
      <c r="P183" s="112"/>
      <c r="Q183" s="112"/>
      <c r="R183" s="112"/>
      <c r="S183" s="143"/>
      <c r="T183" s="143"/>
      <c r="U183" s="143"/>
      <c r="V183" s="143"/>
      <c r="W183" s="143"/>
    </row>
    <row r="184" spans="1:23" s="120" customFormat="1" ht="18" customHeight="1" x14ac:dyDescent="0.25">
      <c r="A184" s="108">
        <f t="shared" si="23"/>
        <v>3</v>
      </c>
      <c r="B184" s="131">
        <f t="shared" si="26"/>
        <v>45169</v>
      </c>
      <c r="C184" s="140">
        <f>'Att(1of6)(JP-Non)'!C184</f>
        <v>6.5876210000000004E-2</v>
      </c>
      <c r="D184" s="117">
        <f t="shared" si="27"/>
        <v>45199</v>
      </c>
      <c r="E184" s="131">
        <f t="shared" si="28"/>
        <v>45230</v>
      </c>
      <c r="F184" s="121">
        <f>+'[118]Page 2'!$J$11</f>
        <v>545016.07999999996</v>
      </c>
      <c r="G184" s="131">
        <f t="shared" si="19"/>
        <v>45260</v>
      </c>
      <c r="H184" s="121">
        <f>+'[118]Page 2'!$E$29</f>
        <v>603416.6716138398</v>
      </c>
      <c r="I184" s="123">
        <f t="shared" si="20"/>
        <v>34508.476502422825</v>
      </c>
      <c r="J184" s="121">
        <f t="shared" si="21"/>
        <v>579524.55650242278</v>
      </c>
      <c r="K184" s="121">
        <f t="shared" si="22"/>
        <v>34508.476502422825</v>
      </c>
      <c r="N184" s="112"/>
      <c r="O184" s="112"/>
      <c r="P184" s="112"/>
      <c r="Q184" s="112"/>
      <c r="R184" s="112"/>
      <c r="S184" s="143"/>
      <c r="T184" s="143"/>
      <c r="U184" s="143"/>
      <c r="V184" s="143"/>
      <c r="W184" s="143"/>
    </row>
    <row r="185" spans="1:23" s="120" customFormat="1" ht="18" customHeight="1" x14ac:dyDescent="0.25">
      <c r="A185" s="108">
        <f t="shared" si="23"/>
        <v>4</v>
      </c>
      <c r="B185" s="131">
        <f t="shared" si="26"/>
        <v>45199</v>
      </c>
      <c r="C185" s="140">
        <f>'Att(1of6)(JP-Non)'!C185</f>
        <v>6.4929429999999996E-2</v>
      </c>
      <c r="D185" s="117">
        <f t="shared" si="27"/>
        <v>45230</v>
      </c>
      <c r="E185" s="131">
        <f t="shared" si="28"/>
        <v>45260</v>
      </c>
      <c r="F185" s="121">
        <f>+'[119]Page 2'!$J$11</f>
        <v>454899.53</v>
      </c>
      <c r="G185" s="131">
        <f t="shared" si="19"/>
        <v>45291</v>
      </c>
      <c r="H185" s="121">
        <f>+'[119]Page 2'!$E$29</f>
        <v>486170.34115277702</v>
      </c>
      <c r="I185" s="123">
        <f t="shared" si="20"/>
        <v>132602.98349318613</v>
      </c>
      <c r="J185" s="121">
        <f t="shared" si="21"/>
        <v>587502.5134931861</v>
      </c>
      <c r="K185" s="121">
        <f t="shared" si="22"/>
        <v>132602.98349318613</v>
      </c>
      <c r="N185" s="112"/>
      <c r="O185" s="112"/>
      <c r="P185" s="112"/>
      <c r="Q185" s="112"/>
      <c r="R185" s="112"/>
      <c r="S185" s="143"/>
      <c r="T185" s="143"/>
      <c r="U185" s="143"/>
      <c r="V185" s="143"/>
      <c r="W185" s="143"/>
    </row>
    <row r="186" spans="1:23" s="120" customFormat="1" ht="18" customHeight="1" x14ac:dyDescent="0.25">
      <c r="A186" s="108">
        <f t="shared" si="23"/>
        <v>5</v>
      </c>
      <c r="B186" s="131">
        <f t="shared" si="26"/>
        <v>45230</v>
      </c>
      <c r="C186" s="140">
        <f>'Att(1of6)(JP-Non)'!C186</f>
        <v>7.7310950000000003E-2</v>
      </c>
      <c r="D186" s="117">
        <f t="shared" si="27"/>
        <v>45260</v>
      </c>
      <c r="E186" s="131">
        <f t="shared" si="28"/>
        <v>45291</v>
      </c>
      <c r="F186" s="121">
        <f>'[120]Page 2'!$J$11</f>
        <v>607317.53</v>
      </c>
      <c r="G186" s="131">
        <f t="shared" si="19"/>
        <v>45322</v>
      </c>
      <c r="H186" s="121">
        <f>'[120]Page 2'!$E$29</f>
        <v>495912.40664332395</v>
      </c>
      <c r="I186" s="123">
        <f t="shared" ref="I186:I203" si="29">+K186</f>
        <v>83612.149859098834</v>
      </c>
      <c r="J186" s="121">
        <f t="shared" ref="J186:J203" si="30">+F186+I186</f>
        <v>690929.67985909886</v>
      </c>
      <c r="K186" s="121">
        <f t="shared" ref="K186:K203" si="31">+J184-H186</f>
        <v>83612.149859098834</v>
      </c>
      <c r="N186" s="112"/>
      <c r="O186" s="112"/>
      <c r="P186" s="112"/>
      <c r="Q186" s="112"/>
      <c r="R186" s="112"/>
      <c r="S186" s="143"/>
      <c r="T186" s="143"/>
      <c r="U186" s="143"/>
      <c r="V186" s="143"/>
      <c r="W186" s="143"/>
    </row>
    <row r="187" spans="1:23" s="120" customFormat="1" ht="18" customHeight="1" x14ac:dyDescent="0.25">
      <c r="A187" s="108">
        <f t="shared" si="23"/>
        <v>6</v>
      </c>
      <c r="B187" s="131">
        <f t="shared" si="26"/>
        <v>45260</v>
      </c>
      <c r="C187" s="140">
        <f>'Att(1of6)(JP-Non)'!C187</f>
        <v>7.9029470000000004E-2</v>
      </c>
      <c r="D187" s="117">
        <f t="shared" si="27"/>
        <v>45291</v>
      </c>
      <c r="E187" s="131">
        <f t="shared" si="28"/>
        <v>45322</v>
      </c>
      <c r="F187" s="121">
        <f>'[121]Page 2'!$J$11</f>
        <v>674945.85</v>
      </c>
      <c r="G187" s="131">
        <f t="shared" si="19"/>
        <v>45351</v>
      </c>
      <c r="H187" s="121">
        <f>'[121]Page 2'!$E$29</f>
        <v>664178.34035061602</v>
      </c>
      <c r="I187" s="123">
        <f t="shared" si="29"/>
        <v>-76675.826857429929</v>
      </c>
      <c r="J187" s="121">
        <f t="shared" si="30"/>
        <v>598270.02314257005</v>
      </c>
      <c r="K187" s="121">
        <f t="shared" si="31"/>
        <v>-76675.826857429929</v>
      </c>
      <c r="N187" s="112"/>
      <c r="O187" s="112"/>
      <c r="P187" s="112"/>
      <c r="Q187" s="112"/>
      <c r="R187" s="112"/>
      <c r="S187" s="143"/>
      <c r="T187" s="143"/>
      <c r="U187" s="143"/>
      <c r="V187" s="143"/>
      <c r="W187" s="143"/>
    </row>
    <row r="188" spans="1:23" s="120" customFormat="1" ht="18" customHeight="1" x14ac:dyDescent="0.25">
      <c r="A188" s="108">
        <f t="shared" si="23"/>
        <v>7</v>
      </c>
      <c r="B188" s="131">
        <f t="shared" si="26"/>
        <v>45291</v>
      </c>
      <c r="C188" s="140">
        <f>'Att(1of6)(JP-Non)'!C188</f>
        <v>8.48048E-2</v>
      </c>
      <c r="D188" s="117">
        <f t="shared" si="27"/>
        <v>45322</v>
      </c>
      <c r="E188" s="131">
        <f t="shared" si="28"/>
        <v>45351</v>
      </c>
      <c r="F188" s="121">
        <f>'[122]Page 2'!$J$11</f>
        <v>916428.63</v>
      </c>
      <c r="G188" s="131">
        <f t="shared" si="19"/>
        <v>45382</v>
      </c>
      <c r="H188" s="121">
        <f>'[122]Page 2'!$E$29</f>
        <v>862456.5808383039</v>
      </c>
      <c r="I188" s="123">
        <f t="shared" si="29"/>
        <v>-171526.90097920503</v>
      </c>
      <c r="J188" s="121">
        <f t="shared" si="30"/>
        <v>744901.72902079497</v>
      </c>
      <c r="K188" s="121">
        <f t="shared" si="31"/>
        <v>-171526.90097920503</v>
      </c>
      <c r="N188" s="112"/>
      <c r="O188" s="112"/>
      <c r="P188" s="112"/>
      <c r="Q188" s="112"/>
      <c r="R188" s="112"/>
      <c r="S188" s="143"/>
      <c r="T188" s="143"/>
      <c r="U188" s="143"/>
      <c r="V188" s="143"/>
      <c r="W188" s="143"/>
    </row>
    <row r="189" spans="1:23" s="120" customFormat="1" ht="18" customHeight="1" x14ac:dyDescent="0.25">
      <c r="A189" s="108">
        <f t="shared" si="23"/>
        <v>8</v>
      </c>
      <c r="B189" s="131">
        <f t="shared" si="26"/>
        <v>45322</v>
      </c>
      <c r="C189" s="140">
        <f>'Att(1of6)(JP-Non)'!C189</f>
        <v>7.1640460000000003E-2</v>
      </c>
      <c r="D189" s="117">
        <f t="shared" si="27"/>
        <v>45351</v>
      </c>
      <c r="E189" s="131">
        <f t="shared" si="28"/>
        <v>45382</v>
      </c>
      <c r="F189" s="121">
        <f>'[123]Page 2'!$J$11</f>
        <v>517832.29</v>
      </c>
      <c r="G189" s="131">
        <f t="shared" si="19"/>
        <v>45412</v>
      </c>
      <c r="H189" s="121">
        <f>'[123]Page 2'!$E$29</f>
        <v>690110.42236537195</v>
      </c>
      <c r="I189" s="123">
        <f t="shared" si="29"/>
        <v>-91840.399222801905</v>
      </c>
      <c r="J189" s="121">
        <f t="shared" si="30"/>
        <v>425991.89077719807</v>
      </c>
      <c r="K189" s="121">
        <f t="shared" si="31"/>
        <v>-91840.399222801905</v>
      </c>
      <c r="N189" s="112"/>
      <c r="O189" s="112"/>
      <c r="P189" s="112"/>
      <c r="Q189" s="112"/>
      <c r="R189" s="112"/>
      <c r="S189" s="143"/>
      <c r="T189" s="143"/>
      <c r="U189" s="143"/>
      <c r="V189" s="143"/>
      <c r="W189" s="143"/>
    </row>
    <row r="190" spans="1:23" s="120" customFormat="1" ht="18" customHeight="1" x14ac:dyDescent="0.25">
      <c r="A190" s="108">
        <f t="shared" si="23"/>
        <v>9</v>
      </c>
      <c r="B190" s="131">
        <f t="shared" si="26"/>
        <v>45351</v>
      </c>
      <c r="C190" s="140">
        <f>'Att(1of6)(JP-Non)'!C190</f>
        <v>5.6475690000000002E-2</v>
      </c>
      <c r="D190" s="117">
        <f t="shared" si="27"/>
        <v>45382</v>
      </c>
      <c r="E190" s="131">
        <f t="shared" si="28"/>
        <v>45412</v>
      </c>
      <c r="F190" s="121">
        <f>'[124]Page 2'!$J$11</f>
        <v>425826.92</v>
      </c>
      <c r="G190" s="131">
        <f t="shared" si="19"/>
        <v>45443</v>
      </c>
      <c r="H190" s="121">
        <f>'[124]Page 2'!$E$29</f>
        <v>509315.76532777498</v>
      </c>
      <c r="I190" s="123">
        <f t="shared" si="29"/>
        <v>235585.96369301999</v>
      </c>
      <c r="J190" s="121">
        <f t="shared" si="30"/>
        <v>661412.88369301998</v>
      </c>
      <c r="K190" s="121">
        <f t="shared" si="31"/>
        <v>235585.96369301999</v>
      </c>
      <c r="N190" s="112"/>
      <c r="O190" s="112"/>
      <c r="P190" s="112"/>
      <c r="Q190" s="112"/>
      <c r="R190" s="112"/>
      <c r="S190" s="143"/>
      <c r="T190" s="143"/>
      <c r="U190" s="143"/>
      <c r="V190" s="143"/>
      <c r="W190" s="143"/>
    </row>
    <row r="191" spans="1:23" s="120" customFormat="1" ht="18" customHeight="1" x14ac:dyDescent="0.25">
      <c r="A191" s="108">
        <f t="shared" si="23"/>
        <v>10</v>
      </c>
      <c r="B191" s="131">
        <f t="shared" si="26"/>
        <v>45382</v>
      </c>
      <c r="C191" s="140">
        <f>'Att(1of6)(JP-Non)'!C191</f>
        <v>7.6254279999999994E-2</v>
      </c>
      <c r="D191" s="117">
        <f t="shared" si="27"/>
        <v>45412</v>
      </c>
      <c r="E191" s="131">
        <f t="shared" si="28"/>
        <v>45443</v>
      </c>
      <c r="F191" s="121">
        <f>'[125]Page 2'!$J$11</f>
        <v>508606.02</v>
      </c>
      <c r="G191" s="131">
        <f t="shared" si="19"/>
        <v>45473</v>
      </c>
      <c r="H191" s="121">
        <f>'[125]Page 2'!$E$29</f>
        <v>389541.79170745605</v>
      </c>
      <c r="I191" s="123">
        <f t="shared" si="29"/>
        <v>36450.09906974202</v>
      </c>
      <c r="J191" s="121">
        <f t="shared" si="30"/>
        <v>545056.11906974204</v>
      </c>
      <c r="K191" s="121">
        <f t="shared" si="31"/>
        <v>36450.09906974202</v>
      </c>
      <c r="N191" s="112"/>
      <c r="O191" s="112"/>
      <c r="P191" s="112"/>
      <c r="Q191" s="112"/>
      <c r="R191" s="112"/>
      <c r="S191" s="143"/>
      <c r="T191" s="143"/>
      <c r="U191" s="143"/>
      <c r="V191" s="143"/>
      <c r="W191" s="143"/>
    </row>
    <row r="192" spans="1:23" s="120" customFormat="1" ht="18" customHeight="1" x14ac:dyDescent="0.25">
      <c r="A192" s="108">
        <f t="shared" si="23"/>
        <v>11</v>
      </c>
      <c r="B192" s="131">
        <f t="shared" si="26"/>
        <v>45412</v>
      </c>
      <c r="C192" s="140">
        <f>'Att(1of6)(JP-Non)'!C192</f>
        <v>7.5138930000000007E-2</v>
      </c>
      <c r="D192" s="117">
        <f t="shared" si="27"/>
        <v>45443</v>
      </c>
      <c r="E192" s="131">
        <f t="shared" si="28"/>
        <v>45473</v>
      </c>
      <c r="F192" s="121">
        <f>'[126]Page 2'!$J$11</f>
        <v>537337.06000000006</v>
      </c>
      <c r="G192" s="131">
        <f t="shared" si="19"/>
        <v>45504</v>
      </c>
      <c r="H192" s="121">
        <f>'[126]Page 2'!$E$29</f>
        <v>626886.80201395403</v>
      </c>
      <c r="I192" s="123">
        <f t="shared" si="29"/>
        <v>34526.081679065945</v>
      </c>
      <c r="J192" s="121">
        <f t="shared" si="30"/>
        <v>571863.141679066</v>
      </c>
      <c r="K192" s="121">
        <f t="shared" si="31"/>
        <v>34526.081679065945</v>
      </c>
      <c r="N192" s="112"/>
      <c r="O192" s="112"/>
      <c r="P192" s="112"/>
      <c r="Q192" s="112"/>
      <c r="R192" s="112"/>
      <c r="S192" s="143"/>
      <c r="T192" s="143"/>
      <c r="U192" s="143"/>
      <c r="V192" s="143"/>
      <c r="W192" s="143"/>
    </row>
    <row r="193" spans="1:23" s="120" customFormat="1" ht="18" customHeight="1" x14ac:dyDescent="0.25">
      <c r="A193" s="108">
        <f t="shared" si="23"/>
        <v>12</v>
      </c>
      <c r="B193" s="131">
        <f t="shared" si="26"/>
        <v>45443</v>
      </c>
      <c r="C193" s="140">
        <f>'Att(1of6)(JP-Non)'!C193</f>
        <v>7.7712069999999994E-2</v>
      </c>
      <c r="D193" s="117">
        <f t="shared" si="27"/>
        <v>45473</v>
      </c>
      <c r="E193" s="131">
        <f t="shared" si="28"/>
        <v>45504</v>
      </c>
      <c r="F193" s="121">
        <f>'[127]Page 2'!$J$11</f>
        <v>680622.53</v>
      </c>
      <c r="G193" s="131">
        <f t="shared" si="19"/>
        <v>45535</v>
      </c>
      <c r="H193" s="121">
        <f>'[127]Page 2'!$E$29</f>
        <v>656041.53152575996</v>
      </c>
      <c r="I193" s="123">
        <f t="shared" si="29"/>
        <v>-110985.41245601792</v>
      </c>
      <c r="J193" s="121">
        <f t="shared" si="30"/>
        <v>569637.11754398211</v>
      </c>
      <c r="K193" s="121">
        <f t="shared" si="31"/>
        <v>-110985.41245601792</v>
      </c>
      <c r="N193" s="112"/>
      <c r="O193" s="112"/>
      <c r="P193" s="112"/>
      <c r="Q193" s="112"/>
      <c r="R193" s="112"/>
      <c r="S193" s="143"/>
      <c r="T193" s="143"/>
      <c r="U193" s="143"/>
      <c r="V193" s="143"/>
      <c r="W193" s="143"/>
    </row>
    <row r="194" spans="1:23" s="120" customFormat="1" ht="18" customHeight="1" x14ac:dyDescent="0.25">
      <c r="A194" s="108">
        <f t="shared" si="23"/>
        <v>13</v>
      </c>
      <c r="B194" s="131">
        <f t="shared" si="26"/>
        <v>45473</v>
      </c>
      <c r="C194" s="140">
        <f>'Att(1of6)(JP-Non)'!C194</f>
        <v>8.6303729999999995E-2</v>
      </c>
      <c r="D194" s="117">
        <f t="shared" si="27"/>
        <v>45504</v>
      </c>
      <c r="E194" s="131">
        <f t="shared" si="28"/>
        <v>45535</v>
      </c>
      <c r="F194" s="121">
        <f>'[128]Page 2'!$J$11</f>
        <v>852360.82</v>
      </c>
      <c r="G194" s="131">
        <f t="shared" si="19"/>
        <v>45565</v>
      </c>
      <c r="H194" s="121">
        <f>'[128]Page 2'!$E$29</f>
        <v>736812.3352751201</v>
      </c>
      <c r="I194" s="123">
        <f t="shared" si="29"/>
        <v>-164949.20359605411</v>
      </c>
      <c r="J194" s="121">
        <f t="shared" si="30"/>
        <v>687411.61640394584</v>
      </c>
      <c r="K194" s="121">
        <f>+J192-H194-0.01</f>
        <v>-164949.20359605411</v>
      </c>
      <c r="N194" s="112"/>
      <c r="O194" s="112"/>
      <c r="P194" s="112"/>
      <c r="Q194" s="112"/>
      <c r="R194" s="112"/>
      <c r="S194" s="143"/>
      <c r="T194" s="143"/>
      <c r="U194" s="143"/>
      <c r="V194" s="143"/>
      <c r="W194" s="143"/>
    </row>
    <row r="195" spans="1:23" s="120" customFormat="1" ht="18" customHeight="1" x14ac:dyDescent="0.25">
      <c r="A195" s="108">
        <f t="shared" si="23"/>
        <v>14</v>
      </c>
      <c r="B195" s="131">
        <f t="shared" si="26"/>
        <v>45504</v>
      </c>
      <c r="C195" s="140">
        <f>'Att(1of6)(JP-Non)'!C195</f>
        <v>7.8004019999999993E-2</v>
      </c>
      <c r="D195" s="117">
        <f t="shared" si="27"/>
        <v>45535</v>
      </c>
      <c r="E195" s="131">
        <f t="shared" si="28"/>
        <v>45565</v>
      </c>
      <c r="F195" s="121">
        <f>'[129]Page 2'!$J$11</f>
        <v>790617.54</v>
      </c>
      <c r="G195" s="131">
        <f t="shared" si="19"/>
        <v>45596</v>
      </c>
      <c r="H195" s="121">
        <f>'[129]Page 2'!$E$29</f>
        <v>632278.6491098</v>
      </c>
      <c r="I195" s="123">
        <f t="shared" si="29"/>
        <v>-62641.531565817888</v>
      </c>
      <c r="J195" s="121">
        <f t="shared" si="30"/>
        <v>727976.00843418215</v>
      </c>
      <c r="K195" s="121">
        <f t="shared" si="31"/>
        <v>-62641.531565817888</v>
      </c>
      <c r="N195" s="112"/>
      <c r="O195" s="112"/>
      <c r="P195" s="112"/>
      <c r="Q195" s="112"/>
      <c r="R195" s="112"/>
      <c r="S195" s="143"/>
      <c r="T195" s="143"/>
      <c r="U195" s="143"/>
      <c r="V195" s="143"/>
      <c r="W195" s="143"/>
    </row>
    <row r="196" spans="1:23" s="120" customFormat="1" ht="18" customHeight="1" x14ac:dyDescent="0.25">
      <c r="A196" s="108">
        <f t="shared" si="23"/>
        <v>15</v>
      </c>
      <c r="B196" s="131">
        <f t="shared" si="26"/>
        <v>45535</v>
      </c>
      <c r="C196" s="140">
        <f>'Att(1of6)(JP-Non)'!C196</f>
        <v>6.874218E-2</v>
      </c>
      <c r="D196" s="117">
        <f t="shared" si="27"/>
        <v>45565</v>
      </c>
      <c r="E196" s="131">
        <f t="shared" si="28"/>
        <v>45596</v>
      </c>
      <c r="F196" s="121">
        <f>'[130]Page 2'!$J$11</f>
        <v>629954.02</v>
      </c>
      <c r="G196" s="131">
        <f t="shared" si="19"/>
        <v>45626</v>
      </c>
      <c r="H196" s="121">
        <f>'[130]Page 2'!$E$29</f>
        <v>647187.12580408412</v>
      </c>
      <c r="I196" s="123">
        <f t="shared" si="29"/>
        <v>40224.490599861718</v>
      </c>
      <c r="J196" s="121">
        <f t="shared" si="30"/>
        <v>670178.51059986174</v>
      </c>
      <c r="K196" s="121">
        <f t="shared" si="31"/>
        <v>40224.490599861718</v>
      </c>
      <c r="N196" s="112"/>
      <c r="O196" s="112"/>
      <c r="P196" s="112"/>
      <c r="Q196" s="112"/>
      <c r="R196" s="112"/>
      <c r="S196" s="143"/>
      <c r="T196" s="143"/>
      <c r="U196" s="143"/>
      <c r="V196" s="143"/>
      <c r="W196" s="143"/>
    </row>
    <row r="197" spans="1:23" s="120" customFormat="1" ht="18" customHeight="1" x14ac:dyDescent="0.25">
      <c r="A197" s="108">
        <f t="shared" si="23"/>
        <v>16</v>
      </c>
      <c r="B197" s="131">
        <f t="shared" si="26"/>
        <v>45565</v>
      </c>
      <c r="C197" s="140">
        <f>'Att(1of6)(JP-Non)'!C197</f>
        <v>6.7934670000000003E-2</v>
      </c>
      <c r="D197" s="117">
        <f t="shared" si="27"/>
        <v>45596</v>
      </c>
      <c r="E197" s="131">
        <f t="shared" si="28"/>
        <v>45626</v>
      </c>
      <c r="F197" s="121">
        <f>'[131]Page 2'!$J$11</f>
        <v>528488.06999999995</v>
      </c>
      <c r="G197" s="131">
        <f t="shared" si="19"/>
        <v>45657</v>
      </c>
      <c r="H197" s="121">
        <f>'[131]Page 2'!$E$29</f>
        <v>583660.06809518393</v>
      </c>
      <c r="I197" s="123">
        <f t="shared" si="29"/>
        <v>144315.94033899822</v>
      </c>
      <c r="J197" s="121">
        <f t="shared" si="30"/>
        <v>672804.01033899817</v>
      </c>
      <c r="K197" s="121">
        <f t="shared" si="31"/>
        <v>144315.94033899822</v>
      </c>
      <c r="N197" s="112"/>
      <c r="O197" s="112"/>
      <c r="P197" s="112"/>
      <c r="Q197" s="112"/>
      <c r="R197" s="112"/>
      <c r="S197" s="143"/>
      <c r="T197" s="143"/>
      <c r="U197" s="143"/>
      <c r="V197" s="143"/>
      <c r="W197" s="143"/>
    </row>
    <row r="198" spans="1:23" s="120" customFormat="1" ht="18" customHeight="1" x14ac:dyDescent="0.25">
      <c r="A198" s="108">
        <f t="shared" si="23"/>
        <v>17</v>
      </c>
      <c r="B198" s="131">
        <f t="shared" si="26"/>
        <v>45596</v>
      </c>
      <c r="C198" s="140">
        <f>'Att(1of6)(JP-Non)'!C198</f>
        <v>6.7684969999999997E-2</v>
      </c>
      <c r="D198" s="117">
        <f t="shared" si="27"/>
        <v>45626</v>
      </c>
      <c r="E198" s="131">
        <f t="shared" si="28"/>
        <v>45657</v>
      </c>
      <c r="F198" s="121">
        <f>'[132]Page 2'!$J$11</f>
        <v>489760.29</v>
      </c>
      <c r="G198" s="131">
        <f t="shared" si="19"/>
        <v>45688</v>
      </c>
      <c r="H198" s="121">
        <f>'[132]Page 2'!$E$29</f>
        <v>547511.79414106393</v>
      </c>
      <c r="I198" s="123">
        <f t="shared" si="29"/>
        <v>122666.7164587978</v>
      </c>
      <c r="J198" s="121">
        <f t="shared" si="30"/>
        <v>612427.00645879772</v>
      </c>
      <c r="K198" s="121">
        <f t="shared" si="31"/>
        <v>122666.7164587978</v>
      </c>
      <c r="N198" s="112"/>
      <c r="O198" s="112"/>
      <c r="P198" s="112"/>
      <c r="Q198" s="112"/>
      <c r="R198" s="112"/>
      <c r="S198" s="143"/>
      <c r="T198" s="143"/>
      <c r="U198" s="143"/>
      <c r="V198" s="143"/>
      <c r="W198" s="143"/>
    </row>
    <row r="199" spans="1:23" s="120" customFormat="1" ht="18" customHeight="1" x14ac:dyDescent="0.25">
      <c r="A199" s="108">
        <f t="shared" si="23"/>
        <v>18</v>
      </c>
      <c r="B199" s="131">
        <f t="shared" si="26"/>
        <v>45626</v>
      </c>
      <c r="C199" s="140">
        <f>'Att(1of6)(JP-Non)'!C199</f>
        <v>7.9953739999999995E-2</v>
      </c>
      <c r="D199" s="117">
        <f t="shared" si="27"/>
        <v>45657</v>
      </c>
      <c r="E199" s="131">
        <f t="shared" si="28"/>
        <v>45688</v>
      </c>
      <c r="F199" s="121">
        <f>'[133]Page 2'!$J$11</f>
        <v>760273.83</v>
      </c>
      <c r="G199" s="131">
        <f t="shared" si="19"/>
        <v>45716</v>
      </c>
      <c r="H199" s="121">
        <f>'[133]Page 2'!$E$29</f>
        <v>782124.80139840499</v>
      </c>
      <c r="I199" s="123">
        <f t="shared" si="29"/>
        <v>-109320.79105940682</v>
      </c>
      <c r="J199" s="121">
        <f t="shared" si="30"/>
        <v>650953.03894059313</v>
      </c>
      <c r="K199" s="121">
        <f t="shared" si="31"/>
        <v>-109320.79105940682</v>
      </c>
      <c r="N199" s="112"/>
      <c r="O199" s="112"/>
      <c r="P199" s="112"/>
      <c r="Q199" s="112"/>
      <c r="R199" s="112"/>
      <c r="S199" s="143"/>
      <c r="T199" s="143"/>
      <c r="U199" s="143"/>
      <c r="V199" s="143"/>
      <c r="W199" s="143"/>
    </row>
    <row r="200" spans="1:23" s="120" customFormat="1" ht="18" customHeight="1" x14ac:dyDescent="0.25">
      <c r="A200" s="108">
        <f t="shared" si="23"/>
        <v>19</v>
      </c>
      <c r="B200" s="131">
        <f t="shared" si="26"/>
        <v>45657</v>
      </c>
      <c r="C200" s="140">
        <f>'Att(1of6)(JP-Non)'!C200</f>
        <v>7.5819269999999994E-2</v>
      </c>
      <c r="D200" s="117">
        <f t="shared" si="27"/>
        <v>45688</v>
      </c>
      <c r="E200" s="131">
        <f t="shared" si="28"/>
        <v>45716</v>
      </c>
      <c r="F200" s="121">
        <f>'[134]Page 2'!$J$11</f>
        <v>846546.12</v>
      </c>
      <c r="G200" s="131">
        <f t="shared" ref="G200:G203" si="32">EOMONTH(E200,1)</f>
        <v>45747</v>
      </c>
      <c r="H200" s="121">
        <f>'[134]Page 2'!$E$29</f>
        <v>828509.99828405702</v>
      </c>
      <c r="I200" s="123">
        <f t="shared" si="29"/>
        <v>-216082.99182525929</v>
      </c>
      <c r="J200" s="121">
        <f t="shared" si="30"/>
        <v>630463.1281747407</v>
      </c>
      <c r="K200" s="121">
        <f>+J198-H200</f>
        <v>-216082.99182525929</v>
      </c>
      <c r="N200" s="112"/>
      <c r="O200" s="112"/>
      <c r="P200" s="112"/>
      <c r="Q200" s="112"/>
      <c r="R200" s="112"/>
      <c r="S200" s="143"/>
      <c r="T200" s="143"/>
      <c r="U200" s="143"/>
      <c r="V200" s="143"/>
      <c r="W200" s="143"/>
    </row>
    <row r="201" spans="1:23" s="120" customFormat="1" ht="18" customHeight="1" x14ac:dyDescent="0.25">
      <c r="A201" s="244">
        <f t="shared" si="23"/>
        <v>20</v>
      </c>
      <c r="B201" s="132">
        <f t="shared" si="26"/>
        <v>45688</v>
      </c>
      <c r="C201" s="141">
        <f>'Att(1of6)(JP-Non)'!C201</f>
        <v>7.1409169999999994E-2</v>
      </c>
      <c r="D201" s="124">
        <f t="shared" si="27"/>
        <v>45716</v>
      </c>
      <c r="E201" s="132">
        <f t="shared" si="28"/>
        <v>45747</v>
      </c>
      <c r="F201" s="125">
        <f>'[135]Page 2'!$J$11</f>
        <v>758979.7</v>
      </c>
      <c r="G201" s="132">
        <f t="shared" si="32"/>
        <v>45777</v>
      </c>
      <c r="H201" s="125">
        <f>'[135]Page 2'!$E$29</f>
        <v>761204.99560091691</v>
      </c>
      <c r="I201" s="243">
        <f t="shared" si="29"/>
        <v>-110251.95666032378</v>
      </c>
      <c r="J201" s="125">
        <f t="shared" si="30"/>
        <v>648727.74333967618</v>
      </c>
      <c r="K201" s="125">
        <f t="shared" si="31"/>
        <v>-110251.95666032378</v>
      </c>
      <c r="N201" s="112"/>
      <c r="O201" s="112"/>
      <c r="P201" s="112"/>
      <c r="Q201" s="112"/>
      <c r="R201" s="112"/>
      <c r="S201" s="143"/>
      <c r="T201" s="143"/>
      <c r="U201" s="143"/>
      <c r="V201" s="143"/>
      <c r="W201" s="143"/>
    </row>
    <row r="202" spans="1:23" s="120" customFormat="1" ht="18" hidden="1" customHeight="1" x14ac:dyDescent="0.25">
      <c r="A202" s="108">
        <f t="shared" ref="A202:A203" si="33">+A201+1</f>
        <v>21</v>
      </c>
      <c r="B202" s="131">
        <f t="shared" si="26"/>
        <v>45716</v>
      </c>
      <c r="C202" s="140">
        <f>'Att(1of6)(JP-Non)'!C202</f>
        <v>5.6928850000000003E-2</v>
      </c>
      <c r="D202" s="117">
        <f t="shared" si="27"/>
        <v>45747</v>
      </c>
      <c r="E202" s="131">
        <f t="shared" si="28"/>
        <v>45777</v>
      </c>
      <c r="F202" s="121">
        <f>'[136]Page 2'!$J$11</f>
        <v>430584.95</v>
      </c>
      <c r="G202" s="131">
        <f t="shared" si="32"/>
        <v>45808</v>
      </c>
      <c r="H202" s="121">
        <f>'[136]Page 2'!$E$29</f>
        <v>478982.49100601801</v>
      </c>
      <c r="I202" s="123">
        <f t="shared" si="29"/>
        <v>151480.63716872269</v>
      </c>
      <c r="J202" s="121">
        <f t="shared" si="30"/>
        <v>582065.58716872265</v>
      </c>
      <c r="K202" s="121">
        <f>+J200-H202</f>
        <v>151480.63716872269</v>
      </c>
      <c r="N202" s="112"/>
      <c r="O202" s="112"/>
      <c r="P202" s="112"/>
      <c r="Q202" s="112"/>
      <c r="R202" s="112"/>
      <c r="S202" s="143"/>
      <c r="T202" s="143"/>
      <c r="U202" s="143"/>
      <c r="V202" s="143"/>
      <c r="W202" s="143"/>
    </row>
    <row r="203" spans="1:23" s="120" customFormat="1" ht="18" hidden="1" customHeight="1" x14ac:dyDescent="0.25">
      <c r="A203" s="108">
        <f t="shared" si="33"/>
        <v>22</v>
      </c>
      <c r="B203" s="131">
        <f t="shared" si="26"/>
        <v>45747</v>
      </c>
      <c r="C203" s="140">
        <f>'Att(1of6)(JP-Non)'!C203</f>
        <v>6.0677380000000003E-2</v>
      </c>
      <c r="D203" s="117">
        <f t="shared" si="27"/>
        <v>45777</v>
      </c>
      <c r="E203" s="131">
        <f t="shared" si="28"/>
        <v>45808</v>
      </c>
      <c r="F203" s="121"/>
      <c r="G203" s="131">
        <f t="shared" si="32"/>
        <v>45838</v>
      </c>
      <c r="H203" s="121"/>
      <c r="I203" s="123">
        <f t="shared" si="29"/>
        <v>648727.74333967618</v>
      </c>
      <c r="J203" s="121">
        <f t="shared" si="30"/>
        <v>648727.74333967618</v>
      </c>
      <c r="K203" s="121">
        <f t="shared" si="31"/>
        <v>648727.74333967618</v>
      </c>
      <c r="N203" s="112"/>
      <c r="O203" s="112"/>
      <c r="P203" s="112"/>
      <c r="Q203" s="112"/>
      <c r="R203" s="112"/>
      <c r="S203" s="143"/>
      <c r="T203" s="143"/>
      <c r="U203" s="143"/>
      <c r="V203" s="143"/>
      <c r="W203" s="143"/>
    </row>
    <row r="204" spans="1:23" s="120" customFormat="1" ht="6" customHeight="1" x14ac:dyDescent="0.25">
      <c r="A204" s="137"/>
      <c r="B204" s="160"/>
      <c r="C204" s="141"/>
      <c r="D204" s="158"/>
      <c r="E204" s="158"/>
      <c r="F204" s="159"/>
      <c r="G204" s="159"/>
      <c r="H204" s="159"/>
      <c r="I204" s="159"/>
      <c r="J204" s="159"/>
      <c r="K204" s="159"/>
    </row>
    <row r="205" spans="1:23" s="120" customFormat="1" ht="6" customHeight="1" x14ac:dyDescent="0.25">
      <c r="A205" s="137"/>
      <c r="B205" s="137"/>
      <c r="C205" s="148"/>
      <c r="D205" s="130"/>
      <c r="E205" s="130"/>
      <c r="F205" s="149"/>
      <c r="G205" s="149"/>
      <c r="H205" s="149"/>
      <c r="I205" s="150"/>
      <c r="J205" s="149"/>
      <c r="K205" s="149"/>
      <c r="N205" s="129"/>
      <c r="O205" s="129"/>
      <c r="P205" s="129"/>
    </row>
    <row r="206" spans="1:23" x14ac:dyDescent="0.25">
      <c r="D206" s="134"/>
      <c r="E206" s="134"/>
      <c r="F206" s="135"/>
      <c r="G206" s="135"/>
      <c r="H206" s="135"/>
      <c r="I206" s="135"/>
      <c r="J206" s="135"/>
      <c r="K206" s="135"/>
    </row>
    <row r="207" spans="1:23" x14ac:dyDescent="0.25">
      <c r="F207" s="109"/>
      <c r="G207" s="109"/>
      <c r="H207" s="109"/>
      <c r="I207" s="109"/>
      <c r="J207" s="109"/>
      <c r="K207" s="109"/>
    </row>
    <row r="208" spans="1:23" x14ac:dyDescent="0.25">
      <c r="F208" s="109"/>
      <c r="G208" s="109"/>
      <c r="H208" s="109"/>
      <c r="I208" s="109"/>
      <c r="J208" s="109"/>
      <c r="K208" s="109"/>
    </row>
    <row r="209" spans="6:11" x14ac:dyDescent="0.25">
      <c r="F209" s="109"/>
      <c r="G209" s="109"/>
      <c r="H209" s="109"/>
      <c r="I209" s="109"/>
      <c r="J209" s="109"/>
      <c r="K209" s="109"/>
    </row>
    <row r="210" spans="6:11" x14ac:dyDescent="0.25">
      <c r="F210" s="109"/>
      <c r="G210" s="109"/>
      <c r="H210" s="109"/>
      <c r="I210" s="109"/>
      <c r="J210" s="109"/>
      <c r="K210" s="109"/>
    </row>
    <row r="211" spans="6:11" x14ac:dyDescent="0.25">
      <c r="F211" s="109"/>
      <c r="G211" s="109"/>
      <c r="H211" s="109"/>
      <c r="I211" s="109"/>
      <c r="J211" s="109"/>
      <c r="K211" s="109"/>
    </row>
    <row r="212" spans="6:11" x14ac:dyDescent="0.25">
      <c r="F212" s="109"/>
      <c r="G212" s="109"/>
      <c r="H212" s="109"/>
      <c r="I212" s="109"/>
      <c r="J212" s="109"/>
      <c r="K212" s="109"/>
    </row>
    <row r="213" spans="6:11" x14ac:dyDescent="0.25">
      <c r="F213" s="109"/>
      <c r="G213" s="109"/>
      <c r="H213" s="109"/>
      <c r="I213" s="109"/>
      <c r="J213" s="109"/>
      <c r="K213" s="109"/>
    </row>
    <row r="214" spans="6:11" x14ac:dyDescent="0.25">
      <c r="F214" s="109"/>
      <c r="G214" s="109"/>
      <c r="H214" s="109"/>
      <c r="I214" s="109"/>
      <c r="J214" s="109"/>
      <c r="K214" s="109"/>
    </row>
    <row r="215" spans="6:11" x14ac:dyDescent="0.25">
      <c r="F215" s="109"/>
      <c r="G215" s="109"/>
      <c r="H215" s="109"/>
      <c r="I215" s="109"/>
      <c r="J215" s="109"/>
      <c r="K215" s="109"/>
    </row>
    <row r="216" spans="6:11" x14ac:dyDescent="0.25">
      <c r="F216" s="109"/>
      <c r="G216" s="109"/>
      <c r="H216" s="109"/>
      <c r="I216" s="109"/>
      <c r="J216" s="109"/>
      <c r="K216" s="109"/>
    </row>
  </sheetData>
  <mergeCells count="16">
    <mergeCell ref="B7:K7"/>
    <mergeCell ref="B8:K8"/>
    <mergeCell ref="A1:L1"/>
    <mergeCell ref="A2:L2"/>
    <mergeCell ref="A3:L3"/>
    <mergeCell ref="A4:L4"/>
    <mergeCell ref="H10:H13"/>
    <mergeCell ref="I10:I13"/>
    <mergeCell ref="J10:J13"/>
    <mergeCell ref="K10:K13"/>
    <mergeCell ref="B10:B13"/>
    <mergeCell ref="C10:C13"/>
    <mergeCell ref="D10:D13"/>
    <mergeCell ref="E10:E13"/>
    <mergeCell ref="F10:F13"/>
    <mergeCell ref="G10:G13"/>
  </mergeCells>
  <pageMargins left="0.5" right="0.5" top="1" bottom="1.05" header="0.375" footer="0.25"/>
  <pageSetup scale="70" orientation="landscape" r:id="rId1"/>
  <headerFooter alignWithMargins="0">
    <oddFooter>&amp;L&amp;"Century Schoolbook,Bold"&amp;12Case No. 2025-00052
Attachment (2 of 6) for Response to Staff's First Request Item 2
Witness: Rebecca L. (Becky) Shelton
Page &amp;P of &amp;N</oddFooter>
  </headerFooter>
  <rowBreaks count="1" manualBreakCount="1">
    <brk id="165" max="1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pageSetUpPr fitToPage="1"/>
  </sheetPr>
  <dimension ref="A1:P214"/>
  <sheetViews>
    <sheetView view="pageBreakPreview" zoomScale="60" zoomScaleNormal="100" workbookViewId="0">
      <pane xSplit="4" ySplit="13" topLeftCell="E14" activePane="bottomRight" state="frozen"/>
      <selection sqref="A1:L1"/>
      <selection pane="topRight" sqref="A1:L1"/>
      <selection pane="bottomLeft" sqref="A1:L1"/>
      <selection pane="bottomRight" activeCell="C189" sqref="C189"/>
    </sheetView>
  </sheetViews>
  <sheetFormatPr defaultColWidth="9.140625" defaultRowHeight="15.75" outlineLevelRow="1" x14ac:dyDescent="0.25"/>
  <cols>
    <col min="1" max="1" width="4.42578125" style="108" bestFit="1" customWidth="1"/>
    <col min="2" max="2" width="12.5703125" style="108" customWidth="1"/>
    <col min="3" max="3" width="14.5703125" style="138" customWidth="1"/>
    <col min="4" max="4" width="12.5703125" style="126" customWidth="1"/>
    <col min="5" max="5" width="14.7109375" style="126" customWidth="1"/>
    <col min="6" max="6" width="20.7109375" style="115" customWidth="1"/>
    <col min="7" max="7" width="12.5703125" style="115" customWidth="1"/>
    <col min="8" max="8" width="23.7109375" style="115" customWidth="1"/>
    <col min="9" max="9" width="18.5703125" style="115" customWidth="1"/>
    <col min="10" max="10" width="20.7109375" style="115" customWidth="1"/>
    <col min="11" max="11" width="27" style="115" customWidth="1"/>
    <col min="12" max="12" width="1.140625" style="107" customWidth="1"/>
    <col min="13" max="13" width="28.28515625" style="107" bestFit="1" customWidth="1"/>
    <col min="14" max="14" width="15.7109375" style="107" bestFit="1" customWidth="1"/>
    <col min="15" max="15" width="15.85546875" style="107" bestFit="1" customWidth="1"/>
    <col min="16" max="17" width="14" style="107" bestFit="1" customWidth="1"/>
    <col min="18" max="18" width="13.5703125" style="107" bestFit="1" customWidth="1"/>
    <col min="19" max="19" width="11.7109375" style="107" bestFit="1" customWidth="1"/>
    <col min="20" max="20" width="10.5703125" style="107" bestFit="1" customWidth="1"/>
    <col min="21" max="22" width="11.7109375" style="107" bestFit="1" customWidth="1"/>
    <col min="23" max="23" width="10.5703125" style="107" bestFit="1" customWidth="1"/>
    <col min="24" max="16384" width="9.140625" style="107"/>
  </cols>
  <sheetData>
    <row r="1" spans="1:16" ht="16.899999999999999" customHeight="1" x14ac:dyDescent="0.25">
      <c r="A1" s="213" t="str">
        <f>'Att(1of6)(JP-Non)'!A1:L1</f>
        <v>BIG RIVERS ELECTRIC CORPORATION</v>
      </c>
      <c r="B1" s="213"/>
      <c r="C1" s="213"/>
      <c r="D1" s="213"/>
      <c r="E1" s="213"/>
      <c r="F1" s="213"/>
      <c r="G1" s="213"/>
      <c r="H1" s="213"/>
      <c r="I1" s="213"/>
      <c r="J1" s="213"/>
      <c r="K1" s="213"/>
      <c r="L1" s="210"/>
      <c r="N1" s="109"/>
      <c r="O1" s="109"/>
      <c r="P1" s="109"/>
    </row>
    <row r="2" spans="1:16" ht="16.899999999999999" customHeight="1" x14ac:dyDescent="0.25">
      <c r="A2" s="213" t="str">
        <f>'Att(1of6)(JP-Non)'!A2:L2</f>
        <v>Six-Month Environmental Surcharge Review (Case No. 2025-00052)</v>
      </c>
      <c r="B2" s="213"/>
      <c r="C2" s="213"/>
      <c r="D2" s="213"/>
      <c r="E2" s="213"/>
      <c r="F2" s="213"/>
      <c r="G2" s="213"/>
      <c r="H2" s="213"/>
      <c r="I2" s="213"/>
      <c r="J2" s="213"/>
      <c r="K2" s="213"/>
      <c r="L2" s="210"/>
      <c r="N2" s="109"/>
      <c r="O2" s="109"/>
      <c r="P2" s="109"/>
    </row>
    <row r="3" spans="1:16" ht="16.899999999999999" customHeight="1" x14ac:dyDescent="0.25">
      <c r="A3" s="213" t="str">
        <f>'Att(1of6)(JP-Non)'!A3:L3</f>
        <v>Response to Commission Staff's First Request for Information dated April 3, 2025</v>
      </c>
      <c r="B3" s="213"/>
      <c r="C3" s="213"/>
      <c r="D3" s="213"/>
      <c r="E3" s="213"/>
      <c r="F3" s="213"/>
      <c r="G3" s="213"/>
      <c r="H3" s="213"/>
      <c r="I3" s="213"/>
      <c r="J3" s="213"/>
      <c r="K3" s="213"/>
      <c r="L3" s="210"/>
      <c r="N3" s="109"/>
      <c r="O3" s="109"/>
      <c r="P3" s="109"/>
    </row>
    <row r="4" spans="1:16" ht="16.899999999999999" customHeight="1" x14ac:dyDescent="0.25">
      <c r="A4" s="213" t="s">
        <v>152</v>
      </c>
      <c r="B4" s="213"/>
      <c r="C4" s="213"/>
      <c r="D4" s="213"/>
      <c r="E4" s="213"/>
      <c r="F4" s="213"/>
      <c r="G4" s="213"/>
      <c r="H4" s="213"/>
      <c r="I4" s="213"/>
      <c r="J4" s="213"/>
      <c r="K4" s="213"/>
      <c r="L4" s="210"/>
      <c r="N4" s="109"/>
      <c r="O4" s="109"/>
      <c r="P4" s="109"/>
    </row>
    <row r="5" spans="1:16" ht="9.75" customHeight="1" x14ac:dyDescent="0.25">
      <c r="A5" s="144"/>
      <c r="B5" s="145"/>
      <c r="C5" s="145"/>
      <c r="D5" s="145"/>
      <c r="E5" s="145"/>
      <c r="F5" s="145"/>
      <c r="G5" s="145"/>
      <c r="H5" s="145"/>
      <c r="I5" s="145"/>
      <c r="J5" s="145"/>
      <c r="K5" s="145"/>
      <c r="L5" s="145"/>
      <c r="N5" s="109"/>
      <c r="O5" s="109"/>
      <c r="P5" s="109"/>
    </row>
    <row r="6" spans="1:16" ht="9.75" customHeight="1" x14ac:dyDescent="0.25">
      <c r="A6" s="144"/>
      <c r="B6" s="145"/>
      <c r="C6" s="145"/>
      <c r="D6" s="145"/>
      <c r="E6" s="145"/>
      <c r="F6" s="145"/>
      <c r="G6" s="145"/>
      <c r="H6" s="145"/>
      <c r="I6" s="145"/>
      <c r="J6" s="145"/>
      <c r="K6" s="145"/>
      <c r="L6" s="145"/>
      <c r="N6" s="109"/>
      <c r="O6" s="109"/>
      <c r="P6" s="109"/>
    </row>
    <row r="7" spans="1:16" ht="18" customHeight="1" x14ac:dyDescent="0.25">
      <c r="B7" s="217" t="s">
        <v>102</v>
      </c>
      <c r="C7" s="218"/>
      <c r="D7" s="218"/>
      <c r="E7" s="218"/>
      <c r="F7" s="218"/>
      <c r="G7" s="218"/>
      <c r="H7" s="218"/>
      <c r="I7" s="218"/>
      <c r="J7" s="218"/>
      <c r="K7" s="219"/>
    </row>
    <row r="8" spans="1:16" ht="18" customHeight="1" x14ac:dyDescent="0.25">
      <c r="B8" s="220" t="s">
        <v>100</v>
      </c>
      <c r="C8" s="221"/>
      <c r="D8" s="221"/>
      <c r="E8" s="221"/>
      <c r="F8" s="221"/>
      <c r="G8" s="221"/>
      <c r="H8" s="221"/>
      <c r="I8" s="221"/>
      <c r="J8" s="221"/>
      <c r="K8" s="222"/>
    </row>
    <row r="9" spans="1:16" ht="18" customHeight="1" x14ac:dyDescent="0.25">
      <c r="B9" s="108" t="s">
        <v>1</v>
      </c>
      <c r="C9" s="138" t="s">
        <v>2</v>
      </c>
      <c r="D9" s="113" t="s">
        <v>3</v>
      </c>
      <c r="E9" s="113" t="s">
        <v>4</v>
      </c>
      <c r="F9" s="114" t="s">
        <v>5</v>
      </c>
      <c r="G9" s="114" t="s">
        <v>6</v>
      </c>
      <c r="H9" s="114" t="s">
        <v>94</v>
      </c>
      <c r="I9" s="136" t="s">
        <v>95</v>
      </c>
      <c r="J9" s="114" t="s">
        <v>96</v>
      </c>
      <c r="K9" s="136" t="s">
        <v>97</v>
      </c>
    </row>
    <row r="10" spans="1:16" ht="18" customHeight="1" x14ac:dyDescent="0.25">
      <c r="B10" s="211" t="s">
        <v>103</v>
      </c>
      <c r="C10" s="215" t="s">
        <v>104</v>
      </c>
      <c r="D10" s="226" t="s">
        <v>92</v>
      </c>
      <c r="E10" s="211" t="s">
        <v>117</v>
      </c>
      <c r="F10" s="223" t="s">
        <v>112</v>
      </c>
      <c r="G10" s="211" t="s">
        <v>120</v>
      </c>
      <c r="H10" s="223" t="s">
        <v>129</v>
      </c>
      <c r="I10" s="223" t="s">
        <v>115</v>
      </c>
      <c r="J10" s="223" t="s">
        <v>126</v>
      </c>
      <c r="K10" s="223" t="s">
        <v>125</v>
      </c>
    </row>
    <row r="11" spans="1:16" ht="18" customHeight="1" x14ac:dyDescent="0.25">
      <c r="B11" s="212"/>
      <c r="C11" s="216"/>
      <c r="D11" s="224"/>
      <c r="E11" s="212"/>
      <c r="F11" s="224"/>
      <c r="G11" s="212"/>
      <c r="H11" s="225"/>
      <c r="I11" s="225"/>
      <c r="J11" s="225"/>
      <c r="K11" s="224"/>
    </row>
    <row r="12" spans="1:16" ht="18" customHeight="1" x14ac:dyDescent="0.25">
      <c r="B12" s="212"/>
      <c r="C12" s="216"/>
      <c r="D12" s="224"/>
      <c r="E12" s="212"/>
      <c r="F12" s="224"/>
      <c r="G12" s="212"/>
      <c r="H12" s="225"/>
      <c r="I12" s="225"/>
      <c r="J12" s="225"/>
      <c r="K12" s="224"/>
    </row>
    <row r="13" spans="1:16" ht="12" customHeight="1" x14ac:dyDescent="0.25">
      <c r="B13" s="212"/>
      <c r="C13" s="216"/>
      <c r="D13" s="224"/>
      <c r="E13" s="212"/>
      <c r="F13" s="224"/>
      <c r="G13" s="212"/>
      <c r="H13" s="225"/>
      <c r="I13" s="225"/>
      <c r="J13" s="225"/>
      <c r="K13" s="224"/>
    </row>
    <row r="14" spans="1:16" s="120" customFormat="1" ht="18" hidden="1" customHeight="1" outlineLevel="1" x14ac:dyDescent="0.25">
      <c r="A14" s="108"/>
      <c r="B14" s="156"/>
      <c r="C14" s="155"/>
      <c r="D14" s="117">
        <v>39995</v>
      </c>
      <c r="E14" s="156"/>
      <c r="F14" s="121">
        <v>47307</v>
      </c>
      <c r="G14" s="156"/>
      <c r="H14" s="121">
        <v>0</v>
      </c>
      <c r="I14" s="123">
        <v>0</v>
      </c>
      <c r="J14" s="121">
        <f t="shared" ref="J14:J77" si="0">+F14+I14</f>
        <v>47307</v>
      </c>
      <c r="K14" s="121">
        <v>0</v>
      </c>
      <c r="N14" s="129"/>
      <c r="O14" s="129"/>
      <c r="P14" s="129"/>
    </row>
    <row r="15" spans="1:16" s="120" customFormat="1" ht="18" hidden="1" customHeight="1" outlineLevel="1" x14ac:dyDescent="0.25">
      <c r="A15" s="108"/>
      <c r="B15" s="156"/>
      <c r="C15" s="155"/>
      <c r="D15" s="117">
        <f t="shared" ref="D15:D78" si="1">EOMONTH(D14,1)</f>
        <v>40056</v>
      </c>
      <c r="E15" s="156"/>
      <c r="F15" s="121">
        <v>91992</v>
      </c>
      <c r="G15" s="156"/>
      <c r="H15" s="121">
        <v>51267</v>
      </c>
      <c r="I15" s="123">
        <f>K15</f>
        <v>-3960</v>
      </c>
      <c r="J15" s="121">
        <f t="shared" si="0"/>
        <v>88032</v>
      </c>
      <c r="K15" s="121">
        <f t="shared" ref="K15:K55" si="2">J14-H15</f>
        <v>-3960</v>
      </c>
      <c r="N15" s="129"/>
      <c r="O15" s="129"/>
      <c r="P15" s="129"/>
    </row>
    <row r="16" spans="1:16" s="120" customFormat="1" ht="18" hidden="1" customHeight="1" outlineLevel="1" x14ac:dyDescent="0.25">
      <c r="A16" s="108"/>
      <c r="B16" s="156"/>
      <c r="C16" s="155"/>
      <c r="D16" s="117">
        <f t="shared" si="1"/>
        <v>40086</v>
      </c>
      <c r="E16" s="156"/>
      <c r="F16" s="121">
        <v>67075</v>
      </c>
      <c r="G16" s="156"/>
      <c r="H16" s="121">
        <v>74300</v>
      </c>
      <c r="I16" s="123">
        <f t="shared" ref="I16:I79" si="3">K16</f>
        <v>13732</v>
      </c>
      <c r="J16" s="121">
        <f t="shared" si="0"/>
        <v>80807</v>
      </c>
      <c r="K16" s="121">
        <f t="shared" si="2"/>
        <v>13732</v>
      </c>
      <c r="N16" s="129"/>
      <c r="O16" s="129"/>
      <c r="P16" s="129"/>
    </row>
    <row r="17" spans="1:16" s="120" customFormat="1" ht="18" hidden="1" customHeight="1" outlineLevel="1" x14ac:dyDescent="0.25">
      <c r="A17" s="108"/>
      <c r="B17" s="156"/>
      <c r="C17" s="155"/>
      <c r="D17" s="117">
        <f t="shared" si="1"/>
        <v>40117</v>
      </c>
      <c r="E17" s="156"/>
      <c r="F17" s="121">
        <v>73477</v>
      </c>
      <c r="G17" s="156"/>
      <c r="H17" s="121">
        <v>77801</v>
      </c>
      <c r="I17" s="123">
        <f t="shared" si="3"/>
        <v>3006</v>
      </c>
      <c r="J17" s="121">
        <f t="shared" si="0"/>
        <v>76483</v>
      </c>
      <c r="K17" s="121">
        <f t="shared" si="2"/>
        <v>3006</v>
      </c>
      <c r="N17" s="129"/>
      <c r="O17" s="129"/>
      <c r="P17" s="129"/>
    </row>
    <row r="18" spans="1:16" s="120" customFormat="1" ht="18" hidden="1" customHeight="1" outlineLevel="1" x14ac:dyDescent="0.25">
      <c r="A18" s="108"/>
      <c r="B18" s="156"/>
      <c r="C18" s="155"/>
      <c r="D18" s="117">
        <f t="shared" si="1"/>
        <v>40147</v>
      </c>
      <c r="E18" s="156"/>
      <c r="F18" s="121">
        <v>68063</v>
      </c>
      <c r="G18" s="156"/>
      <c r="H18" s="121">
        <v>83292</v>
      </c>
      <c r="I18" s="123">
        <f t="shared" si="3"/>
        <v>-6809</v>
      </c>
      <c r="J18" s="121">
        <f t="shared" si="0"/>
        <v>61254</v>
      </c>
      <c r="K18" s="121">
        <f t="shared" si="2"/>
        <v>-6809</v>
      </c>
      <c r="N18" s="129"/>
      <c r="O18" s="129"/>
      <c r="P18" s="129"/>
    </row>
    <row r="19" spans="1:16" s="120" customFormat="1" ht="18" hidden="1" customHeight="1" outlineLevel="1" x14ac:dyDescent="0.25">
      <c r="A19" s="108"/>
      <c r="B19" s="156"/>
      <c r="C19" s="155"/>
      <c r="D19" s="117">
        <f t="shared" si="1"/>
        <v>40178</v>
      </c>
      <c r="E19" s="156"/>
      <c r="F19" s="121">
        <v>112332</v>
      </c>
      <c r="G19" s="156"/>
      <c r="H19" s="121">
        <v>89434</v>
      </c>
      <c r="I19" s="123">
        <f t="shared" si="3"/>
        <v>-28180</v>
      </c>
      <c r="J19" s="121">
        <f t="shared" si="0"/>
        <v>84152</v>
      </c>
      <c r="K19" s="121">
        <f t="shared" si="2"/>
        <v>-28180</v>
      </c>
      <c r="N19" s="129"/>
      <c r="O19" s="129"/>
      <c r="P19" s="129"/>
    </row>
    <row r="20" spans="1:16" s="120" customFormat="1" ht="18" hidden="1" customHeight="1" outlineLevel="1" x14ac:dyDescent="0.25">
      <c r="A20" s="108"/>
      <c r="B20" s="156"/>
      <c r="C20" s="155"/>
      <c r="D20" s="117">
        <f t="shared" si="1"/>
        <v>40209</v>
      </c>
      <c r="E20" s="156"/>
      <c r="F20" s="121">
        <v>116417</v>
      </c>
      <c r="G20" s="156"/>
      <c r="H20" s="121">
        <v>92099</v>
      </c>
      <c r="I20" s="123">
        <f t="shared" si="3"/>
        <v>-7947</v>
      </c>
      <c r="J20" s="121">
        <f t="shared" si="0"/>
        <v>108470</v>
      </c>
      <c r="K20" s="121">
        <f t="shared" si="2"/>
        <v>-7947</v>
      </c>
      <c r="N20" s="129"/>
      <c r="O20" s="129"/>
      <c r="P20" s="129"/>
    </row>
    <row r="21" spans="1:16" s="120" customFormat="1" ht="18" hidden="1" customHeight="1" outlineLevel="1" x14ac:dyDescent="0.25">
      <c r="A21" s="108"/>
      <c r="B21" s="156"/>
      <c r="C21" s="155"/>
      <c r="D21" s="117">
        <f t="shared" si="1"/>
        <v>40237</v>
      </c>
      <c r="E21" s="156"/>
      <c r="F21" s="121">
        <v>92559</v>
      </c>
      <c r="G21" s="156"/>
      <c r="H21" s="121">
        <v>100980</v>
      </c>
      <c r="I21" s="123">
        <f t="shared" si="3"/>
        <v>7490</v>
      </c>
      <c r="J21" s="121">
        <f t="shared" si="0"/>
        <v>100049</v>
      </c>
      <c r="K21" s="121">
        <f t="shared" si="2"/>
        <v>7490</v>
      </c>
      <c r="N21" s="129"/>
      <c r="O21" s="129"/>
      <c r="P21" s="129"/>
    </row>
    <row r="22" spans="1:16" s="120" customFormat="1" ht="18" hidden="1" customHeight="1" outlineLevel="1" x14ac:dyDescent="0.25">
      <c r="A22" s="108"/>
      <c r="B22" s="156"/>
      <c r="C22" s="155"/>
      <c r="D22" s="117">
        <f t="shared" si="1"/>
        <v>40268</v>
      </c>
      <c r="E22" s="156"/>
      <c r="F22" s="121">
        <v>79213</v>
      </c>
      <c r="G22" s="156"/>
      <c r="H22" s="121">
        <v>73180</v>
      </c>
      <c r="I22" s="123">
        <f t="shared" si="3"/>
        <v>26869</v>
      </c>
      <c r="J22" s="121">
        <f t="shared" si="0"/>
        <v>106082</v>
      </c>
      <c r="K22" s="121">
        <f t="shared" si="2"/>
        <v>26869</v>
      </c>
      <c r="N22" s="129"/>
      <c r="O22" s="129"/>
      <c r="P22" s="129"/>
    </row>
    <row r="23" spans="1:16" s="120" customFormat="1" ht="18" hidden="1" customHeight="1" outlineLevel="1" x14ac:dyDescent="0.25">
      <c r="A23" s="108"/>
      <c r="B23" s="156"/>
      <c r="C23" s="155"/>
      <c r="D23" s="117">
        <f t="shared" si="1"/>
        <v>40298</v>
      </c>
      <c r="E23" s="156"/>
      <c r="F23" s="121">
        <v>65510</v>
      </c>
      <c r="G23" s="156"/>
      <c r="H23" s="121">
        <v>80158</v>
      </c>
      <c r="I23" s="123">
        <f t="shared" si="3"/>
        <v>25924</v>
      </c>
      <c r="J23" s="121">
        <f t="shared" si="0"/>
        <v>91434</v>
      </c>
      <c r="K23" s="121">
        <f t="shared" si="2"/>
        <v>25924</v>
      </c>
      <c r="N23" s="129"/>
      <c r="O23" s="129"/>
      <c r="P23" s="129"/>
    </row>
    <row r="24" spans="1:16" s="120" customFormat="1" ht="18" hidden="1" customHeight="1" outlineLevel="1" x14ac:dyDescent="0.25">
      <c r="A24" s="108"/>
      <c r="B24" s="156"/>
      <c r="C24" s="155"/>
      <c r="D24" s="117">
        <f t="shared" si="1"/>
        <v>40329</v>
      </c>
      <c r="E24" s="156"/>
      <c r="F24" s="121">
        <v>72893</v>
      </c>
      <c r="G24" s="156"/>
      <c r="H24" s="121">
        <v>101743</v>
      </c>
      <c r="I24" s="123">
        <f t="shared" si="3"/>
        <v>-10309</v>
      </c>
      <c r="J24" s="121">
        <f t="shared" si="0"/>
        <v>62584</v>
      </c>
      <c r="K24" s="121">
        <f t="shared" si="2"/>
        <v>-10309</v>
      </c>
      <c r="N24" s="129"/>
      <c r="O24" s="129"/>
      <c r="P24" s="129"/>
    </row>
    <row r="25" spans="1:16" s="120" customFormat="1" ht="18" hidden="1" customHeight="1" outlineLevel="1" x14ac:dyDescent="0.25">
      <c r="A25" s="108"/>
      <c r="B25" s="156"/>
      <c r="C25" s="155"/>
      <c r="D25" s="117">
        <f t="shared" si="1"/>
        <v>40359</v>
      </c>
      <c r="E25" s="156"/>
      <c r="F25" s="121">
        <v>98353</v>
      </c>
      <c r="G25" s="156"/>
      <c r="H25" s="121">
        <v>85511</v>
      </c>
      <c r="I25" s="123">
        <f t="shared" si="3"/>
        <v>-22927</v>
      </c>
      <c r="J25" s="121">
        <f t="shared" si="0"/>
        <v>75426</v>
      </c>
      <c r="K25" s="121">
        <f t="shared" si="2"/>
        <v>-22927</v>
      </c>
      <c r="N25" s="129"/>
      <c r="O25" s="129"/>
      <c r="P25" s="129"/>
    </row>
    <row r="26" spans="1:16" s="120" customFormat="1" ht="18" hidden="1" customHeight="1" outlineLevel="1" x14ac:dyDescent="0.25">
      <c r="A26" s="108"/>
      <c r="B26" s="156"/>
      <c r="C26" s="155"/>
      <c r="D26" s="117">
        <f t="shared" si="1"/>
        <v>40390</v>
      </c>
      <c r="E26" s="156"/>
      <c r="F26" s="121">
        <v>116038</v>
      </c>
      <c r="G26" s="156"/>
      <c r="H26" s="121">
        <v>79100</v>
      </c>
      <c r="I26" s="123">
        <f t="shared" si="3"/>
        <v>-3674</v>
      </c>
      <c r="J26" s="121">
        <f t="shared" si="0"/>
        <v>112364</v>
      </c>
      <c r="K26" s="121">
        <f t="shared" si="2"/>
        <v>-3674</v>
      </c>
      <c r="N26" s="129"/>
      <c r="O26" s="129"/>
      <c r="P26" s="129"/>
    </row>
    <row r="27" spans="1:16" s="120" customFormat="1" ht="18" hidden="1" customHeight="1" outlineLevel="1" x14ac:dyDescent="0.25">
      <c r="A27" s="108"/>
      <c r="B27" s="156"/>
      <c r="C27" s="155"/>
      <c r="D27" s="117">
        <f t="shared" si="1"/>
        <v>40421</v>
      </c>
      <c r="E27" s="156"/>
      <c r="F27" s="121">
        <v>109272</v>
      </c>
      <c r="G27" s="156"/>
      <c r="H27" s="121">
        <v>113723</v>
      </c>
      <c r="I27" s="123">
        <f t="shared" si="3"/>
        <v>-1359</v>
      </c>
      <c r="J27" s="121">
        <f t="shared" si="0"/>
        <v>107913</v>
      </c>
      <c r="K27" s="121">
        <f t="shared" si="2"/>
        <v>-1359</v>
      </c>
      <c r="N27" s="129"/>
      <c r="O27" s="129"/>
      <c r="P27" s="129"/>
    </row>
    <row r="28" spans="1:16" s="120" customFormat="1" ht="18" hidden="1" customHeight="1" outlineLevel="1" x14ac:dyDescent="0.25">
      <c r="A28" s="108"/>
      <c r="B28" s="156"/>
      <c r="C28" s="155"/>
      <c r="D28" s="117">
        <f t="shared" si="1"/>
        <v>40451</v>
      </c>
      <c r="E28" s="156"/>
      <c r="F28" s="121">
        <v>79023</v>
      </c>
      <c r="G28" s="156"/>
      <c r="H28" s="121">
        <v>84034</v>
      </c>
      <c r="I28" s="123">
        <f t="shared" si="3"/>
        <v>23879</v>
      </c>
      <c r="J28" s="121">
        <f t="shared" si="0"/>
        <v>102902</v>
      </c>
      <c r="K28" s="121">
        <f t="shared" si="2"/>
        <v>23879</v>
      </c>
      <c r="N28" s="129"/>
      <c r="O28" s="129"/>
      <c r="P28" s="129"/>
    </row>
    <row r="29" spans="1:16" s="120" customFormat="1" ht="18" hidden="1" customHeight="1" outlineLevel="1" x14ac:dyDescent="0.25">
      <c r="A29" s="108"/>
      <c r="B29" s="156"/>
      <c r="C29" s="155"/>
      <c r="D29" s="117">
        <f t="shared" si="1"/>
        <v>40482</v>
      </c>
      <c r="E29" s="156"/>
      <c r="F29" s="121">
        <v>69354</v>
      </c>
      <c r="G29" s="156"/>
      <c r="H29" s="121">
        <v>85915</v>
      </c>
      <c r="I29" s="123">
        <f t="shared" si="3"/>
        <v>16987</v>
      </c>
      <c r="J29" s="121">
        <f t="shared" si="0"/>
        <v>86341</v>
      </c>
      <c r="K29" s="121">
        <f t="shared" si="2"/>
        <v>16987</v>
      </c>
      <c r="N29" s="129"/>
      <c r="O29" s="129"/>
      <c r="P29" s="129"/>
    </row>
    <row r="30" spans="1:16" s="120" customFormat="1" ht="18" hidden="1" customHeight="1" outlineLevel="1" x14ac:dyDescent="0.25">
      <c r="A30" s="108"/>
      <c r="B30" s="156"/>
      <c r="C30" s="155"/>
      <c r="D30" s="117">
        <f t="shared" si="1"/>
        <v>40512</v>
      </c>
      <c r="E30" s="156"/>
      <c r="F30" s="121">
        <v>101359</v>
      </c>
      <c r="G30" s="156"/>
      <c r="H30" s="121">
        <v>106405</v>
      </c>
      <c r="I30" s="123">
        <f t="shared" si="3"/>
        <v>-20064</v>
      </c>
      <c r="J30" s="121">
        <f t="shared" si="0"/>
        <v>81295</v>
      </c>
      <c r="K30" s="121">
        <f t="shared" si="2"/>
        <v>-20064</v>
      </c>
      <c r="N30" s="129"/>
      <c r="O30" s="129"/>
      <c r="P30" s="129"/>
    </row>
    <row r="31" spans="1:16" s="120" customFormat="1" ht="18" hidden="1" customHeight="1" outlineLevel="1" x14ac:dyDescent="0.25">
      <c r="A31" s="108"/>
      <c r="B31" s="156"/>
      <c r="C31" s="155"/>
      <c r="D31" s="117">
        <f t="shared" si="1"/>
        <v>40543</v>
      </c>
      <c r="E31" s="156"/>
      <c r="F31" s="121">
        <v>138048</v>
      </c>
      <c r="G31" s="156"/>
      <c r="H31" s="121">
        <v>125277</v>
      </c>
      <c r="I31" s="123">
        <f t="shared" si="3"/>
        <v>-43982</v>
      </c>
      <c r="J31" s="121">
        <f t="shared" si="0"/>
        <v>94066</v>
      </c>
      <c r="K31" s="121">
        <f t="shared" si="2"/>
        <v>-43982</v>
      </c>
      <c r="N31" s="129"/>
      <c r="O31" s="129"/>
      <c r="P31" s="129"/>
    </row>
    <row r="32" spans="1:16" s="120" customFormat="1" ht="18" hidden="1" customHeight="1" outlineLevel="1" x14ac:dyDescent="0.25">
      <c r="A32" s="108"/>
      <c r="B32" s="156"/>
      <c r="C32" s="155"/>
      <c r="D32" s="117">
        <f t="shared" si="1"/>
        <v>40574</v>
      </c>
      <c r="E32" s="156"/>
      <c r="F32" s="121">
        <v>120297</v>
      </c>
      <c r="G32" s="156"/>
      <c r="H32" s="121">
        <v>93107</v>
      </c>
      <c r="I32" s="123">
        <f t="shared" si="3"/>
        <v>959</v>
      </c>
      <c r="J32" s="121">
        <f t="shared" si="0"/>
        <v>121256</v>
      </c>
      <c r="K32" s="121">
        <f t="shared" si="2"/>
        <v>959</v>
      </c>
      <c r="N32" s="129"/>
      <c r="O32" s="129"/>
      <c r="P32" s="129"/>
    </row>
    <row r="33" spans="1:16" s="120" customFormat="1" ht="18" hidden="1" customHeight="1" outlineLevel="1" x14ac:dyDescent="0.25">
      <c r="A33" s="108"/>
      <c r="B33" s="156"/>
      <c r="C33" s="155"/>
      <c r="D33" s="117">
        <f t="shared" si="1"/>
        <v>40602</v>
      </c>
      <c r="E33" s="156"/>
      <c r="F33" s="121">
        <v>83975</v>
      </c>
      <c r="G33" s="156"/>
      <c r="H33" s="121">
        <v>98109</v>
      </c>
      <c r="I33" s="123">
        <f t="shared" si="3"/>
        <v>23147</v>
      </c>
      <c r="J33" s="121">
        <f t="shared" si="0"/>
        <v>107122</v>
      </c>
      <c r="K33" s="121">
        <f t="shared" si="2"/>
        <v>23147</v>
      </c>
      <c r="N33" s="129"/>
      <c r="O33" s="129"/>
      <c r="P33" s="129"/>
    </row>
    <row r="34" spans="1:16" s="120" customFormat="1" ht="18" hidden="1" customHeight="1" outlineLevel="1" x14ac:dyDescent="0.25">
      <c r="A34" s="108"/>
      <c r="B34" s="156"/>
      <c r="C34" s="155"/>
      <c r="D34" s="117">
        <f t="shared" si="1"/>
        <v>40633</v>
      </c>
      <c r="E34" s="156"/>
      <c r="F34" s="121">
        <v>78979</v>
      </c>
      <c r="G34" s="156"/>
      <c r="H34" s="121">
        <v>87608</v>
      </c>
      <c r="I34" s="123">
        <f t="shared" si="3"/>
        <v>19514</v>
      </c>
      <c r="J34" s="121">
        <f t="shared" si="0"/>
        <v>98493</v>
      </c>
      <c r="K34" s="121">
        <f t="shared" si="2"/>
        <v>19514</v>
      </c>
      <c r="N34" s="129"/>
      <c r="O34" s="129"/>
      <c r="P34" s="129"/>
    </row>
    <row r="35" spans="1:16" s="120" customFormat="1" ht="18" hidden="1" customHeight="1" outlineLevel="1" x14ac:dyDescent="0.25">
      <c r="A35" s="108"/>
      <c r="B35" s="156"/>
      <c r="C35" s="155"/>
      <c r="D35" s="117">
        <f t="shared" si="1"/>
        <v>40663</v>
      </c>
      <c r="E35" s="156"/>
      <c r="F35" s="121">
        <v>69631</v>
      </c>
      <c r="G35" s="156"/>
      <c r="H35" s="121">
        <v>90987</v>
      </c>
      <c r="I35" s="123">
        <f t="shared" si="3"/>
        <v>7506</v>
      </c>
      <c r="J35" s="121">
        <f t="shared" si="0"/>
        <v>77137</v>
      </c>
      <c r="K35" s="121">
        <f t="shared" si="2"/>
        <v>7506</v>
      </c>
      <c r="N35" s="129"/>
      <c r="O35" s="129"/>
      <c r="P35" s="129"/>
    </row>
    <row r="36" spans="1:16" s="120" customFormat="1" ht="18" hidden="1" customHeight="1" outlineLevel="1" x14ac:dyDescent="0.25">
      <c r="A36" s="108"/>
      <c r="B36" s="156"/>
      <c r="C36" s="155"/>
      <c r="D36" s="117">
        <f t="shared" si="1"/>
        <v>40694</v>
      </c>
      <c r="E36" s="156"/>
      <c r="F36" s="121">
        <v>57737</v>
      </c>
      <c r="G36" s="156"/>
      <c r="H36" s="121">
        <v>81926</v>
      </c>
      <c r="I36" s="123">
        <f t="shared" si="3"/>
        <v>-4789</v>
      </c>
      <c r="J36" s="121">
        <f t="shared" si="0"/>
        <v>52948</v>
      </c>
      <c r="K36" s="121">
        <f t="shared" si="2"/>
        <v>-4789</v>
      </c>
      <c r="N36" s="129"/>
      <c r="O36" s="129"/>
      <c r="P36" s="129"/>
    </row>
    <row r="37" spans="1:16" s="120" customFormat="1" ht="18" hidden="1" customHeight="1" outlineLevel="1" x14ac:dyDescent="0.25">
      <c r="A37" s="108"/>
      <c r="B37" s="156"/>
      <c r="C37" s="155"/>
      <c r="D37" s="117">
        <f t="shared" si="1"/>
        <v>40724</v>
      </c>
      <c r="E37" s="156"/>
      <c r="F37" s="121">
        <v>88908</v>
      </c>
      <c r="G37" s="156"/>
      <c r="H37" s="121">
        <v>63841</v>
      </c>
      <c r="I37" s="123">
        <f t="shared" si="3"/>
        <v>-10893</v>
      </c>
      <c r="J37" s="121">
        <f t="shared" si="0"/>
        <v>78015</v>
      </c>
      <c r="K37" s="121">
        <f t="shared" si="2"/>
        <v>-10893</v>
      </c>
      <c r="N37" s="129"/>
      <c r="O37" s="129"/>
      <c r="P37" s="129"/>
    </row>
    <row r="38" spans="1:16" s="120" customFormat="1" ht="18" hidden="1" customHeight="1" outlineLevel="1" x14ac:dyDescent="0.25">
      <c r="A38" s="108"/>
      <c r="B38" s="156"/>
      <c r="C38" s="155"/>
      <c r="D38" s="117">
        <f t="shared" si="1"/>
        <v>40755</v>
      </c>
      <c r="E38" s="156"/>
      <c r="F38" s="121">
        <v>104974</v>
      </c>
      <c r="G38" s="156"/>
      <c r="H38" s="121">
        <v>94527</v>
      </c>
      <c r="I38" s="123">
        <f t="shared" si="3"/>
        <v>-16512</v>
      </c>
      <c r="J38" s="121">
        <f t="shared" si="0"/>
        <v>88462</v>
      </c>
      <c r="K38" s="121">
        <f t="shared" si="2"/>
        <v>-16512</v>
      </c>
      <c r="N38" s="129"/>
      <c r="O38" s="129"/>
      <c r="P38" s="129"/>
    </row>
    <row r="39" spans="1:16" s="120" customFormat="1" ht="18" hidden="1" customHeight="1" outlineLevel="1" x14ac:dyDescent="0.25">
      <c r="A39" s="108"/>
      <c r="B39" s="156"/>
      <c r="C39" s="155"/>
      <c r="D39" s="117">
        <f t="shared" si="1"/>
        <v>40786</v>
      </c>
      <c r="E39" s="156"/>
      <c r="F39" s="121">
        <v>96473</v>
      </c>
      <c r="G39" s="156"/>
      <c r="H39" s="121">
        <v>75324</v>
      </c>
      <c r="I39" s="123">
        <f t="shared" si="3"/>
        <v>13138</v>
      </c>
      <c r="J39" s="121">
        <f t="shared" si="0"/>
        <v>109611</v>
      </c>
      <c r="K39" s="121">
        <f t="shared" si="2"/>
        <v>13138</v>
      </c>
      <c r="N39" s="129"/>
      <c r="O39" s="129"/>
      <c r="P39" s="129"/>
    </row>
    <row r="40" spans="1:16" s="120" customFormat="1" ht="18" hidden="1" customHeight="1" outlineLevel="1" x14ac:dyDescent="0.25">
      <c r="A40" s="108"/>
      <c r="B40" s="156"/>
      <c r="C40" s="155"/>
      <c r="D40" s="117">
        <f t="shared" si="1"/>
        <v>40816</v>
      </c>
      <c r="E40" s="156"/>
      <c r="F40" s="121">
        <v>60123</v>
      </c>
      <c r="G40" s="156"/>
      <c r="H40" s="121">
        <v>83558</v>
      </c>
      <c r="I40" s="123">
        <f t="shared" si="3"/>
        <v>26053</v>
      </c>
      <c r="J40" s="121">
        <f t="shared" si="0"/>
        <v>86176</v>
      </c>
      <c r="K40" s="121">
        <f t="shared" si="2"/>
        <v>26053</v>
      </c>
      <c r="N40" s="129"/>
      <c r="O40" s="129"/>
      <c r="P40" s="129"/>
    </row>
    <row r="41" spans="1:16" s="120" customFormat="1" ht="18" hidden="1" customHeight="1" outlineLevel="1" x14ac:dyDescent="0.25">
      <c r="A41" s="108"/>
      <c r="B41" s="156"/>
      <c r="C41" s="155"/>
      <c r="D41" s="117">
        <f t="shared" si="1"/>
        <v>40847</v>
      </c>
      <c r="E41" s="156"/>
      <c r="F41" s="121">
        <v>76716</v>
      </c>
      <c r="G41" s="156"/>
      <c r="H41" s="121">
        <v>83855</v>
      </c>
      <c r="I41" s="123">
        <f t="shared" si="3"/>
        <v>2321</v>
      </c>
      <c r="J41" s="121">
        <f t="shared" si="0"/>
        <v>79037</v>
      </c>
      <c r="K41" s="121">
        <f t="shared" si="2"/>
        <v>2321</v>
      </c>
      <c r="N41" s="129"/>
      <c r="O41" s="129"/>
      <c r="P41" s="129"/>
    </row>
    <row r="42" spans="1:16" s="120" customFormat="1" ht="18" hidden="1" customHeight="1" outlineLevel="1" x14ac:dyDescent="0.25">
      <c r="A42" s="108"/>
      <c r="B42" s="156"/>
      <c r="C42" s="155"/>
      <c r="D42" s="117">
        <f t="shared" si="1"/>
        <v>40877</v>
      </c>
      <c r="E42" s="156"/>
      <c r="F42" s="121">
        <v>97263</v>
      </c>
      <c r="G42" s="156"/>
      <c r="H42" s="121">
        <v>87696</v>
      </c>
      <c r="I42" s="123">
        <f t="shared" si="3"/>
        <v>-8659</v>
      </c>
      <c r="J42" s="121">
        <f t="shared" si="0"/>
        <v>88604</v>
      </c>
      <c r="K42" s="121">
        <f t="shared" si="2"/>
        <v>-8659</v>
      </c>
      <c r="N42" s="129"/>
      <c r="O42" s="129"/>
      <c r="P42" s="129"/>
    </row>
    <row r="43" spans="1:16" s="120" customFormat="1" ht="18" hidden="1" customHeight="1" outlineLevel="1" x14ac:dyDescent="0.25">
      <c r="A43" s="108"/>
      <c r="B43" s="156"/>
      <c r="C43" s="155"/>
      <c r="D43" s="117">
        <f t="shared" si="1"/>
        <v>40908</v>
      </c>
      <c r="E43" s="156"/>
      <c r="F43" s="121">
        <v>103832</v>
      </c>
      <c r="G43" s="156"/>
      <c r="H43" s="121">
        <v>111492</v>
      </c>
      <c r="I43" s="123">
        <f t="shared" si="3"/>
        <v>-22888</v>
      </c>
      <c r="J43" s="121">
        <f t="shared" si="0"/>
        <v>80944</v>
      </c>
      <c r="K43" s="121">
        <f t="shared" si="2"/>
        <v>-22888</v>
      </c>
      <c r="N43" s="129"/>
      <c r="O43" s="129"/>
      <c r="P43" s="129"/>
    </row>
    <row r="44" spans="1:16" s="120" customFormat="1" ht="18" hidden="1" customHeight="1" outlineLevel="1" x14ac:dyDescent="0.25">
      <c r="A44" s="108"/>
      <c r="B44" s="156"/>
      <c r="C44" s="155"/>
      <c r="D44" s="117">
        <f t="shared" si="1"/>
        <v>40939</v>
      </c>
      <c r="E44" s="156"/>
      <c r="F44" s="121">
        <v>116024</v>
      </c>
      <c r="G44" s="156"/>
      <c r="H44" s="121">
        <v>86196</v>
      </c>
      <c r="I44" s="123">
        <f t="shared" si="3"/>
        <v>-5252</v>
      </c>
      <c r="J44" s="121">
        <f t="shared" si="0"/>
        <v>110772</v>
      </c>
      <c r="K44" s="121">
        <f t="shared" si="2"/>
        <v>-5252</v>
      </c>
      <c r="N44" s="129"/>
      <c r="O44" s="129"/>
      <c r="P44" s="129"/>
    </row>
    <row r="45" spans="1:16" s="120" customFormat="1" ht="18" hidden="1" customHeight="1" outlineLevel="1" x14ac:dyDescent="0.25">
      <c r="A45" s="108"/>
      <c r="B45" s="156"/>
      <c r="C45" s="155"/>
      <c r="D45" s="117">
        <f t="shared" si="1"/>
        <v>40968</v>
      </c>
      <c r="E45" s="156"/>
      <c r="F45" s="121">
        <v>81574</v>
      </c>
      <c r="G45" s="156"/>
      <c r="H45" s="121">
        <v>99700</v>
      </c>
      <c r="I45" s="123">
        <f t="shared" si="3"/>
        <v>11072</v>
      </c>
      <c r="J45" s="121">
        <f t="shared" si="0"/>
        <v>92646</v>
      </c>
      <c r="K45" s="121">
        <f t="shared" si="2"/>
        <v>11072</v>
      </c>
      <c r="N45" s="129"/>
      <c r="O45" s="129"/>
      <c r="P45" s="129"/>
    </row>
    <row r="46" spans="1:16" s="120" customFormat="1" ht="18" hidden="1" customHeight="1" outlineLevel="1" x14ac:dyDescent="0.25">
      <c r="A46" s="108"/>
      <c r="B46" s="156"/>
      <c r="C46" s="155"/>
      <c r="D46" s="117">
        <f t="shared" si="1"/>
        <v>40999</v>
      </c>
      <c r="E46" s="156"/>
      <c r="F46" s="121">
        <v>63360</v>
      </c>
      <c r="G46" s="156"/>
      <c r="H46" s="121">
        <v>69870</v>
      </c>
      <c r="I46" s="123">
        <f t="shared" si="3"/>
        <v>22776</v>
      </c>
      <c r="J46" s="121">
        <f t="shared" si="0"/>
        <v>86136</v>
      </c>
      <c r="K46" s="121">
        <f t="shared" si="2"/>
        <v>22776</v>
      </c>
      <c r="N46" s="129"/>
      <c r="O46" s="129"/>
      <c r="P46" s="129"/>
    </row>
    <row r="47" spans="1:16" s="120" customFormat="1" ht="18" hidden="1" customHeight="1" outlineLevel="1" x14ac:dyDescent="0.25">
      <c r="A47" s="108"/>
      <c r="B47" s="156"/>
      <c r="C47" s="155"/>
      <c r="D47" s="117">
        <f t="shared" si="1"/>
        <v>41029</v>
      </c>
      <c r="E47" s="156"/>
      <c r="F47" s="121">
        <v>67443</v>
      </c>
      <c r="G47" s="156"/>
      <c r="H47" s="121">
        <v>79080</v>
      </c>
      <c r="I47" s="123">
        <f t="shared" si="3"/>
        <v>7056</v>
      </c>
      <c r="J47" s="121">
        <f t="shared" si="0"/>
        <v>74499</v>
      </c>
      <c r="K47" s="121">
        <f t="shared" si="2"/>
        <v>7056</v>
      </c>
      <c r="N47" s="129"/>
      <c r="O47" s="129"/>
      <c r="P47" s="129"/>
    </row>
    <row r="48" spans="1:16" s="120" customFormat="1" ht="18" hidden="1" customHeight="1" outlineLevel="1" x14ac:dyDescent="0.25">
      <c r="A48" s="108"/>
      <c r="B48" s="156"/>
      <c r="C48" s="155"/>
      <c r="D48" s="117">
        <f t="shared" si="1"/>
        <v>41060</v>
      </c>
      <c r="E48" s="156"/>
      <c r="F48" s="121">
        <v>67261</v>
      </c>
      <c r="G48" s="156"/>
      <c r="H48" s="121">
        <v>82967</v>
      </c>
      <c r="I48" s="123">
        <f t="shared" si="3"/>
        <v>-8468</v>
      </c>
      <c r="J48" s="121">
        <f t="shared" si="0"/>
        <v>58793</v>
      </c>
      <c r="K48" s="121">
        <f t="shared" si="2"/>
        <v>-8468</v>
      </c>
      <c r="N48" s="129"/>
      <c r="O48" s="129"/>
      <c r="P48" s="129"/>
    </row>
    <row r="49" spans="1:16" s="120" customFormat="1" ht="18" hidden="1" customHeight="1" outlineLevel="1" x14ac:dyDescent="0.25">
      <c r="A49" s="108"/>
      <c r="B49" s="156"/>
      <c r="C49" s="155"/>
      <c r="D49" s="117">
        <f t="shared" si="1"/>
        <v>41090</v>
      </c>
      <c r="E49" s="156"/>
      <c r="F49" s="121">
        <v>85423</v>
      </c>
      <c r="G49" s="156"/>
      <c r="H49" s="121">
        <v>65721</v>
      </c>
      <c r="I49" s="123">
        <f t="shared" si="3"/>
        <v>-6928</v>
      </c>
      <c r="J49" s="121">
        <f t="shared" si="0"/>
        <v>78495</v>
      </c>
      <c r="K49" s="121">
        <f t="shared" si="2"/>
        <v>-6928</v>
      </c>
      <c r="N49" s="129"/>
      <c r="O49" s="129"/>
      <c r="P49" s="129"/>
    </row>
    <row r="50" spans="1:16" s="120" customFormat="1" ht="18" hidden="1" customHeight="1" outlineLevel="1" x14ac:dyDescent="0.25">
      <c r="A50" s="108"/>
      <c r="B50" s="156"/>
      <c r="C50" s="155"/>
      <c r="D50" s="117">
        <f t="shared" si="1"/>
        <v>41121</v>
      </c>
      <c r="E50" s="156"/>
      <c r="F50" s="121">
        <v>101201</v>
      </c>
      <c r="G50" s="156"/>
      <c r="H50" s="121">
        <v>97178</v>
      </c>
      <c r="I50" s="123">
        <f t="shared" si="3"/>
        <v>-18683</v>
      </c>
      <c r="J50" s="121">
        <f t="shared" si="0"/>
        <v>82518</v>
      </c>
      <c r="K50" s="121">
        <f t="shared" si="2"/>
        <v>-18683</v>
      </c>
      <c r="N50" s="129"/>
      <c r="O50" s="129"/>
      <c r="P50" s="129"/>
    </row>
    <row r="51" spans="1:16" s="120" customFormat="1" ht="18" hidden="1" customHeight="1" outlineLevel="1" x14ac:dyDescent="0.25">
      <c r="A51" s="108"/>
      <c r="B51" s="156"/>
      <c r="C51" s="155"/>
      <c r="D51" s="117">
        <f t="shared" si="1"/>
        <v>41152</v>
      </c>
      <c r="E51" s="156"/>
      <c r="F51" s="121">
        <v>93643</v>
      </c>
      <c r="G51" s="156"/>
      <c r="H51" s="121">
        <v>71407</v>
      </c>
      <c r="I51" s="123">
        <f t="shared" si="3"/>
        <v>11111</v>
      </c>
      <c r="J51" s="121">
        <f t="shared" si="0"/>
        <v>104754</v>
      </c>
      <c r="K51" s="121">
        <f t="shared" si="2"/>
        <v>11111</v>
      </c>
      <c r="N51" s="129"/>
      <c r="O51" s="129"/>
      <c r="P51" s="129"/>
    </row>
    <row r="52" spans="1:16" s="120" customFormat="1" ht="18" hidden="1" customHeight="1" outlineLevel="1" x14ac:dyDescent="0.25">
      <c r="A52" s="108"/>
      <c r="B52" s="156"/>
      <c r="C52" s="155"/>
      <c r="D52" s="117">
        <f t="shared" si="1"/>
        <v>41182</v>
      </c>
      <c r="E52" s="156"/>
      <c r="F52" s="121">
        <v>66693</v>
      </c>
      <c r="G52" s="156"/>
      <c r="H52" s="121">
        <v>86261</v>
      </c>
      <c r="I52" s="123">
        <f t="shared" si="3"/>
        <v>18493</v>
      </c>
      <c r="J52" s="121">
        <f t="shared" si="0"/>
        <v>85186</v>
      </c>
      <c r="K52" s="121">
        <f t="shared" si="2"/>
        <v>18493</v>
      </c>
      <c r="N52" s="129"/>
      <c r="O52" s="129"/>
      <c r="P52" s="129"/>
    </row>
    <row r="53" spans="1:16" s="120" customFormat="1" ht="18" hidden="1" customHeight="1" outlineLevel="1" x14ac:dyDescent="0.25">
      <c r="A53" s="108"/>
      <c r="B53" s="156"/>
      <c r="C53" s="155"/>
      <c r="D53" s="117">
        <f t="shared" si="1"/>
        <v>41213</v>
      </c>
      <c r="E53" s="156"/>
      <c r="F53" s="121">
        <v>92678</v>
      </c>
      <c r="G53" s="156"/>
      <c r="H53" s="121">
        <v>81258</v>
      </c>
      <c r="I53" s="123">
        <f t="shared" si="3"/>
        <v>3928</v>
      </c>
      <c r="J53" s="121">
        <f t="shared" si="0"/>
        <v>96606</v>
      </c>
      <c r="K53" s="121">
        <f t="shared" si="2"/>
        <v>3928</v>
      </c>
      <c r="N53" s="129"/>
      <c r="O53" s="129"/>
      <c r="P53" s="129"/>
    </row>
    <row r="54" spans="1:16" s="120" customFormat="1" ht="18" hidden="1" customHeight="1" outlineLevel="1" x14ac:dyDescent="0.25">
      <c r="A54" s="108"/>
      <c r="B54" s="156"/>
      <c r="C54" s="155"/>
      <c r="D54" s="117">
        <f t="shared" si="1"/>
        <v>41243</v>
      </c>
      <c r="E54" s="156"/>
      <c r="F54" s="121">
        <v>102974</v>
      </c>
      <c r="G54" s="156"/>
      <c r="H54" s="121">
        <v>117715</v>
      </c>
      <c r="I54" s="123">
        <f t="shared" si="3"/>
        <v>-21109</v>
      </c>
      <c r="J54" s="121">
        <f t="shared" si="0"/>
        <v>81865</v>
      </c>
      <c r="K54" s="121">
        <f t="shared" si="2"/>
        <v>-21109</v>
      </c>
      <c r="N54" s="129"/>
      <c r="O54" s="129"/>
      <c r="P54" s="129"/>
    </row>
    <row r="55" spans="1:16" s="120" customFormat="1" ht="18" hidden="1" customHeight="1" outlineLevel="1" x14ac:dyDescent="0.25">
      <c r="A55" s="108"/>
      <c r="B55" s="156"/>
      <c r="C55" s="155"/>
      <c r="D55" s="117">
        <f t="shared" si="1"/>
        <v>41274</v>
      </c>
      <c r="E55" s="156"/>
      <c r="F55" s="121">
        <v>117434</v>
      </c>
      <c r="G55" s="156"/>
      <c r="H55" s="121">
        <v>90696</v>
      </c>
      <c r="I55" s="123">
        <f t="shared" si="3"/>
        <v>-8831</v>
      </c>
      <c r="J55" s="121">
        <f t="shared" si="0"/>
        <v>108603</v>
      </c>
      <c r="K55" s="121">
        <f t="shared" si="2"/>
        <v>-8831</v>
      </c>
      <c r="N55" s="129"/>
      <c r="O55" s="129"/>
      <c r="P55" s="129"/>
    </row>
    <row r="56" spans="1:16" s="120" customFormat="1" ht="18" hidden="1" customHeight="1" outlineLevel="1" x14ac:dyDescent="0.25">
      <c r="A56" s="108"/>
      <c r="B56" s="156"/>
      <c r="C56" s="155"/>
      <c r="D56" s="117">
        <f t="shared" si="1"/>
        <v>41305</v>
      </c>
      <c r="E56" s="156"/>
      <c r="F56" s="121">
        <v>143930.14000000001</v>
      </c>
      <c r="G56" s="156"/>
      <c r="H56" s="121">
        <v>137396.24</v>
      </c>
      <c r="I56" s="123">
        <f t="shared" si="3"/>
        <v>-28792.76</v>
      </c>
      <c r="J56" s="121">
        <f t="shared" si="0"/>
        <v>115137.38000000002</v>
      </c>
      <c r="K56" s="121">
        <v>-28792.76</v>
      </c>
      <c r="N56" s="129"/>
      <c r="O56" s="129"/>
      <c r="P56" s="129"/>
    </row>
    <row r="57" spans="1:16" s="120" customFormat="1" ht="18" hidden="1" customHeight="1" outlineLevel="1" x14ac:dyDescent="0.25">
      <c r="A57" s="108"/>
      <c r="B57" s="156"/>
      <c r="C57" s="155"/>
      <c r="D57" s="117">
        <f t="shared" si="1"/>
        <v>41333</v>
      </c>
      <c r="E57" s="156"/>
      <c r="F57" s="121">
        <v>138671.26</v>
      </c>
      <c r="G57" s="156"/>
      <c r="H57" s="121">
        <v>96468.83</v>
      </c>
      <c r="I57" s="123">
        <f t="shared" si="3"/>
        <v>18668.550000000017</v>
      </c>
      <c r="J57" s="121">
        <f t="shared" si="0"/>
        <v>157339.81000000003</v>
      </c>
      <c r="K57" s="121">
        <f t="shared" ref="K57:K99" si="4">J56-H57</f>
        <v>18668.550000000017</v>
      </c>
      <c r="N57" s="129"/>
      <c r="O57" s="129"/>
      <c r="P57" s="129"/>
    </row>
    <row r="58" spans="1:16" s="120" customFormat="1" ht="18" hidden="1" customHeight="1" outlineLevel="1" x14ac:dyDescent="0.25">
      <c r="A58" s="108"/>
      <c r="B58" s="156"/>
      <c r="C58" s="155"/>
      <c r="D58" s="117">
        <f t="shared" si="1"/>
        <v>41364</v>
      </c>
      <c r="E58" s="156"/>
      <c r="F58" s="121">
        <v>118124.52</v>
      </c>
      <c r="G58" s="156"/>
      <c r="H58" s="121">
        <v>153163.04999999999</v>
      </c>
      <c r="I58" s="123">
        <f t="shared" si="3"/>
        <v>4176.7600000000384</v>
      </c>
      <c r="J58" s="121">
        <f t="shared" si="0"/>
        <v>122301.28000000004</v>
      </c>
      <c r="K58" s="121">
        <f t="shared" si="4"/>
        <v>4176.7600000000384</v>
      </c>
      <c r="N58" s="129"/>
      <c r="O58" s="129"/>
      <c r="P58" s="129"/>
    </row>
    <row r="59" spans="1:16" s="120" customFormat="1" ht="18" hidden="1" customHeight="1" outlineLevel="1" x14ac:dyDescent="0.25">
      <c r="A59" s="108"/>
      <c r="B59" s="156"/>
      <c r="C59" s="155"/>
      <c r="D59" s="117">
        <f t="shared" si="1"/>
        <v>41394</v>
      </c>
      <c r="E59" s="156"/>
      <c r="F59" s="121">
        <v>91530.13</v>
      </c>
      <c r="G59" s="156"/>
      <c r="H59" s="121">
        <v>87483.13</v>
      </c>
      <c r="I59" s="123">
        <f t="shared" si="3"/>
        <v>34818.150000000038</v>
      </c>
      <c r="J59" s="121">
        <f t="shared" si="0"/>
        <v>126348.28000000004</v>
      </c>
      <c r="K59" s="121">
        <f t="shared" si="4"/>
        <v>34818.150000000038</v>
      </c>
      <c r="N59" s="129"/>
      <c r="O59" s="129"/>
      <c r="P59" s="129"/>
    </row>
    <row r="60" spans="1:16" s="120" customFormat="1" ht="18" hidden="1" customHeight="1" outlineLevel="1" x14ac:dyDescent="0.25">
      <c r="A60" s="108"/>
      <c r="B60" s="156"/>
      <c r="C60" s="155"/>
      <c r="D60" s="117">
        <f t="shared" si="1"/>
        <v>41425</v>
      </c>
      <c r="E60" s="156"/>
      <c r="F60" s="121">
        <v>83802.61</v>
      </c>
      <c r="G60" s="156"/>
      <c r="H60" s="121">
        <v>122201.57</v>
      </c>
      <c r="I60" s="123">
        <f t="shared" si="3"/>
        <v>4146.7100000000355</v>
      </c>
      <c r="J60" s="121">
        <f t="shared" si="0"/>
        <v>87949.320000000036</v>
      </c>
      <c r="K60" s="121">
        <f t="shared" si="4"/>
        <v>4146.7100000000355</v>
      </c>
      <c r="N60" s="129"/>
      <c r="O60" s="129"/>
      <c r="P60" s="129"/>
    </row>
    <row r="61" spans="1:16" s="120" customFormat="1" ht="18" hidden="1" customHeight="1" outlineLevel="1" x14ac:dyDescent="0.25">
      <c r="A61" s="108"/>
      <c r="B61" s="156"/>
      <c r="C61" s="155"/>
      <c r="D61" s="117">
        <f t="shared" si="1"/>
        <v>41455</v>
      </c>
      <c r="E61" s="156"/>
      <c r="F61" s="121">
        <v>105631.81</v>
      </c>
      <c r="G61" s="156"/>
      <c r="H61" s="121">
        <v>102426.27</v>
      </c>
      <c r="I61" s="123">
        <f t="shared" si="3"/>
        <v>-14476.949999999968</v>
      </c>
      <c r="J61" s="121">
        <f t="shared" si="0"/>
        <v>91154.86000000003</v>
      </c>
      <c r="K61" s="121">
        <f t="shared" si="4"/>
        <v>-14476.949999999968</v>
      </c>
      <c r="N61" s="129"/>
      <c r="O61" s="129"/>
      <c r="P61" s="129"/>
    </row>
    <row r="62" spans="1:16" s="120" customFormat="1" ht="18" hidden="1" customHeight="1" outlineLevel="1" x14ac:dyDescent="0.25">
      <c r="A62" s="108"/>
      <c r="B62" s="156"/>
      <c r="C62" s="155"/>
      <c r="D62" s="117">
        <f t="shared" si="1"/>
        <v>41486</v>
      </c>
      <c r="E62" s="156"/>
      <c r="F62" s="121">
        <v>110863.92</v>
      </c>
      <c r="G62" s="156"/>
      <c r="H62" s="121">
        <v>100347.11</v>
      </c>
      <c r="I62" s="123">
        <f t="shared" si="3"/>
        <v>-9192.2499999999709</v>
      </c>
      <c r="J62" s="121">
        <f t="shared" si="0"/>
        <v>101671.67000000003</v>
      </c>
      <c r="K62" s="121">
        <f t="shared" si="4"/>
        <v>-9192.2499999999709</v>
      </c>
      <c r="N62" s="129"/>
      <c r="O62" s="129"/>
      <c r="P62" s="129"/>
    </row>
    <row r="63" spans="1:16" s="120" customFormat="1" ht="18" hidden="1" customHeight="1" outlineLevel="1" x14ac:dyDescent="0.25">
      <c r="A63" s="108"/>
      <c r="B63" s="156"/>
      <c r="C63" s="155"/>
      <c r="D63" s="117">
        <f t="shared" si="1"/>
        <v>41517</v>
      </c>
      <c r="E63" s="156"/>
      <c r="F63" s="121">
        <v>129176.57</v>
      </c>
      <c r="G63" s="156"/>
      <c r="H63" s="121">
        <v>98694.75</v>
      </c>
      <c r="I63" s="123">
        <f t="shared" si="3"/>
        <v>2976.9200000000274</v>
      </c>
      <c r="J63" s="121">
        <f t="shared" si="0"/>
        <v>132153.49000000005</v>
      </c>
      <c r="K63" s="121">
        <f t="shared" si="4"/>
        <v>2976.9200000000274</v>
      </c>
      <c r="N63" s="129"/>
      <c r="O63" s="129"/>
      <c r="P63" s="129"/>
    </row>
    <row r="64" spans="1:16" s="120" customFormat="1" ht="18" hidden="1" customHeight="1" outlineLevel="1" x14ac:dyDescent="0.25">
      <c r="A64" s="108"/>
      <c r="B64" s="156"/>
      <c r="C64" s="155"/>
      <c r="D64" s="117">
        <f t="shared" si="1"/>
        <v>41547</v>
      </c>
      <c r="E64" s="156"/>
      <c r="F64" s="121">
        <v>123277.54</v>
      </c>
      <c r="G64" s="156"/>
      <c r="H64" s="121">
        <v>117671.9</v>
      </c>
      <c r="I64" s="123">
        <f t="shared" si="3"/>
        <v>14481.590000000055</v>
      </c>
      <c r="J64" s="121">
        <f t="shared" si="0"/>
        <v>137759.13000000006</v>
      </c>
      <c r="K64" s="121">
        <f t="shared" si="4"/>
        <v>14481.590000000055</v>
      </c>
      <c r="N64" s="129"/>
      <c r="O64" s="129"/>
      <c r="P64" s="129"/>
    </row>
    <row r="65" spans="1:16" s="120" customFormat="1" ht="18" hidden="1" customHeight="1" outlineLevel="1" x14ac:dyDescent="0.25">
      <c r="A65" s="108"/>
      <c r="B65" s="156"/>
      <c r="C65" s="155"/>
      <c r="D65" s="117">
        <f t="shared" si="1"/>
        <v>41578</v>
      </c>
      <c r="E65" s="156"/>
      <c r="F65" s="121">
        <v>104105.29</v>
      </c>
      <c r="G65" s="156"/>
      <c r="H65" s="121">
        <v>128790.88</v>
      </c>
      <c r="I65" s="123">
        <f t="shared" si="3"/>
        <v>8968.2500000000582</v>
      </c>
      <c r="J65" s="121">
        <f t="shared" si="0"/>
        <v>113073.54000000005</v>
      </c>
      <c r="K65" s="121">
        <f t="shared" si="4"/>
        <v>8968.2500000000582</v>
      </c>
      <c r="N65" s="129"/>
      <c r="O65" s="129"/>
      <c r="P65" s="129"/>
    </row>
    <row r="66" spans="1:16" s="120" customFormat="1" ht="18" hidden="1" customHeight="1" outlineLevel="1" x14ac:dyDescent="0.25">
      <c r="A66" s="108"/>
      <c r="B66" s="156"/>
      <c r="C66" s="155"/>
      <c r="D66" s="117">
        <f t="shared" si="1"/>
        <v>41608</v>
      </c>
      <c r="E66" s="156"/>
      <c r="F66" s="121">
        <v>172073.8</v>
      </c>
      <c r="G66" s="156"/>
      <c r="H66" s="121">
        <v>138374.94</v>
      </c>
      <c r="I66" s="123">
        <f t="shared" si="3"/>
        <v>-25301.399999999951</v>
      </c>
      <c r="J66" s="121">
        <f t="shared" si="0"/>
        <v>146772.40000000002</v>
      </c>
      <c r="K66" s="121">
        <f t="shared" si="4"/>
        <v>-25301.399999999951</v>
      </c>
      <c r="N66" s="129"/>
      <c r="O66" s="129"/>
      <c r="P66" s="129"/>
    </row>
    <row r="67" spans="1:16" s="120" customFormat="1" ht="18" hidden="1" customHeight="1" outlineLevel="1" x14ac:dyDescent="0.25">
      <c r="A67" s="108"/>
      <c r="B67" s="156"/>
      <c r="C67" s="155"/>
      <c r="D67" s="117">
        <f t="shared" si="1"/>
        <v>41639</v>
      </c>
      <c r="E67" s="156"/>
      <c r="F67" s="121">
        <v>201893.98</v>
      </c>
      <c r="G67" s="156"/>
      <c r="H67" s="121">
        <v>176129.68</v>
      </c>
      <c r="I67" s="123">
        <f t="shared" si="3"/>
        <v>-29357.27999999997</v>
      </c>
      <c r="J67" s="121">
        <f t="shared" si="0"/>
        <v>172536.70000000004</v>
      </c>
      <c r="K67" s="121">
        <f t="shared" si="4"/>
        <v>-29357.27999999997</v>
      </c>
      <c r="N67" s="129"/>
      <c r="O67" s="129"/>
      <c r="P67" s="129"/>
    </row>
    <row r="68" spans="1:16" s="120" customFormat="1" ht="18" hidden="1" customHeight="1" outlineLevel="1" x14ac:dyDescent="0.25">
      <c r="A68" s="108"/>
      <c r="B68" s="156"/>
      <c r="C68" s="155"/>
      <c r="D68" s="117">
        <f t="shared" si="1"/>
        <v>41670</v>
      </c>
      <c r="E68" s="156"/>
      <c r="F68" s="121">
        <v>279567.56</v>
      </c>
      <c r="G68" s="156"/>
      <c r="H68" s="121">
        <v>198375.67</v>
      </c>
      <c r="I68" s="123">
        <f t="shared" si="3"/>
        <v>-25838.969999999972</v>
      </c>
      <c r="J68" s="121">
        <f t="shared" si="0"/>
        <v>253728.59000000003</v>
      </c>
      <c r="K68" s="121">
        <f t="shared" si="4"/>
        <v>-25838.969999999972</v>
      </c>
      <c r="N68" s="129"/>
      <c r="O68" s="129"/>
      <c r="P68" s="129"/>
    </row>
    <row r="69" spans="1:16" s="120" customFormat="1" ht="18" hidden="1" customHeight="1" outlineLevel="1" x14ac:dyDescent="0.25">
      <c r="A69" s="108"/>
      <c r="B69" s="156"/>
      <c r="C69" s="155"/>
      <c r="D69" s="117">
        <f t="shared" si="1"/>
        <v>41698</v>
      </c>
      <c r="E69" s="156"/>
      <c r="F69" s="121">
        <v>217793.23</v>
      </c>
      <c r="G69" s="156"/>
      <c r="H69" s="121">
        <v>235533.74</v>
      </c>
      <c r="I69" s="123">
        <f t="shared" si="3"/>
        <v>18194.850000000035</v>
      </c>
      <c r="J69" s="121">
        <f t="shared" si="0"/>
        <v>235988.08000000005</v>
      </c>
      <c r="K69" s="121">
        <f t="shared" si="4"/>
        <v>18194.850000000035</v>
      </c>
      <c r="N69" s="129"/>
      <c r="O69" s="129"/>
      <c r="P69" s="129"/>
    </row>
    <row r="70" spans="1:16" s="120" customFormat="1" ht="18" hidden="1" customHeight="1" outlineLevel="1" x14ac:dyDescent="0.25">
      <c r="A70" s="108"/>
      <c r="B70" s="156"/>
      <c r="C70" s="155"/>
      <c r="D70" s="117">
        <f t="shared" si="1"/>
        <v>41729</v>
      </c>
      <c r="E70" s="156"/>
      <c r="F70" s="121">
        <v>98102.77</v>
      </c>
      <c r="G70" s="156"/>
      <c r="H70" s="121">
        <v>193072.52</v>
      </c>
      <c r="I70" s="123">
        <f t="shared" si="3"/>
        <v>42915.560000000056</v>
      </c>
      <c r="J70" s="121">
        <f t="shared" si="0"/>
        <v>141018.33000000007</v>
      </c>
      <c r="K70" s="121">
        <f t="shared" si="4"/>
        <v>42915.560000000056</v>
      </c>
      <c r="N70" s="129"/>
      <c r="O70" s="129"/>
      <c r="P70" s="129"/>
    </row>
    <row r="71" spans="1:16" s="120" customFormat="1" ht="18" hidden="1" customHeight="1" outlineLevel="1" x14ac:dyDescent="0.25">
      <c r="A71" s="108"/>
      <c r="B71" s="156"/>
      <c r="C71" s="155"/>
      <c r="D71" s="117">
        <f t="shared" si="1"/>
        <v>41759</v>
      </c>
      <c r="E71" s="156"/>
      <c r="F71" s="121">
        <v>113314.45</v>
      </c>
      <c r="G71" s="156"/>
      <c r="H71" s="121">
        <v>101513.61</v>
      </c>
      <c r="I71" s="123">
        <f t="shared" si="3"/>
        <v>39504.720000000074</v>
      </c>
      <c r="J71" s="121">
        <f t="shared" si="0"/>
        <v>152819.17000000007</v>
      </c>
      <c r="K71" s="121">
        <f t="shared" si="4"/>
        <v>39504.720000000074</v>
      </c>
      <c r="N71" s="129"/>
      <c r="O71" s="129"/>
      <c r="P71" s="129"/>
    </row>
    <row r="72" spans="1:16" s="120" customFormat="1" ht="18" hidden="1" customHeight="1" outlineLevel="1" x14ac:dyDescent="0.25">
      <c r="A72" s="108"/>
      <c r="B72" s="156"/>
      <c r="C72" s="155"/>
      <c r="D72" s="117">
        <f t="shared" si="1"/>
        <v>41790</v>
      </c>
      <c r="E72" s="156"/>
      <c r="F72" s="121">
        <v>91030.33</v>
      </c>
      <c r="G72" s="156"/>
      <c r="H72" s="121">
        <v>160532.95000000001</v>
      </c>
      <c r="I72" s="123">
        <f t="shared" si="3"/>
        <v>-7713.7799999999406</v>
      </c>
      <c r="J72" s="121">
        <f t="shared" si="0"/>
        <v>83316.550000000061</v>
      </c>
      <c r="K72" s="121">
        <f t="shared" si="4"/>
        <v>-7713.7799999999406</v>
      </c>
      <c r="N72" s="129"/>
      <c r="O72" s="129"/>
      <c r="P72" s="129"/>
    </row>
    <row r="73" spans="1:16" s="120" customFormat="1" ht="18" hidden="1" customHeight="1" outlineLevel="1" x14ac:dyDescent="0.25">
      <c r="A73" s="108"/>
      <c r="B73" s="156"/>
      <c r="C73" s="155"/>
      <c r="D73" s="117">
        <f t="shared" si="1"/>
        <v>41820</v>
      </c>
      <c r="E73" s="156"/>
      <c r="F73" s="121">
        <v>168976.19</v>
      </c>
      <c r="G73" s="156"/>
      <c r="H73" s="121">
        <v>96993.67</v>
      </c>
      <c r="I73" s="123">
        <f t="shared" si="3"/>
        <v>-13677.119999999937</v>
      </c>
      <c r="J73" s="121">
        <f t="shared" si="0"/>
        <v>155299.07000000007</v>
      </c>
      <c r="K73" s="121">
        <f t="shared" si="4"/>
        <v>-13677.119999999937</v>
      </c>
      <c r="N73" s="129"/>
      <c r="O73" s="129"/>
      <c r="P73" s="129"/>
    </row>
    <row r="74" spans="1:16" s="120" customFormat="1" ht="18" hidden="1" customHeight="1" outlineLevel="1" x14ac:dyDescent="0.25">
      <c r="A74" s="108"/>
      <c r="B74" s="156"/>
      <c r="C74" s="155"/>
      <c r="D74" s="117">
        <f t="shared" si="1"/>
        <v>41851</v>
      </c>
      <c r="E74" s="156"/>
      <c r="F74" s="121">
        <v>170418.54</v>
      </c>
      <c r="G74" s="156"/>
      <c r="H74" s="121">
        <v>159434.49</v>
      </c>
      <c r="I74" s="123">
        <f t="shared" si="3"/>
        <v>-4135.4199999999255</v>
      </c>
      <c r="J74" s="121">
        <f t="shared" si="0"/>
        <v>166283.12000000008</v>
      </c>
      <c r="K74" s="121">
        <f t="shared" si="4"/>
        <v>-4135.4199999999255</v>
      </c>
      <c r="N74" s="129"/>
      <c r="O74" s="129"/>
      <c r="P74" s="129"/>
    </row>
    <row r="75" spans="1:16" s="120" customFormat="1" ht="18" hidden="1" customHeight="1" outlineLevel="1" x14ac:dyDescent="0.25">
      <c r="A75" s="108"/>
      <c r="B75" s="156"/>
      <c r="C75" s="155"/>
      <c r="D75" s="117">
        <f t="shared" si="1"/>
        <v>41882</v>
      </c>
      <c r="E75" s="156"/>
      <c r="F75" s="121">
        <v>219903.17</v>
      </c>
      <c r="G75" s="156"/>
      <c r="H75" s="121">
        <v>170870.17</v>
      </c>
      <c r="I75" s="123">
        <f t="shared" si="3"/>
        <v>-4587.0499999999302</v>
      </c>
      <c r="J75" s="121">
        <f t="shared" si="0"/>
        <v>215316.12000000008</v>
      </c>
      <c r="K75" s="121">
        <f t="shared" si="4"/>
        <v>-4587.0499999999302</v>
      </c>
      <c r="N75" s="129"/>
      <c r="O75" s="129"/>
      <c r="P75" s="129"/>
    </row>
    <row r="76" spans="1:16" s="120" customFormat="1" ht="18" hidden="1" customHeight="1" outlineLevel="1" x14ac:dyDescent="0.25">
      <c r="A76" s="108"/>
      <c r="B76" s="156"/>
      <c r="C76" s="155"/>
      <c r="D76" s="117">
        <f t="shared" si="1"/>
        <v>41912</v>
      </c>
      <c r="E76" s="156"/>
      <c r="F76" s="121">
        <v>184034.08</v>
      </c>
      <c r="G76" s="156"/>
      <c r="H76" s="121">
        <v>182387.3</v>
      </c>
      <c r="I76" s="123">
        <f t="shared" si="3"/>
        <v>32928.820000000094</v>
      </c>
      <c r="J76" s="121">
        <f t="shared" si="0"/>
        <v>216962.90000000008</v>
      </c>
      <c r="K76" s="121">
        <f t="shared" si="4"/>
        <v>32928.820000000094</v>
      </c>
      <c r="N76" s="129"/>
      <c r="O76" s="129"/>
      <c r="P76" s="129"/>
    </row>
    <row r="77" spans="1:16" s="120" customFormat="1" ht="18" hidden="1" customHeight="1" outlineLevel="1" x14ac:dyDescent="0.25">
      <c r="A77" s="108"/>
      <c r="B77" s="156"/>
      <c r="C77" s="155"/>
      <c r="D77" s="117">
        <f t="shared" si="1"/>
        <v>41943</v>
      </c>
      <c r="E77" s="156"/>
      <c r="F77" s="121">
        <v>139335.37</v>
      </c>
      <c r="G77" s="156"/>
      <c r="H77" s="121">
        <v>204118.31</v>
      </c>
      <c r="I77" s="123">
        <f t="shared" si="3"/>
        <v>12844.590000000084</v>
      </c>
      <c r="J77" s="121">
        <f t="shared" si="0"/>
        <v>152179.96000000008</v>
      </c>
      <c r="K77" s="121">
        <f t="shared" si="4"/>
        <v>12844.590000000084</v>
      </c>
      <c r="N77" s="129"/>
      <c r="O77" s="129"/>
      <c r="P77" s="129"/>
    </row>
    <row r="78" spans="1:16" s="120" customFormat="1" ht="18" hidden="1" customHeight="1" outlineLevel="1" x14ac:dyDescent="0.25">
      <c r="A78" s="108"/>
      <c r="B78" s="156"/>
      <c r="C78" s="155"/>
      <c r="D78" s="117">
        <f t="shared" si="1"/>
        <v>41973</v>
      </c>
      <c r="E78" s="156"/>
      <c r="F78" s="121">
        <v>211359.71</v>
      </c>
      <c r="G78" s="156"/>
      <c r="H78" s="121">
        <v>208426.6</v>
      </c>
      <c r="I78" s="123">
        <f t="shared" si="3"/>
        <v>-56246.639999999927</v>
      </c>
      <c r="J78" s="121">
        <f t="shared" ref="J78:J99" si="5">+F78+I78</f>
        <v>155113.07000000007</v>
      </c>
      <c r="K78" s="121">
        <f t="shared" si="4"/>
        <v>-56246.639999999927</v>
      </c>
      <c r="N78" s="129"/>
      <c r="O78" s="129"/>
      <c r="P78" s="129"/>
    </row>
    <row r="79" spans="1:16" s="120" customFormat="1" ht="18" hidden="1" customHeight="1" outlineLevel="1" x14ac:dyDescent="0.25">
      <c r="A79" s="108"/>
      <c r="B79" s="156"/>
      <c r="C79" s="155"/>
      <c r="D79" s="117">
        <f t="shared" ref="D79:D94" si="6">EOMONTH(D78,1)</f>
        <v>42004</v>
      </c>
      <c r="E79" s="156"/>
      <c r="F79" s="121">
        <v>229088.42</v>
      </c>
      <c r="G79" s="156"/>
      <c r="H79" s="121">
        <v>164311.25</v>
      </c>
      <c r="I79" s="123">
        <f t="shared" si="3"/>
        <v>-9198.1799999999348</v>
      </c>
      <c r="J79" s="121">
        <f t="shared" si="5"/>
        <v>219890.24000000008</v>
      </c>
      <c r="K79" s="121">
        <f t="shared" si="4"/>
        <v>-9198.1799999999348</v>
      </c>
      <c r="N79" s="129"/>
      <c r="O79" s="129"/>
      <c r="P79" s="129"/>
    </row>
    <row r="80" spans="1:16" s="120" customFormat="1" ht="18" hidden="1" customHeight="1" outlineLevel="1" x14ac:dyDescent="0.25">
      <c r="A80" s="108"/>
      <c r="B80" s="156"/>
      <c r="C80" s="155"/>
      <c r="D80" s="117">
        <f t="shared" si="6"/>
        <v>42035</v>
      </c>
      <c r="E80" s="156"/>
      <c r="F80" s="121">
        <v>286538.44</v>
      </c>
      <c r="G80" s="156"/>
      <c r="H80" s="121">
        <v>255435.99</v>
      </c>
      <c r="I80" s="123">
        <f t="shared" ref="I80:I91" si="7">K80</f>
        <v>-35545.749999999913</v>
      </c>
      <c r="J80" s="121">
        <f t="shared" si="5"/>
        <v>250992.69000000009</v>
      </c>
      <c r="K80" s="121">
        <f t="shared" si="4"/>
        <v>-35545.749999999913</v>
      </c>
      <c r="N80" s="129"/>
      <c r="O80" s="129"/>
      <c r="P80" s="129"/>
    </row>
    <row r="81" spans="1:16" s="120" customFormat="1" ht="18" hidden="1" customHeight="1" outlineLevel="1" x14ac:dyDescent="0.25">
      <c r="A81" s="108"/>
      <c r="B81" s="156"/>
      <c r="C81" s="155"/>
      <c r="D81" s="117">
        <f t="shared" si="6"/>
        <v>42063</v>
      </c>
      <c r="E81" s="156"/>
      <c r="F81" s="121">
        <v>297386.51</v>
      </c>
      <c r="G81" s="156"/>
      <c r="H81" s="121">
        <v>257668.3</v>
      </c>
      <c r="I81" s="123">
        <f t="shared" si="7"/>
        <v>-6675.6099999998987</v>
      </c>
      <c r="J81" s="121">
        <f t="shared" si="5"/>
        <v>290710.90000000014</v>
      </c>
      <c r="K81" s="121">
        <f t="shared" si="4"/>
        <v>-6675.6099999998987</v>
      </c>
      <c r="N81" s="129"/>
      <c r="O81" s="129"/>
      <c r="P81" s="129"/>
    </row>
    <row r="82" spans="1:16" s="120" customFormat="1" ht="18" hidden="1" customHeight="1" outlineLevel="1" x14ac:dyDescent="0.25">
      <c r="A82" s="108"/>
      <c r="B82" s="156"/>
      <c r="C82" s="155"/>
      <c r="D82" s="117">
        <f t="shared" si="6"/>
        <v>42094</v>
      </c>
      <c r="E82" s="156"/>
      <c r="F82" s="121">
        <v>152073.16</v>
      </c>
      <c r="G82" s="156"/>
      <c r="H82" s="121">
        <v>210205.58</v>
      </c>
      <c r="I82" s="123">
        <f t="shared" si="7"/>
        <v>80505.320000000153</v>
      </c>
      <c r="J82" s="121">
        <f t="shared" si="5"/>
        <v>232578.48000000016</v>
      </c>
      <c r="K82" s="121">
        <f t="shared" si="4"/>
        <v>80505.320000000153</v>
      </c>
      <c r="N82" s="129"/>
      <c r="O82" s="129"/>
      <c r="P82" s="129"/>
    </row>
    <row r="83" spans="1:16" s="120" customFormat="1" ht="18" hidden="1" customHeight="1" outlineLevel="1" x14ac:dyDescent="0.25">
      <c r="A83" s="108"/>
      <c r="B83" s="156"/>
      <c r="C83" s="155"/>
      <c r="D83" s="117">
        <f t="shared" si="6"/>
        <v>42124</v>
      </c>
      <c r="E83" s="156"/>
      <c r="F83" s="121">
        <v>65191.85</v>
      </c>
      <c r="G83" s="156"/>
      <c r="H83" s="121">
        <v>169601.13</v>
      </c>
      <c r="I83" s="123">
        <f t="shared" si="7"/>
        <v>62977.350000000151</v>
      </c>
      <c r="J83" s="121">
        <f t="shared" si="5"/>
        <v>128169.20000000016</v>
      </c>
      <c r="K83" s="121">
        <f t="shared" si="4"/>
        <v>62977.350000000151</v>
      </c>
      <c r="N83" s="129"/>
      <c r="O83" s="129"/>
      <c r="P83" s="129"/>
    </row>
    <row r="84" spans="1:16" s="120" customFormat="1" ht="18" hidden="1" customHeight="1" outlineLevel="1" x14ac:dyDescent="0.25">
      <c r="A84" s="108"/>
      <c r="B84" s="156"/>
      <c r="C84" s="155"/>
      <c r="D84" s="117">
        <f t="shared" si="6"/>
        <v>42155</v>
      </c>
      <c r="E84" s="156"/>
      <c r="F84" s="121">
        <v>79912.509999999995</v>
      </c>
      <c r="G84" s="156"/>
      <c r="H84" s="121">
        <v>137184.79999999999</v>
      </c>
      <c r="I84" s="123">
        <f t="shared" si="7"/>
        <v>-9015.5999999998312</v>
      </c>
      <c r="J84" s="121">
        <f t="shared" si="5"/>
        <v>70896.910000000164</v>
      </c>
      <c r="K84" s="121">
        <f t="shared" si="4"/>
        <v>-9015.5999999998312</v>
      </c>
      <c r="N84" s="129"/>
      <c r="O84" s="129"/>
      <c r="P84" s="129"/>
    </row>
    <row r="85" spans="1:16" s="120" customFormat="1" ht="18" hidden="1" customHeight="1" outlineLevel="1" x14ac:dyDescent="0.25">
      <c r="A85" s="108"/>
      <c r="B85" s="156"/>
      <c r="C85" s="155"/>
      <c r="D85" s="117">
        <f t="shared" si="6"/>
        <v>42185</v>
      </c>
      <c r="E85" s="156"/>
      <c r="F85" s="121">
        <v>206651.54</v>
      </c>
      <c r="G85" s="156"/>
      <c r="H85" s="121">
        <v>86584.34</v>
      </c>
      <c r="I85" s="123">
        <f t="shared" si="7"/>
        <v>-15687.429999999833</v>
      </c>
      <c r="J85" s="121">
        <f t="shared" si="5"/>
        <v>190964.11000000016</v>
      </c>
      <c r="K85" s="121">
        <f t="shared" si="4"/>
        <v>-15687.429999999833</v>
      </c>
      <c r="N85" s="129"/>
      <c r="O85" s="129"/>
      <c r="P85" s="129"/>
    </row>
    <row r="86" spans="1:16" s="120" customFormat="1" ht="18" hidden="1" customHeight="1" outlineLevel="1" x14ac:dyDescent="0.25">
      <c r="A86" s="108"/>
      <c r="B86" s="156"/>
      <c r="C86" s="155"/>
      <c r="D86" s="117">
        <f t="shared" si="6"/>
        <v>42216</v>
      </c>
      <c r="E86" s="156"/>
      <c r="F86" s="121">
        <v>158428.23000000001</v>
      </c>
      <c r="G86" s="156"/>
      <c r="H86" s="121">
        <v>210312.63</v>
      </c>
      <c r="I86" s="123">
        <f t="shared" si="7"/>
        <v>-19348.519999999844</v>
      </c>
      <c r="J86" s="121">
        <f t="shared" si="5"/>
        <v>139079.71000000017</v>
      </c>
      <c r="K86" s="121">
        <f t="shared" si="4"/>
        <v>-19348.519999999844</v>
      </c>
      <c r="N86" s="129"/>
      <c r="O86" s="129"/>
      <c r="P86" s="129"/>
    </row>
    <row r="87" spans="1:16" s="120" customFormat="1" ht="18" hidden="1" customHeight="1" outlineLevel="1" x14ac:dyDescent="0.25">
      <c r="A87" s="108"/>
      <c r="B87" s="156"/>
      <c r="C87" s="155"/>
      <c r="D87" s="117">
        <f t="shared" si="6"/>
        <v>42247</v>
      </c>
      <c r="E87" s="156"/>
      <c r="F87" s="121">
        <v>174083.64</v>
      </c>
      <c r="G87" s="156"/>
      <c r="H87" s="121">
        <v>82888.960000000006</v>
      </c>
      <c r="I87" s="123">
        <f t="shared" si="7"/>
        <v>56190.75000000016</v>
      </c>
      <c r="J87" s="121">
        <f t="shared" si="5"/>
        <v>230274.39000000019</v>
      </c>
      <c r="K87" s="121">
        <f t="shared" si="4"/>
        <v>56190.75000000016</v>
      </c>
      <c r="N87" s="129"/>
      <c r="O87" s="129"/>
      <c r="P87" s="129"/>
    </row>
    <row r="88" spans="1:16" s="120" customFormat="1" ht="18" hidden="1" customHeight="1" outlineLevel="1" x14ac:dyDescent="0.25">
      <c r="A88" s="108"/>
      <c r="B88" s="156"/>
      <c r="C88" s="155"/>
      <c r="D88" s="117">
        <f t="shared" si="6"/>
        <v>42277</v>
      </c>
      <c r="E88" s="156"/>
      <c r="F88" s="121">
        <v>130639.7</v>
      </c>
      <c r="G88" s="156"/>
      <c r="H88" s="121">
        <v>208580.79</v>
      </c>
      <c r="I88" s="123">
        <f t="shared" si="7"/>
        <v>21693.60000000018</v>
      </c>
      <c r="J88" s="121">
        <f t="shared" si="5"/>
        <v>152333.30000000016</v>
      </c>
      <c r="K88" s="121">
        <f t="shared" si="4"/>
        <v>21693.60000000018</v>
      </c>
      <c r="N88" s="129"/>
      <c r="O88" s="129"/>
      <c r="P88" s="129"/>
    </row>
    <row r="89" spans="1:16" s="120" customFormat="1" ht="18" hidden="1" customHeight="1" outlineLevel="1" x14ac:dyDescent="0.25">
      <c r="A89" s="108"/>
      <c r="B89" s="156"/>
      <c r="C89" s="155"/>
      <c r="D89" s="117">
        <f t="shared" si="6"/>
        <v>42308</v>
      </c>
      <c r="E89" s="156"/>
      <c r="F89" s="121">
        <v>104292.15</v>
      </c>
      <c r="G89" s="156"/>
      <c r="H89" s="121">
        <v>176824.37</v>
      </c>
      <c r="I89" s="123">
        <f t="shared" si="7"/>
        <v>-24491.069999999832</v>
      </c>
      <c r="J89" s="121">
        <f t="shared" si="5"/>
        <v>79801.080000000162</v>
      </c>
      <c r="K89" s="121">
        <f t="shared" si="4"/>
        <v>-24491.069999999832</v>
      </c>
      <c r="N89" s="129"/>
      <c r="O89" s="129"/>
      <c r="P89" s="129"/>
    </row>
    <row r="90" spans="1:16" s="120" customFormat="1" ht="18" hidden="1" customHeight="1" outlineLevel="1" x14ac:dyDescent="0.25">
      <c r="A90" s="108"/>
      <c r="B90" s="156"/>
      <c r="C90" s="155"/>
      <c r="D90" s="117">
        <f t="shared" si="6"/>
        <v>42338</v>
      </c>
      <c r="E90" s="156"/>
      <c r="F90" s="121">
        <v>103872.75</v>
      </c>
      <c r="G90" s="156"/>
      <c r="H90" s="121">
        <v>90662.42</v>
      </c>
      <c r="I90" s="123">
        <f t="shared" si="7"/>
        <v>-10861.339999999836</v>
      </c>
      <c r="J90" s="121">
        <f t="shared" si="5"/>
        <v>93011.410000000164</v>
      </c>
      <c r="K90" s="121">
        <f t="shared" si="4"/>
        <v>-10861.339999999836</v>
      </c>
      <c r="N90" s="129"/>
      <c r="O90" s="129"/>
      <c r="P90" s="129"/>
    </row>
    <row r="91" spans="1:16" s="120" customFormat="1" ht="18" hidden="1" customHeight="1" outlineLevel="1" x14ac:dyDescent="0.25">
      <c r="A91" s="108"/>
      <c r="B91" s="156"/>
      <c r="C91" s="155"/>
      <c r="D91" s="117">
        <f t="shared" si="6"/>
        <v>42369</v>
      </c>
      <c r="E91" s="156"/>
      <c r="F91" s="121">
        <v>169349.34</v>
      </c>
      <c r="G91" s="156"/>
      <c r="H91" s="121">
        <v>104171.39</v>
      </c>
      <c r="I91" s="123">
        <f t="shared" si="7"/>
        <v>-11159.979999999836</v>
      </c>
      <c r="J91" s="121">
        <f t="shared" si="5"/>
        <v>158189.36000000016</v>
      </c>
      <c r="K91" s="121">
        <f t="shared" si="4"/>
        <v>-11159.979999999836</v>
      </c>
      <c r="N91" s="129"/>
      <c r="O91" s="129"/>
      <c r="P91" s="129"/>
    </row>
    <row r="92" spans="1:16" s="120" customFormat="1" ht="18" hidden="1" customHeight="1" outlineLevel="1" x14ac:dyDescent="0.25">
      <c r="A92" s="108"/>
      <c r="B92" s="156"/>
      <c r="C92" s="155"/>
      <c r="D92" s="117">
        <f t="shared" si="6"/>
        <v>42400</v>
      </c>
      <c r="E92" s="156"/>
      <c r="F92" s="121">
        <v>261390.79</v>
      </c>
      <c r="G92" s="156"/>
      <c r="H92" s="121">
        <v>210644.46</v>
      </c>
      <c r="I92" s="123">
        <f>K92</f>
        <v>-52455.099999999831</v>
      </c>
      <c r="J92" s="121">
        <f t="shared" si="5"/>
        <v>208935.69000000018</v>
      </c>
      <c r="K92" s="121">
        <f t="shared" si="4"/>
        <v>-52455.099999999831</v>
      </c>
      <c r="N92" s="129"/>
      <c r="O92" s="129"/>
      <c r="P92" s="129"/>
    </row>
    <row r="93" spans="1:16" s="120" customFormat="1" ht="18" hidden="1" customHeight="1" outlineLevel="1" x14ac:dyDescent="0.25">
      <c r="A93" s="108"/>
      <c r="B93" s="156"/>
      <c r="C93" s="155"/>
      <c r="D93" s="117">
        <f t="shared" si="6"/>
        <v>42429</v>
      </c>
      <c r="E93" s="156"/>
      <c r="F93" s="121">
        <v>199292.59</v>
      </c>
      <c r="G93" s="156"/>
      <c r="H93" s="121">
        <v>181653.02</v>
      </c>
      <c r="I93" s="123">
        <f t="shared" ref="I93:I99" si="8">K93</f>
        <v>27282.670000000187</v>
      </c>
      <c r="J93" s="121">
        <f t="shared" si="5"/>
        <v>226575.26000000018</v>
      </c>
      <c r="K93" s="121">
        <f t="shared" si="4"/>
        <v>27282.670000000187</v>
      </c>
      <c r="N93" s="129"/>
      <c r="O93" s="129"/>
      <c r="P93" s="129"/>
    </row>
    <row r="94" spans="1:16" s="120" customFormat="1" ht="18" hidden="1" customHeight="1" outlineLevel="1" x14ac:dyDescent="0.25">
      <c r="A94" s="108"/>
      <c r="B94" s="156"/>
      <c r="C94" s="155"/>
      <c r="D94" s="117">
        <f t="shared" si="6"/>
        <v>42460</v>
      </c>
      <c r="E94" s="156"/>
      <c r="F94" s="121">
        <v>131376.82</v>
      </c>
      <c r="G94" s="156"/>
      <c r="H94" s="121">
        <v>171165.59</v>
      </c>
      <c r="I94" s="123">
        <f t="shared" si="8"/>
        <v>55409.670000000187</v>
      </c>
      <c r="J94" s="121">
        <f t="shared" si="5"/>
        <v>186786.49000000019</v>
      </c>
      <c r="K94" s="121">
        <f t="shared" si="4"/>
        <v>55409.670000000187</v>
      </c>
      <c r="N94" s="129"/>
      <c r="O94" s="129"/>
      <c r="P94" s="129"/>
    </row>
    <row r="95" spans="1:16" s="120" customFormat="1" ht="18" hidden="1" customHeight="1" outlineLevel="1" x14ac:dyDescent="0.25">
      <c r="A95" s="108"/>
      <c r="B95" s="156"/>
      <c r="C95" s="155"/>
      <c r="D95" s="117">
        <f t="shared" ref="D95:D100" si="9">EOMONTH(D94,1)</f>
        <v>42490</v>
      </c>
      <c r="E95" s="156"/>
      <c r="F95" s="121">
        <v>137205.23000000001</v>
      </c>
      <c r="G95" s="156"/>
      <c r="H95" s="121">
        <v>168227.27</v>
      </c>
      <c r="I95" s="123">
        <f t="shared" si="8"/>
        <v>18559.220000000205</v>
      </c>
      <c r="J95" s="121">
        <f t="shared" si="5"/>
        <v>155764.45000000022</v>
      </c>
      <c r="K95" s="121">
        <f t="shared" si="4"/>
        <v>18559.220000000205</v>
      </c>
      <c r="N95" s="129"/>
      <c r="O95" s="129"/>
      <c r="P95" s="129"/>
    </row>
    <row r="96" spans="1:16" s="120" customFormat="1" ht="18" hidden="1" customHeight="1" outlineLevel="1" x14ac:dyDescent="0.25">
      <c r="A96" s="108"/>
      <c r="B96" s="156"/>
      <c r="C96" s="155"/>
      <c r="D96" s="117">
        <f t="shared" si="9"/>
        <v>42521</v>
      </c>
      <c r="E96" s="156"/>
      <c r="F96" s="121">
        <v>171691.28</v>
      </c>
      <c r="G96" s="156"/>
      <c r="H96" s="121">
        <v>152841.82999999999</v>
      </c>
      <c r="I96" s="123">
        <f t="shared" si="8"/>
        <v>2922.6200000002282</v>
      </c>
      <c r="J96" s="121">
        <f t="shared" si="5"/>
        <v>174613.90000000023</v>
      </c>
      <c r="K96" s="121">
        <f t="shared" si="4"/>
        <v>2922.6200000002282</v>
      </c>
      <c r="N96" s="129"/>
      <c r="O96" s="129"/>
      <c r="P96" s="129"/>
    </row>
    <row r="97" spans="1:16" s="120" customFormat="1" ht="18" hidden="1" customHeight="1" outlineLevel="1" x14ac:dyDescent="0.25">
      <c r="A97" s="108"/>
      <c r="B97" s="156"/>
      <c r="C97" s="155"/>
      <c r="D97" s="117">
        <f t="shared" si="9"/>
        <v>42551</v>
      </c>
      <c r="E97" s="156"/>
      <c r="F97" s="121">
        <v>221938.05</v>
      </c>
      <c r="G97" s="156"/>
      <c r="H97" s="121">
        <v>225207.28</v>
      </c>
      <c r="I97" s="123">
        <f t="shared" si="8"/>
        <v>-50593.379999999772</v>
      </c>
      <c r="J97" s="121">
        <f t="shared" si="5"/>
        <v>171344.67000000022</v>
      </c>
      <c r="K97" s="121">
        <f t="shared" si="4"/>
        <v>-50593.379999999772</v>
      </c>
      <c r="N97" s="129"/>
      <c r="O97" s="129"/>
      <c r="P97" s="129"/>
    </row>
    <row r="98" spans="1:16" s="120" customFormat="1" ht="18" hidden="1" customHeight="1" outlineLevel="1" x14ac:dyDescent="0.25">
      <c r="A98" s="108"/>
      <c r="B98" s="156"/>
      <c r="C98" s="155"/>
      <c r="D98" s="117">
        <f t="shared" si="9"/>
        <v>42582</v>
      </c>
      <c r="E98" s="156"/>
      <c r="F98" s="121">
        <v>299202.24</v>
      </c>
      <c r="G98" s="156"/>
      <c r="H98" s="121">
        <v>183552.54</v>
      </c>
      <c r="I98" s="123">
        <f t="shared" si="8"/>
        <v>-12207.869999999792</v>
      </c>
      <c r="J98" s="121">
        <f t="shared" si="5"/>
        <v>286994.37000000023</v>
      </c>
      <c r="K98" s="121">
        <f t="shared" si="4"/>
        <v>-12207.869999999792</v>
      </c>
      <c r="N98" s="129"/>
      <c r="O98" s="129"/>
      <c r="P98" s="129"/>
    </row>
    <row r="99" spans="1:16" s="120" customFormat="1" ht="18" hidden="1" customHeight="1" outlineLevel="1" x14ac:dyDescent="0.25">
      <c r="A99" s="108"/>
      <c r="B99" s="156"/>
      <c r="C99" s="155"/>
      <c r="D99" s="117">
        <f t="shared" si="9"/>
        <v>42613</v>
      </c>
      <c r="E99" s="156"/>
      <c r="F99" s="121">
        <v>242802.51</v>
      </c>
      <c r="G99" s="156"/>
      <c r="H99" s="121">
        <v>287498.51</v>
      </c>
      <c r="I99" s="123">
        <f t="shared" si="8"/>
        <v>-504.13999999978114</v>
      </c>
      <c r="J99" s="121">
        <f t="shared" si="5"/>
        <v>242298.37000000023</v>
      </c>
      <c r="K99" s="121">
        <f t="shared" si="4"/>
        <v>-504.13999999978114</v>
      </c>
      <c r="N99" s="129"/>
      <c r="O99" s="129"/>
      <c r="P99" s="129"/>
    </row>
    <row r="100" spans="1:16" s="120" customFormat="1" ht="18" hidden="1" customHeight="1" outlineLevel="1" x14ac:dyDescent="0.25">
      <c r="A100" s="108"/>
      <c r="B100" s="156"/>
      <c r="C100" s="155"/>
      <c r="D100" s="117">
        <f t="shared" si="9"/>
        <v>42643</v>
      </c>
      <c r="E100" s="156"/>
      <c r="F100" s="121">
        <v>218382.09</v>
      </c>
      <c r="G100" s="156"/>
      <c r="H100" s="121">
        <v>215553.97</v>
      </c>
      <c r="I100" s="123">
        <f>K100</f>
        <v>26744.400000000227</v>
      </c>
      <c r="J100" s="121">
        <f>+F100+I100</f>
        <v>245126.49000000022</v>
      </c>
      <c r="K100" s="121">
        <f>J99-H100</f>
        <v>26744.400000000227</v>
      </c>
      <c r="N100" s="129"/>
      <c r="O100" s="129"/>
      <c r="P100" s="129"/>
    </row>
    <row r="101" spans="1:16" s="120" customFormat="1" ht="18" hidden="1" customHeight="1" outlineLevel="1" x14ac:dyDescent="0.25">
      <c r="A101" s="108"/>
      <c r="B101" s="156"/>
      <c r="C101" s="155"/>
      <c r="D101" s="117">
        <f t="shared" ref="D101:D109" si="10">EOMONTH(D100,1)</f>
        <v>42674</v>
      </c>
      <c r="E101" s="156"/>
      <c r="F101" s="121">
        <v>148221.75</v>
      </c>
      <c r="G101" s="156"/>
      <c r="H101" s="121">
        <v>200734.68</v>
      </c>
      <c r="I101" s="123">
        <f t="shared" ref="I101:I111" si="11">K101</f>
        <v>44391.810000000231</v>
      </c>
      <c r="J101" s="121">
        <f t="shared" ref="J101:J111" si="12">+F101+I101</f>
        <v>192613.56000000023</v>
      </c>
      <c r="K101" s="121">
        <f t="shared" ref="K101:K111" si="13">J100-H101</f>
        <v>44391.810000000231</v>
      </c>
      <c r="N101" s="129"/>
      <c r="O101" s="129"/>
      <c r="P101" s="129"/>
    </row>
    <row r="102" spans="1:16" s="120" customFormat="1" ht="18" hidden="1" customHeight="1" outlineLevel="1" x14ac:dyDescent="0.25">
      <c r="A102" s="108"/>
      <c r="B102" s="156"/>
      <c r="C102" s="155"/>
      <c r="D102" s="117">
        <f t="shared" si="10"/>
        <v>42704</v>
      </c>
      <c r="E102" s="156"/>
      <c r="F102" s="121">
        <v>226477.62</v>
      </c>
      <c r="G102" s="156"/>
      <c r="H102" s="121">
        <v>221519.15</v>
      </c>
      <c r="I102" s="123">
        <f t="shared" si="11"/>
        <v>-28905.589999999764</v>
      </c>
      <c r="J102" s="121">
        <f t="shared" si="12"/>
        <v>197572.03000000023</v>
      </c>
      <c r="K102" s="121">
        <f t="shared" si="13"/>
        <v>-28905.589999999764</v>
      </c>
      <c r="N102" s="129"/>
      <c r="O102" s="129"/>
      <c r="P102" s="129"/>
    </row>
    <row r="103" spans="1:16" s="120" customFormat="1" ht="18" hidden="1" customHeight="1" outlineLevel="1" x14ac:dyDescent="0.25">
      <c r="A103" s="108"/>
      <c r="B103" s="156"/>
      <c r="C103" s="155"/>
      <c r="D103" s="117">
        <f t="shared" si="10"/>
        <v>42735</v>
      </c>
      <c r="E103" s="156"/>
      <c r="F103" s="121">
        <v>424977.47</v>
      </c>
      <c r="G103" s="156"/>
      <c r="H103" s="121">
        <v>276941.27</v>
      </c>
      <c r="I103" s="123">
        <f t="shared" si="11"/>
        <v>-79369.239999999787</v>
      </c>
      <c r="J103" s="121">
        <f t="shared" si="12"/>
        <v>345608.23000000021</v>
      </c>
      <c r="K103" s="121">
        <f t="shared" si="13"/>
        <v>-79369.239999999787</v>
      </c>
      <c r="N103" s="129"/>
      <c r="O103" s="129"/>
      <c r="P103" s="129"/>
    </row>
    <row r="104" spans="1:16" s="120" customFormat="1" ht="18" hidden="1" customHeight="1" outlineLevel="1" x14ac:dyDescent="0.25">
      <c r="A104" s="108"/>
      <c r="B104" s="156"/>
      <c r="C104" s="155"/>
      <c r="D104" s="117">
        <f t="shared" si="10"/>
        <v>42766</v>
      </c>
      <c r="E104" s="156"/>
      <c r="F104" s="121">
        <v>381401.58</v>
      </c>
      <c r="G104" s="156"/>
      <c r="H104" s="121">
        <v>320741.32</v>
      </c>
      <c r="I104" s="123">
        <f t="shared" si="11"/>
        <v>24866.910000000207</v>
      </c>
      <c r="J104" s="121">
        <f t="shared" si="12"/>
        <v>406268.49000000022</v>
      </c>
      <c r="K104" s="121">
        <f t="shared" si="13"/>
        <v>24866.910000000207</v>
      </c>
      <c r="N104" s="129"/>
      <c r="O104" s="129"/>
      <c r="P104" s="129"/>
    </row>
    <row r="105" spans="1:16" s="120" customFormat="1" ht="18" hidden="1" customHeight="1" outlineLevel="1" x14ac:dyDescent="0.25">
      <c r="A105" s="108"/>
      <c r="B105" s="156"/>
      <c r="C105" s="155"/>
      <c r="D105" s="117">
        <f t="shared" si="10"/>
        <v>42794</v>
      </c>
      <c r="E105" s="156"/>
      <c r="F105" s="121">
        <v>242966.79</v>
      </c>
      <c r="G105" s="156"/>
      <c r="H105" s="121">
        <v>335431.59000000003</v>
      </c>
      <c r="I105" s="123">
        <f t="shared" si="11"/>
        <v>70836.900000000198</v>
      </c>
      <c r="J105" s="121">
        <f t="shared" si="12"/>
        <v>313803.69000000018</v>
      </c>
      <c r="K105" s="121">
        <f t="shared" si="13"/>
        <v>70836.900000000198</v>
      </c>
      <c r="N105" s="129"/>
      <c r="O105" s="129"/>
      <c r="P105" s="129"/>
    </row>
    <row r="106" spans="1:16" s="120" customFormat="1" ht="18" hidden="1" customHeight="1" outlineLevel="1" x14ac:dyDescent="0.25">
      <c r="A106" s="108"/>
      <c r="B106" s="156"/>
      <c r="C106" s="155"/>
      <c r="D106" s="117">
        <f t="shared" si="10"/>
        <v>42825</v>
      </c>
      <c r="E106" s="156"/>
      <c r="F106" s="121">
        <v>185275.41</v>
      </c>
      <c r="G106" s="156"/>
      <c r="H106" s="121">
        <v>311174.02</v>
      </c>
      <c r="I106" s="123">
        <f t="shared" si="11"/>
        <v>2629.6700000001583</v>
      </c>
      <c r="J106" s="121">
        <f t="shared" si="12"/>
        <v>187905.08000000016</v>
      </c>
      <c r="K106" s="121">
        <f t="shared" si="13"/>
        <v>2629.6700000001583</v>
      </c>
      <c r="N106" s="129"/>
      <c r="O106" s="129"/>
      <c r="P106" s="129"/>
    </row>
    <row r="107" spans="1:16" s="120" customFormat="1" ht="18" hidden="1" customHeight="1" outlineLevel="1" x14ac:dyDescent="0.25">
      <c r="A107" s="108"/>
      <c r="B107" s="156"/>
      <c r="C107" s="155"/>
      <c r="D107" s="117">
        <f t="shared" si="10"/>
        <v>42855</v>
      </c>
      <c r="E107" s="156"/>
      <c r="F107" s="121">
        <v>152489.5</v>
      </c>
      <c r="G107" s="156"/>
      <c r="H107" s="121">
        <v>147829.29</v>
      </c>
      <c r="I107" s="123">
        <f t="shared" si="11"/>
        <v>40075.790000000154</v>
      </c>
      <c r="J107" s="121">
        <f t="shared" si="12"/>
        <v>192565.29000000015</v>
      </c>
      <c r="K107" s="121">
        <f t="shared" si="13"/>
        <v>40075.790000000154</v>
      </c>
      <c r="N107" s="129"/>
      <c r="O107" s="129"/>
      <c r="P107" s="129"/>
    </row>
    <row r="108" spans="1:16" s="120" customFormat="1" ht="18" hidden="1" customHeight="1" outlineLevel="1" x14ac:dyDescent="0.25">
      <c r="A108" s="108"/>
      <c r="B108" s="156"/>
      <c r="C108" s="155"/>
      <c r="D108" s="117">
        <f t="shared" si="10"/>
        <v>42886</v>
      </c>
      <c r="E108" s="156"/>
      <c r="F108" s="121">
        <v>181050.93</v>
      </c>
      <c r="G108" s="156"/>
      <c r="H108" s="121">
        <v>209530.18</v>
      </c>
      <c r="I108" s="123">
        <f t="shared" si="11"/>
        <v>-16964.889999999839</v>
      </c>
      <c r="J108" s="121">
        <f t="shared" si="12"/>
        <v>164086.04000000015</v>
      </c>
      <c r="K108" s="121">
        <f t="shared" si="13"/>
        <v>-16964.889999999839</v>
      </c>
      <c r="N108" s="129"/>
      <c r="O108" s="129"/>
      <c r="P108" s="129"/>
    </row>
    <row r="109" spans="1:16" s="120" customFormat="1" ht="18" hidden="1" customHeight="1" outlineLevel="1" x14ac:dyDescent="0.25">
      <c r="A109" s="108"/>
      <c r="B109" s="156"/>
      <c r="C109" s="155"/>
      <c r="D109" s="117">
        <f t="shared" si="10"/>
        <v>42916</v>
      </c>
      <c r="E109" s="156"/>
      <c r="F109" s="121">
        <v>285414.89</v>
      </c>
      <c r="G109" s="156"/>
      <c r="H109" s="121">
        <v>190518.97</v>
      </c>
      <c r="I109" s="123">
        <f t="shared" si="11"/>
        <v>-26432.929999999847</v>
      </c>
      <c r="J109" s="121">
        <f t="shared" si="12"/>
        <v>258981.96000000017</v>
      </c>
      <c r="K109" s="121">
        <f t="shared" si="13"/>
        <v>-26432.929999999847</v>
      </c>
      <c r="N109" s="129"/>
      <c r="O109" s="129"/>
      <c r="P109" s="129"/>
    </row>
    <row r="110" spans="1:16" s="120" customFormat="1" ht="18" hidden="1" customHeight="1" outlineLevel="1" x14ac:dyDescent="0.25">
      <c r="A110" s="108">
        <v>8</v>
      </c>
      <c r="B110" s="131">
        <v>42887</v>
      </c>
      <c r="C110" s="140">
        <v>0.10875093</v>
      </c>
      <c r="D110" s="117">
        <v>42917</v>
      </c>
      <c r="E110" s="131">
        <v>42948</v>
      </c>
      <c r="F110" s="121">
        <v>371196.1</v>
      </c>
      <c r="G110" s="131">
        <v>42979</v>
      </c>
      <c r="H110" s="121">
        <v>299468.40000000002</v>
      </c>
      <c r="I110" s="123">
        <f t="shared" si="11"/>
        <v>-40486.439999999857</v>
      </c>
      <c r="J110" s="121">
        <f t="shared" si="12"/>
        <v>330709.66000000015</v>
      </c>
      <c r="K110" s="121">
        <f t="shared" si="13"/>
        <v>-40486.439999999857</v>
      </c>
      <c r="N110" s="129"/>
      <c r="O110" s="129"/>
      <c r="P110" s="129"/>
    </row>
    <row r="111" spans="1:16" s="120" customFormat="1" ht="18" hidden="1" customHeight="1" outlineLevel="1" x14ac:dyDescent="0.25">
      <c r="A111" s="108">
        <v>9</v>
      </c>
      <c r="B111" s="131">
        <f t="shared" ref="B111:B174" si="14">EOMONTH(B110,1)</f>
        <v>42947</v>
      </c>
      <c r="C111" s="140">
        <v>8.6012889999999995E-2</v>
      </c>
      <c r="D111" s="117">
        <f t="shared" ref="D111:D142" si="15">EOMONTH(D110,1)</f>
        <v>42978</v>
      </c>
      <c r="E111" s="131">
        <f t="shared" ref="E111:E142" si="16">EOMONTH(E110,1)</f>
        <v>43008</v>
      </c>
      <c r="F111" s="121">
        <v>260586.21</v>
      </c>
      <c r="G111" s="131">
        <f t="shared" ref="G111:G135" si="17">EOMONTH(E111,1)</f>
        <v>43039</v>
      </c>
      <c r="H111" s="121">
        <v>297171.11</v>
      </c>
      <c r="I111" s="123">
        <f t="shared" si="11"/>
        <v>33538.550000000163</v>
      </c>
      <c r="J111" s="121">
        <f t="shared" si="12"/>
        <v>294124.76000000013</v>
      </c>
      <c r="K111" s="121">
        <f t="shared" si="13"/>
        <v>33538.550000000163</v>
      </c>
      <c r="N111" s="129"/>
      <c r="O111" s="129"/>
      <c r="P111" s="129"/>
    </row>
    <row r="112" spans="1:16" s="120" customFormat="1" ht="18" hidden="1" customHeight="1" outlineLevel="1" x14ac:dyDescent="0.25">
      <c r="A112" s="108">
        <v>10</v>
      </c>
      <c r="B112" s="131">
        <f t="shared" si="14"/>
        <v>42978</v>
      </c>
      <c r="C112" s="140">
        <f>'Att(1of6)(JP-Non)'!C112</f>
        <v>4.5882630000000001E-2</v>
      </c>
      <c r="D112" s="117">
        <f t="shared" si="15"/>
        <v>43008</v>
      </c>
      <c r="E112" s="131">
        <f t="shared" si="16"/>
        <v>43039</v>
      </c>
      <c r="F112" s="121">
        <v>122542.77</v>
      </c>
      <c r="G112" s="131">
        <f t="shared" si="17"/>
        <v>43069</v>
      </c>
      <c r="H112" s="121">
        <v>245543.06</v>
      </c>
      <c r="I112" s="123">
        <f t="shared" ref="I112:I135" si="18">K112</f>
        <v>48581.700000000128</v>
      </c>
      <c r="J112" s="121">
        <f t="shared" ref="J112:J135" si="19">+F112+I112</f>
        <v>171124.47000000015</v>
      </c>
      <c r="K112" s="121">
        <f t="shared" ref="K112:K135" si="20">J111-H112</f>
        <v>48581.700000000128</v>
      </c>
      <c r="N112" s="129"/>
      <c r="O112" s="129"/>
      <c r="P112" s="129"/>
    </row>
    <row r="113" spans="1:16" s="120" customFormat="1" ht="18" hidden="1" customHeight="1" outlineLevel="1" x14ac:dyDescent="0.25">
      <c r="A113" s="108">
        <v>11</v>
      </c>
      <c r="B113" s="131">
        <f t="shared" si="14"/>
        <v>43008</v>
      </c>
      <c r="C113" s="140">
        <f>'Att(1of6)(JP-Non)'!C113</f>
        <v>8.1473870000000004E-2</v>
      </c>
      <c r="D113" s="117">
        <f t="shared" si="15"/>
        <v>43039</v>
      </c>
      <c r="E113" s="131">
        <f t="shared" si="16"/>
        <v>43069</v>
      </c>
      <c r="F113" s="121">
        <v>194911.13</v>
      </c>
      <c r="G113" s="131">
        <f t="shared" si="17"/>
        <v>43100</v>
      </c>
      <c r="H113" s="121">
        <v>168920.48</v>
      </c>
      <c r="I113" s="123">
        <f t="shared" si="18"/>
        <v>2203.9900000001362</v>
      </c>
      <c r="J113" s="121">
        <f t="shared" si="19"/>
        <v>197115.12000000014</v>
      </c>
      <c r="K113" s="121">
        <f t="shared" si="20"/>
        <v>2203.9900000001362</v>
      </c>
      <c r="N113" s="129"/>
      <c r="O113" s="129"/>
      <c r="P113" s="129"/>
    </row>
    <row r="114" spans="1:16" s="120" customFormat="1" ht="18" hidden="1" customHeight="1" outlineLevel="1" x14ac:dyDescent="0.25">
      <c r="A114" s="108">
        <v>12</v>
      </c>
      <c r="B114" s="131">
        <f t="shared" si="14"/>
        <v>43039</v>
      </c>
      <c r="C114" s="140">
        <f>'Att(1of6)(JP-Non)'!C114</f>
        <v>8.3922060000000007E-2</v>
      </c>
      <c r="D114" s="117">
        <f t="shared" si="15"/>
        <v>43069</v>
      </c>
      <c r="E114" s="131">
        <f t="shared" si="16"/>
        <v>43100</v>
      </c>
      <c r="F114" s="121">
        <v>249380.42</v>
      </c>
      <c r="G114" s="131">
        <f t="shared" si="17"/>
        <v>43131</v>
      </c>
      <c r="H114" s="121">
        <v>237135.24</v>
      </c>
      <c r="I114" s="123">
        <f t="shared" si="18"/>
        <v>-40020.11999999985</v>
      </c>
      <c r="J114" s="121">
        <f t="shared" si="19"/>
        <v>209360.30000000016</v>
      </c>
      <c r="K114" s="121">
        <f t="shared" si="20"/>
        <v>-40020.11999999985</v>
      </c>
      <c r="N114" s="129"/>
      <c r="O114" s="129"/>
      <c r="P114" s="129"/>
    </row>
    <row r="115" spans="1:16" s="120" customFormat="1" ht="18" hidden="1" customHeight="1" outlineLevel="1" x14ac:dyDescent="0.25">
      <c r="A115" s="108">
        <v>13</v>
      </c>
      <c r="B115" s="131">
        <f t="shared" si="14"/>
        <v>43069</v>
      </c>
      <c r="C115" s="140">
        <f>'Att(1of6)(JP-Non)'!C115</f>
        <v>9.3462320000000002E-2</v>
      </c>
      <c r="D115" s="117">
        <f t="shared" si="15"/>
        <v>43100</v>
      </c>
      <c r="E115" s="131">
        <f t="shared" si="16"/>
        <v>43131</v>
      </c>
      <c r="F115" s="121">
        <v>361579.38</v>
      </c>
      <c r="G115" s="131">
        <f t="shared" si="17"/>
        <v>43159</v>
      </c>
      <c r="H115" s="121">
        <v>276860.19</v>
      </c>
      <c r="I115" s="123">
        <f t="shared" si="18"/>
        <v>-67499.889999999839</v>
      </c>
      <c r="J115" s="121">
        <f t="shared" si="19"/>
        <v>294079.49000000017</v>
      </c>
      <c r="K115" s="121">
        <f t="shared" si="20"/>
        <v>-67499.889999999839</v>
      </c>
      <c r="N115" s="129"/>
      <c r="O115" s="129"/>
      <c r="P115" s="129"/>
    </row>
    <row r="116" spans="1:16" s="120" customFormat="1" ht="18" hidden="1" customHeight="1" outlineLevel="1" x14ac:dyDescent="0.25">
      <c r="A116" s="108">
        <v>14</v>
      </c>
      <c r="B116" s="131">
        <f t="shared" si="14"/>
        <v>43100</v>
      </c>
      <c r="C116" s="140">
        <f>'Att(1of6)(JP-Non)'!C116</f>
        <v>8.6848540000000002E-2</v>
      </c>
      <c r="D116" s="117">
        <f t="shared" si="15"/>
        <v>43131</v>
      </c>
      <c r="E116" s="131">
        <f t="shared" si="16"/>
        <v>43159</v>
      </c>
      <c r="F116" s="121">
        <v>408742.59</v>
      </c>
      <c r="G116" s="131">
        <f t="shared" si="17"/>
        <v>43190</v>
      </c>
      <c r="H116" s="121">
        <v>345056.56</v>
      </c>
      <c r="I116" s="123">
        <f t="shared" si="18"/>
        <v>-50977.069999999832</v>
      </c>
      <c r="J116" s="121">
        <f t="shared" si="19"/>
        <v>357765.52000000019</v>
      </c>
      <c r="K116" s="121">
        <f t="shared" si="20"/>
        <v>-50977.069999999832</v>
      </c>
      <c r="N116" s="129"/>
      <c r="O116" s="129"/>
      <c r="P116" s="129"/>
    </row>
    <row r="117" spans="1:16" s="120" customFormat="1" ht="18" hidden="1" customHeight="1" outlineLevel="1" x14ac:dyDescent="0.25">
      <c r="A117" s="108">
        <v>15</v>
      </c>
      <c r="B117" s="131">
        <f t="shared" si="14"/>
        <v>43131</v>
      </c>
      <c r="C117" s="140">
        <f>'Att(1of6)(JP-Non)'!C117</f>
        <v>8.9125689999999994E-2</v>
      </c>
      <c r="D117" s="117">
        <f t="shared" si="15"/>
        <v>43159</v>
      </c>
      <c r="E117" s="131">
        <f t="shared" si="16"/>
        <v>43190</v>
      </c>
      <c r="F117" s="121">
        <v>300816.32</v>
      </c>
      <c r="G117" s="131">
        <f t="shared" si="17"/>
        <v>43220</v>
      </c>
      <c r="H117" s="121">
        <v>256702.39</v>
      </c>
      <c r="I117" s="123">
        <f t="shared" si="18"/>
        <v>101063.13000000018</v>
      </c>
      <c r="J117" s="121">
        <f t="shared" si="19"/>
        <v>401879.45000000019</v>
      </c>
      <c r="K117" s="121">
        <f t="shared" si="20"/>
        <v>101063.13000000018</v>
      </c>
      <c r="N117" s="129"/>
      <c r="O117" s="129"/>
      <c r="P117" s="129"/>
    </row>
    <row r="118" spans="1:16" s="120" customFormat="1" ht="18" hidden="1" customHeight="1" outlineLevel="1" x14ac:dyDescent="0.25">
      <c r="A118" s="108">
        <v>16</v>
      </c>
      <c r="B118" s="131">
        <f t="shared" si="14"/>
        <v>43159</v>
      </c>
      <c r="C118" s="140">
        <f>'Att(1of6)(JP-Non)'!C118</f>
        <v>6.4310989999999998E-2</v>
      </c>
      <c r="D118" s="117">
        <f t="shared" si="15"/>
        <v>43190</v>
      </c>
      <c r="E118" s="131">
        <f t="shared" si="16"/>
        <v>43220</v>
      </c>
      <c r="F118" s="121">
        <v>210450.74</v>
      </c>
      <c r="G118" s="131">
        <f t="shared" si="17"/>
        <v>43251</v>
      </c>
      <c r="H118" s="121">
        <v>393950.59</v>
      </c>
      <c r="I118" s="123">
        <f t="shared" si="18"/>
        <v>7928.8600000001607</v>
      </c>
      <c r="J118" s="121">
        <f t="shared" si="19"/>
        <v>218379.60000000015</v>
      </c>
      <c r="K118" s="121">
        <f t="shared" si="20"/>
        <v>7928.8600000001607</v>
      </c>
      <c r="N118" s="129"/>
      <c r="O118" s="129"/>
      <c r="P118" s="129"/>
    </row>
    <row r="119" spans="1:16" s="120" customFormat="1" ht="18" hidden="1" customHeight="1" outlineLevel="1" x14ac:dyDescent="0.25">
      <c r="A119" s="108">
        <v>17</v>
      </c>
      <c r="B119" s="131">
        <f t="shared" si="14"/>
        <v>43190</v>
      </c>
      <c r="C119" s="140">
        <f>'Att(1of6)(JP-Non)'!C119</f>
        <v>8.5307889999999997E-2</v>
      </c>
      <c r="D119" s="117">
        <f t="shared" si="15"/>
        <v>43220</v>
      </c>
      <c r="E119" s="131">
        <f t="shared" si="16"/>
        <v>43251</v>
      </c>
      <c r="F119" s="121">
        <v>227526.64</v>
      </c>
      <c r="G119" s="131">
        <f t="shared" si="17"/>
        <v>43281</v>
      </c>
      <c r="H119" s="121">
        <v>182788.46</v>
      </c>
      <c r="I119" s="123">
        <f t="shared" si="18"/>
        <v>35591.140000000159</v>
      </c>
      <c r="J119" s="121">
        <f t="shared" si="19"/>
        <v>263117.78000000014</v>
      </c>
      <c r="K119" s="121">
        <f t="shared" si="20"/>
        <v>35591.140000000159</v>
      </c>
      <c r="N119" s="129"/>
      <c r="O119" s="129"/>
      <c r="P119" s="129"/>
    </row>
    <row r="120" spans="1:16" s="120" customFormat="1" ht="18" hidden="1" customHeight="1" outlineLevel="1" x14ac:dyDescent="0.25">
      <c r="A120" s="108">
        <v>18</v>
      </c>
      <c r="B120" s="131">
        <f t="shared" si="14"/>
        <v>43220</v>
      </c>
      <c r="C120" s="140">
        <f>'Att(1of6)(JP-Non)'!C120</f>
        <v>8.1429319999999999E-2</v>
      </c>
      <c r="D120" s="117">
        <f t="shared" si="15"/>
        <v>43251</v>
      </c>
      <c r="E120" s="131">
        <f t="shared" si="16"/>
        <v>43281</v>
      </c>
      <c r="F120" s="121">
        <v>226317.65</v>
      </c>
      <c r="G120" s="131">
        <f t="shared" si="17"/>
        <v>43312</v>
      </c>
      <c r="H120" s="121">
        <v>268616.95</v>
      </c>
      <c r="I120" s="123">
        <f t="shared" si="18"/>
        <v>-5499.1699999998673</v>
      </c>
      <c r="J120" s="121">
        <f t="shared" si="19"/>
        <v>220818.48000000013</v>
      </c>
      <c r="K120" s="121">
        <f t="shared" si="20"/>
        <v>-5499.1699999998673</v>
      </c>
      <c r="N120" s="129"/>
      <c r="O120" s="129"/>
      <c r="P120" s="129"/>
    </row>
    <row r="121" spans="1:16" s="120" customFormat="1" ht="18" hidden="1" customHeight="1" outlineLevel="1" x14ac:dyDescent="0.25">
      <c r="A121" s="108">
        <v>19</v>
      </c>
      <c r="B121" s="131">
        <f t="shared" si="14"/>
        <v>43251</v>
      </c>
      <c r="C121" s="140">
        <f>'Att(1of6)(JP-Non)'!C121</f>
        <v>9.4201789999999994E-2</v>
      </c>
      <c r="D121" s="117">
        <f t="shared" si="15"/>
        <v>43281</v>
      </c>
      <c r="E121" s="131">
        <f t="shared" si="16"/>
        <v>43312</v>
      </c>
      <c r="F121" s="121">
        <v>295025.74</v>
      </c>
      <c r="G121" s="131">
        <f t="shared" si="17"/>
        <v>43343</v>
      </c>
      <c r="H121" s="121">
        <v>258813.54</v>
      </c>
      <c r="I121" s="123">
        <f t="shared" si="18"/>
        <v>-37995.059999999881</v>
      </c>
      <c r="J121" s="121">
        <f t="shared" si="19"/>
        <v>257030.68000000011</v>
      </c>
      <c r="K121" s="121">
        <f t="shared" si="20"/>
        <v>-37995.059999999881</v>
      </c>
      <c r="N121" s="129"/>
      <c r="O121" s="129"/>
      <c r="P121" s="129"/>
    </row>
    <row r="122" spans="1:16" s="120" customFormat="1" ht="18" hidden="1" customHeight="1" outlineLevel="1" x14ac:dyDescent="0.25">
      <c r="A122" s="108">
        <v>20</v>
      </c>
      <c r="B122" s="131">
        <f t="shared" si="14"/>
        <v>43281</v>
      </c>
      <c r="C122" s="140">
        <f>'Att(1of6)(JP-Non)'!C122</f>
        <v>8.5653030000000005E-2</v>
      </c>
      <c r="D122" s="117">
        <f t="shared" si="15"/>
        <v>43312</v>
      </c>
      <c r="E122" s="131">
        <f t="shared" si="16"/>
        <v>43343</v>
      </c>
      <c r="F122" s="121">
        <v>290813.63</v>
      </c>
      <c r="G122" s="131">
        <f t="shared" si="17"/>
        <v>43373</v>
      </c>
      <c r="H122" s="121">
        <v>284208.88</v>
      </c>
      <c r="I122" s="123">
        <f t="shared" si="18"/>
        <v>-27178.199999999895</v>
      </c>
      <c r="J122" s="121">
        <f t="shared" si="19"/>
        <v>263635.43000000011</v>
      </c>
      <c r="K122" s="121">
        <f t="shared" si="20"/>
        <v>-27178.199999999895</v>
      </c>
      <c r="N122" s="129"/>
      <c r="O122" s="129"/>
      <c r="P122" s="129"/>
    </row>
    <row r="123" spans="1:16" s="120" customFormat="1" ht="18" hidden="1" customHeight="1" outlineLevel="1" x14ac:dyDescent="0.25">
      <c r="A123" s="108">
        <v>21</v>
      </c>
      <c r="B123" s="131">
        <f t="shared" si="14"/>
        <v>43312</v>
      </c>
      <c r="C123" s="140">
        <f>'Att(1of6)(JP-Non)'!C123</f>
        <v>9.7209050000000005E-2</v>
      </c>
      <c r="D123" s="117">
        <f t="shared" si="15"/>
        <v>43343</v>
      </c>
      <c r="E123" s="131">
        <f t="shared" si="16"/>
        <v>43373</v>
      </c>
      <c r="F123" s="121">
        <v>308373.32</v>
      </c>
      <c r="G123" s="131">
        <f t="shared" si="17"/>
        <v>43404</v>
      </c>
      <c r="H123" s="121">
        <v>248511.93</v>
      </c>
      <c r="I123" s="123">
        <f t="shared" si="18"/>
        <v>15123.500000000116</v>
      </c>
      <c r="J123" s="121">
        <f t="shared" si="19"/>
        <v>323496.82000000012</v>
      </c>
      <c r="K123" s="121">
        <f t="shared" si="20"/>
        <v>15123.500000000116</v>
      </c>
      <c r="N123" s="129"/>
      <c r="O123" s="129"/>
      <c r="P123" s="129"/>
    </row>
    <row r="124" spans="1:16" s="120" customFormat="1" ht="18" hidden="1" customHeight="1" outlineLevel="1" x14ac:dyDescent="0.25">
      <c r="A124" s="108">
        <v>22</v>
      </c>
      <c r="B124" s="131">
        <f t="shared" si="14"/>
        <v>43343</v>
      </c>
      <c r="C124" s="140">
        <f>'Att(1of6)(JP-Non)'!C124</f>
        <v>6.773962E-2</v>
      </c>
      <c r="D124" s="117">
        <f t="shared" si="15"/>
        <v>43373</v>
      </c>
      <c r="E124" s="131">
        <f t="shared" si="16"/>
        <v>43404</v>
      </c>
      <c r="F124" s="121">
        <v>197820.24</v>
      </c>
      <c r="G124" s="131">
        <f t="shared" si="17"/>
        <v>43434</v>
      </c>
      <c r="H124" s="121">
        <v>292894.53000000003</v>
      </c>
      <c r="I124" s="123">
        <f t="shared" si="18"/>
        <v>30602.290000000095</v>
      </c>
      <c r="J124" s="121">
        <f t="shared" si="19"/>
        <v>228422.53000000009</v>
      </c>
      <c r="K124" s="121">
        <f t="shared" si="20"/>
        <v>30602.290000000095</v>
      </c>
      <c r="N124" s="129"/>
      <c r="O124" s="129"/>
      <c r="P124" s="129"/>
    </row>
    <row r="125" spans="1:16" s="120" customFormat="1" ht="18" hidden="1" customHeight="1" outlineLevel="1" x14ac:dyDescent="0.25">
      <c r="A125" s="108">
        <v>23</v>
      </c>
      <c r="B125" s="131">
        <f t="shared" si="14"/>
        <v>43373</v>
      </c>
      <c r="C125" s="140">
        <f>'Att(1of6)(JP-Non)'!C125</f>
        <v>9.6567710000000001E-2</v>
      </c>
      <c r="D125" s="117">
        <f t="shared" si="15"/>
        <v>43404</v>
      </c>
      <c r="E125" s="131">
        <f t="shared" si="16"/>
        <v>43434</v>
      </c>
      <c r="F125" s="121">
        <v>261011.33</v>
      </c>
      <c r="G125" s="131">
        <f t="shared" si="17"/>
        <v>43465</v>
      </c>
      <c r="H125" s="121">
        <v>212002.41</v>
      </c>
      <c r="I125" s="123">
        <f t="shared" si="18"/>
        <v>16420.120000000083</v>
      </c>
      <c r="J125" s="121">
        <f t="shared" si="19"/>
        <v>277431.45000000007</v>
      </c>
      <c r="K125" s="121">
        <f t="shared" si="20"/>
        <v>16420.120000000083</v>
      </c>
      <c r="N125" s="129"/>
      <c r="O125" s="129"/>
      <c r="P125" s="129"/>
    </row>
    <row r="126" spans="1:16" s="120" customFormat="1" ht="18" hidden="1" customHeight="1" outlineLevel="1" x14ac:dyDescent="0.25">
      <c r="A126" s="108">
        <v>24</v>
      </c>
      <c r="B126" s="131">
        <f t="shared" si="14"/>
        <v>43404</v>
      </c>
      <c r="C126" s="140">
        <f>'Att(1of6)(JP-Non)'!C126</f>
        <v>9.6868129999999997E-2</v>
      </c>
      <c r="D126" s="117">
        <f t="shared" si="15"/>
        <v>43434</v>
      </c>
      <c r="E126" s="131">
        <f t="shared" si="16"/>
        <v>43465</v>
      </c>
      <c r="F126" s="121">
        <v>332959.28000000003</v>
      </c>
      <c r="G126" s="131">
        <f t="shared" si="17"/>
        <v>43496</v>
      </c>
      <c r="H126" s="121">
        <v>330074.15999999997</v>
      </c>
      <c r="I126" s="123">
        <f t="shared" si="18"/>
        <v>-52642.709999999905</v>
      </c>
      <c r="J126" s="121">
        <f t="shared" si="19"/>
        <v>280316.57000000012</v>
      </c>
      <c r="K126" s="121">
        <f t="shared" si="20"/>
        <v>-52642.709999999905</v>
      </c>
      <c r="N126" s="129"/>
      <c r="O126" s="129"/>
      <c r="P126" s="129"/>
    </row>
    <row r="127" spans="1:16" s="120" customFormat="1" ht="18" hidden="1" customHeight="1" outlineLevel="1" x14ac:dyDescent="0.25">
      <c r="A127" s="108">
        <v>25</v>
      </c>
      <c r="B127" s="131">
        <f t="shared" si="14"/>
        <v>43434</v>
      </c>
      <c r="C127" s="140">
        <f>'Att(1of6)(JP-Non)'!C127</f>
        <v>0.10872047</v>
      </c>
      <c r="D127" s="117">
        <f t="shared" si="15"/>
        <v>43465</v>
      </c>
      <c r="E127" s="131">
        <f t="shared" si="16"/>
        <v>43496</v>
      </c>
      <c r="F127" s="121">
        <v>383033.48</v>
      </c>
      <c r="G127" s="131">
        <f t="shared" si="17"/>
        <v>43524</v>
      </c>
      <c r="H127" s="121">
        <v>300886.28999999998</v>
      </c>
      <c r="I127" s="123">
        <f t="shared" si="18"/>
        <v>-20569.719999999856</v>
      </c>
      <c r="J127" s="121">
        <f t="shared" si="19"/>
        <v>362463.76000000013</v>
      </c>
      <c r="K127" s="121">
        <f t="shared" si="20"/>
        <v>-20569.719999999856</v>
      </c>
      <c r="N127" s="129"/>
      <c r="O127" s="129"/>
      <c r="P127" s="129"/>
    </row>
    <row r="128" spans="1:16" s="120" customFormat="1" ht="18" hidden="1" customHeight="1" outlineLevel="1" x14ac:dyDescent="0.25">
      <c r="A128" s="108">
        <v>26</v>
      </c>
      <c r="B128" s="131">
        <f t="shared" si="14"/>
        <v>43465</v>
      </c>
      <c r="C128" s="140">
        <f>'Att(1of6)(JP-Non)'!C128</f>
        <v>0.10952069</v>
      </c>
      <c r="D128" s="117">
        <f t="shared" si="15"/>
        <v>43496</v>
      </c>
      <c r="E128" s="131">
        <f t="shared" si="16"/>
        <v>43524</v>
      </c>
      <c r="F128" s="121">
        <v>465385.34</v>
      </c>
      <c r="G128" s="131">
        <f t="shared" si="17"/>
        <v>43555</v>
      </c>
      <c r="H128" s="121">
        <v>391512.4</v>
      </c>
      <c r="I128" s="123">
        <f t="shared" si="18"/>
        <v>-29048.639999999898</v>
      </c>
      <c r="J128" s="121">
        <f t="shared" si="19"/>
        <v>436336.70000000013</v>
      </c>
      <c r="K128" s="121">
        <f t="shared" si="20"/>
        <v>-29048.639999999898</v>
      </c>
      <c r="N128" s="129"/>
      <c r="O128" s="129"/>
      <c r="P128" s="129"/>
    </row>
    <row r="129" spans="1:16" s="120" customFormat="1" ht="18" hidden="1" customHeight="1" outlineLevel="1" x14ac:dyDescent="0.25">
      <c r="A129" s="108">
        <v>27</v>
      </c>
      <c r="B129" s="131">
        <f t="shared" si="14"/>
        <v>43496</v>
      </c>
      <c r="C129" s="140">
        <f>'Att(1of6)(JP-Non)'!C129</f>
        <v>9.6100149999999995E-2</v>
      </c>
      <c r="D129" s="117">
        <f t="shared" si="15"/>
        <v>43524</v>
      </c>
      <c r="E129" s="131">
        <f t="shared" si="16"/>
        <v>43555</v>
      </c>
      <c r="F129" s="121">
        <v>303544.93</v>
      </c>
      <c r="G129" s="131">
        <f t="shared" si="17"/>
        <v>43585</v>
      </c>
      <c r="H129" s="121">
        <v>382070.5</v>
      </c>
      <c r="I129" s="123">
        <f t="shared" si="18"/>
        <v>54266.200000000128</v>
      </c>
      <c r="J129" s="121">
        <f t="shared" si="19"/>
        <v>357811.13000000012</v>
      </c>
      <c r="K129" s="121">
        <f t="shared" si="20"/>
        <v>54266.200000000128</v>
      </c>
      <c r="N129" s="129"/>
      <c r="O129" s="129"/>
      <c r="P129" s="129"/>
    </row>
    <row r="130" spans="1:16" s="120" customFormat="1" ht="18" hidden="1" customHeight="1" outlineLevel="1" x14ac:dyDescent="0.25">
      <c r="A130" s="108">
        <v>28</v>
      </c>
      <c r="B130" s="131">
        <f t="shared" si="14"/>
        <v>43524</v>
      </c>
      <c r="C130" s="140">
        <f>'Att(1of6)(JP-Non)'!C130</f>
        <v>7.8860360000000004E-2</v>
      </c>
      <c r="D130" s="117">
        <f t="shared" si="15"/>
        <v>43555</v>
      </c>
      <c r="E130" s="131">
        <f t="shared" si="16"/>
        <v>43585</v>
      </c>
      <c r="F130" s="121">
        <v>281141.62</v>
      </c>
      <c r="G130" s="131">
        <f t="shared" si="17"/>
        <v>43616</v>
      </c>
      <c r="H130" s="121">
        <v>355547.6</v>
      </c>
      <c r="I130" s="123">
        <f t="shared" si="18"/>
        <v>2263.5300000001444</v>
      </c>
      <c r="J130" s="121">
        <f t="shared" si="19"/>
        <v>283405.15000000014</v>
      </c>
      <c r="K130" s="121">
        <f t="shared" si="20"/>
        <v>2263.5300000001444</v>
      </c>
      <c r="N130" s="129"/>
      <c r="O130" s="129"/>
      <c r="P130" s="129"/>
    </row>
    <row r="131" spans="1:16" s="120" customFormat="1" ht="18" hidden="1" customHeight="1" outlineLevel="1" x14ac:dyDescent="0.25">
      <c r="A131" s="108">
        <v>29</v>
      </c>
      <c r="B131" s="131">
        <f t="shared" si="14"/>
        <v>43555</v>
      </c>
      <c r="C131" s="140">
        <f>'Att(1of6)(JP-Non)'!C131</f>
        <v>8.642946E-2</v>
      </c>
      <c r="D131" s="117">
        <f t="shared" si="15"/>
        <v>43585</v>
      </c>
      <c r="E131" s="131">
        <f t="shared" si="16"/>
        <v>43616</v>
      </c>
      <c r="F131" s="121">
        <v>208444.41</v>
      </c>
      <c r="G131" s="131">
        <f t="shared" si="17"/>
        <v>43646</v>
      </c>
      <c r="H131" s="121">
        <v>197122.3</v>
      </c>
      <c r="I131" s="123">
        <f t="shared" si="18"/>
        <v>86282.850000000151</v>
      </c>
      <c r="J131" s="121">
        <f t="shared" si="19"/>
        <v>294727.26000000013</v>
      </c>
      <c r="K131" s="121">
        <f t="shared" si="20"/>
        <v>86282.850000000151</v>
      </c>
      <c r="N131" s="129"/>
      <c r="O131" s="129"/>
      <c r="P131" s="129"/>
    </row>
    <row r="132" spans="1:16" s="120" customFormat="1" ht="18" hidden="1" customHeight="1" outlineLevel="1" x14ac:dyDescent="0.25">
      <c r="A132" s="108">
        <v>30</v>
      </c>
      <c r="B132" s="131">
        <f t="shared" si="14"/>
        <v>43585</v>
      </c>
      <c r="C132" s="140">
        <f>'Att(1of6)(JP-Non)'!C132</f>
        <v>7.4784340000000005E-2</v>
      </c>
      <c r="D132" s="117">
        <f t="shared" si="15"/>
        <v>43616</v>
      </c>
      <c r="E132" s="131">
        <f t="shared" si="16"/>
        <v>43646</v>
      </c>
      <c r="F132" s="121">
        <v>196633.76</v>
      </c>
      <c r="G132" s="131">
        <f t="shared" si="17"/>
        <v>43677</v>
      </c>
      <c r="H132" s="121">
        <v>318246.44</v>
      </c>
      <c r="I132" s="123">
        <f t="shared" si="18"/>
        <v>-23519.179999999877</v>
      </c>
      <c r="J132" s="121">
        <f t="shared" si="19"/>
        <v>173114.58000000013</v>
      </c>
      <c r="K132" s="121">
        <f t="shared" si="20"/>
        <v>-23519.179999999877</v>
      </c>
      <c r="N132" s="129"/>
      <c r="O132" s="129"/>
      <c r="P132" s="129"/>
    </row>
    <row r="133" spans="1:16" s="120" customFormat="1" ht="18" hidden="1" customHeight="1" outlineLevel="1" x14ac:dyDescent="0.25">
      <c r="A133" s="108">
        <v>31</v>
      </c>
      <c r="B133" s="131">
        <f t="shared" si="14"/>
        <v>43616</v>
      </c>
      <c r="C133" s="140">
        <f>'Att(1of6)(JP-Non)'!C133</f>
        <v>9.9774479999999999E-2</v>
      </c>
      <c r="D133" s="117">
        <f t="shared" si="15"/>
        <v>43646</v>
      </c>
      <c r="E133" s="131">
        <f t="shared" si="16"/>
        <v>43677</v>
      </c>
      <c r="F133" s="121">
        <v>285542.81</v>
      </c>
      <c r="G133" s="131">
        <f t="shared" si="17"/>
        <v>43708</v>
      </c>
      <c r="H133" s="121">
        <v>190469.95</v>
      </c>
      <c r="I133" s="123">
        <f t="shared" si="18"/>
        <v>-17355.369999999879</v>
      </c>
      <c r="J133" s="121">
        <f t="shared" si="19"/>
        <v>268187.44000000012</v>
      </c>
      <c r="K133" s="121">
        <f t="shared" si="20"/>
        <v>-17355.369999999879</v>
      </c>
      <c r="N133" s="129"/>
      <c r="O133" s="129"/>
      <c r="P133" s="129"/>
    </row>
    <row r="134" spans="1:16" s="120" customFormat="1" ht="18" hidden="1" customHeight="1" outlineLevel="1" x14ac:dyDescent="0.25">
      <c r="A134" s="108">
        <v>32</v>
      </c>
      <c r="B134" s="131">
        <f t="shared" si="14"/>
        <v>43646</v>
      </c>
      <c r="C134" s="140">
        <f>'Att(1of6)(JP-Non)'!C134</f>
        <v>8.8896310000000006E-2</v>
      </c>
      <c r="D134" s="117">
        <f t="shared" si="15"/>
        <v>43677</v>
      </c>
      <c r="E134" s="131">
        <f t="shared" si="16"/>
        <v>43708</v>
      </c>
      <c r="F134" s="121">
        <v>294089.65999999997</v>
      </c>
      <c r="G134" s="131">
        <f t="shared" si="17"/>
        <v>43738</v>
      </c>
      <c r="H134" s="121">
        <v>330911.42</v>
      </c>
      <c r="I134" s="123">
        <f t="shared" si="18"/>
        <v>-62723.979999999865</v>
      </c>
      <c r="J134" s="121">
        <f t="shared" si="19"/>
        <v>231365.68000000011</v>
      </c>
      <c r="K134" s="121">
        <f t="shared" si="20"/>
        <v>-62723.979999999865</v>
      </c>
      <c r="N134" s="129"/>
      <c r="O134" s="129"/>
      <c r="P134" s="129"/>
    </row>
    <row r="135" spans="1:16" s="120" customFormat="1" ht="18" hidden="1" customHeight="1" outlineLevel="1" x14ac:dyDescent="0.25">
      <c r="A135" s="108">
        <f>+A13+1</f>
        <v>1</v>
      </c>
      <c r="B135" s="131">
        <f t="shared" si="14"/>
        <v>43677</v>
      </c>
      <c r="C135" s="140">
        <f>'Att(1of6)(JP-Non)'!C135</f>
        <v>9.3644240000000004E-2</v>
      </c>
      <c r="D135" s="117">
        <f t="shared" si="15"/>
        <v>43708</v>
      </c>
      <c r="E135" s="131">
        <f t="shared" si="16"/>
        <v>43738</v>
      </c>
      <c r="F135" s="121">
        <v>304053.2</v>
      </c>
      <c r="G135" s="131">
        <f t="shared" si="17"/>
        <v>43769</v>
      </c>
      <c r="H135" s="121">
        <v>219602.36</v>
      </c>
      <c r="I135" s="123">
        <f t="shared" si="18"/>
        <v>11763.320000000123</v>
      </c>
      <c r="J135" s="121">
        <f t="shared" si="19"/>
        <v>315816.52000000014</v>
      </c>
      <c r="K135" s="121">
        <f t="shared" si="20"/>
        <v>11763.320000000123</v>
      </c>
      <c r="N135" s="129"/>
      <c r="O135" s="129"/>
      <c r="P135" s="129"/>
    </row>
    <row r="136" spans="1:16" s="120" customFormat="1" ht="18" hidden="1" customHeight="1" outlineLevel="1" x14ac:dyDescent="0.25">
      <c r="A136" s="108">
        <f>+A13+1</f>
        <v>1</v>
      </c>
      <c r="B136" s="131">
        <f t="shared" si="14"/>
        <v>43708</v>
      </c>
      <c r="C136" s="140">
        <f>'Att(1of6)(JP-Non)'!C136</f>
        <v>6.5542030000000001E-2</v>
      </c>
      <c r="D136" s="117">
        <f t="shared" si="15"/>
        <v>43738</v>
      </c>
      <c r="E136" s="131">
        <f t="shared" si="16"/>
        <v>43769</v>
      </c>
      <c r="F136" s="121">
        <v>204877.39</v>
      </c>
      <c r="G136" s="131">
        <f t="shared" ref="G136:G160" si="21">EOMONTH(E136,1)</f>
        <v>43799</v>
      </c>
      <c r="H136" s="121">
        <v>304736.7</v>
      </c>
      <c r="I136" s="123">
        <f t="shared" ref="I136:I160" si="22">K136</f>
        <v>11079.820000000123</v>
      </c>
      <c r="J136" s="121">
        <f t="shared" ref="J136:J160" si="23">+F136+I136</f>
        <v>215957.21000000014</v>
      </c>
      <c r="K136" s="121">
        <f t="shared" ref="K136:K160" si="24">J135-H136</f>
        <v>11079.820000000123</v>
      </c>
      <c r="N136" s="129"/>
      <c r="O136" s="129"/>
      <c r="P136" s="129"/>
    </row>
    <row r="137" spans="1:16" s="120" customFormat="1" ht="18" hidden="1" customHeight="1" outlineLevel="1" x14ac:dyDescent="0.25">
      <c r="A137" s="108">
        <f t="shared" ref="A137:A200" si="25">+A136+1</f>
        <v>2</v>
      </c>
      <c r="B137" s="131">
        <f t="shared" si="14"/>
        <v>43738</v>
      </c>
      <c r="C137" s="140">
        <f>'Att(1of6)(JP-Non)'!C137</f>
        <v>6.2412290000000002E-2</v>
      </c>
      <c r="D137" s="117">
        <f t="shared" si="15"/>
        <v>43769</v>
      </c>
      <c r="E137" s="131">
        <f t="shared" si="16"/>
        <v>43799</v>
      </c>
      <c r="F137" s="121">
        <v>169058.21</v>
      </c>
      <c r="G137" s="131">
        <f t="shared" si="21"/>
        <v>43830</v>
      </c>
      <c r="H137" s="121">
        <v>171887.93</v>
      </c>
      <c r="I137" s="123">
        <f t="shared" si="22"/>
        <v>44069.280000000144</v>
      </c>
      <c r="J137" s="121">
        <f t="shared" si="23"/>
        <v>213127.49000000014</v>
      </c>
      <c r="K137" s="121">
        <f t="shared" si="24"/>
        <v>44069.280000000144</v>
      </c>
      <c r="N137" s="129"/>
      <c r="O137" s="129"/>
      <c r="P137" s="129"/>
    </row>
    <row r="138" spans="1:16" s="120" customFormat="1" ht="18" hidden="1" customHeight="1" outlineLevel="1" x14ac:dyDescent="0.25">
      <c r="A138" s="108">
        <f t="shared" si="25"/>
        <v>3</v>
      </c>
      <c r="B138" s="131">
        <f t="shared" si="14"/>
        <v>43769</v>
      </c>
      <c r="C138" s="140">
        <f>'Att(1of6)(JP-Non)'!C138</f>
        <v>5.4750090000000001E-2</v>
      </c>
      <c r="D138" s="117">
        <f t="shared" si="15"/>
        <v>43799</v>
      </c>
      <c r="E138" s="131">
        <f t="shared" si="16"/>
        <v>43830</v>
      </c>
      <c r="F138" s="121">
        <v>197670.13</v>
      </c>
      <c r="G138" s="131">
        <f t="shared" si="21"/>
        <v>43861</v>
      </c>
      <c r="H138" s="121">
        <v>286403.65999999997</v>
      </c>
      <c r="I138" s="123">
        <f t="shared" si="22"/>
        <v>-73276.169999999838</v>
      </c>
      <c r="J138" s="121">
        <f t="shared" si="23"/>
        <v>124393.96000000017</v>
      </c>
      <c r="K138" s="121">
        <f t="shared" si="24"/>
        <v>-73276.169999999838</v>
      </c>
      <c r="N138" s="129"/>
      <c r="O138" s="129"/>
      <c r="P138" s="129"/>
    </row>
    <row r="139" spans="1:16" s="120" customFormat="1" ht="18" hidden="1" customHeight="1" outlineLevel="1" x14ac:dyDescent="0.25">
      <c r="A139" s="108">
        <f t="shared" si="25"/>
        <v>4</v>
      </c>
      <c r="B139" s="131">
        <f t="shared" si="14"/>
        <v>43799</v>
      </c>
      <c r="C139" s="140">
        <f>'Att(1of6)(JP-Non)'!C139</f>
        <v>7.0155609999999993E-2</v>
      </c>
      <c r="D139" s="117">
        <f t="shared" si="15"/>
        <v>43830</v>
      </c>
      <c r="E139" s="131">
        <f t="shared" si="16"/>
        <v>43861</v>
      </c>
      <c r="F139" s="121">
        <v>255928.99</v>
      </c>
      <c r="G139" s="131">
        <f t="shared" si="21"/>
        <v>43890</v>
      </c>
      <c r="H139" s="121">
        <v>129713.69</v>
      </c>
      <c r="I139" s="123">
        <f t="shared" si="22"/>
        <v>-5319.7299999998359</v>
      </c>
      <c r="J139" s="121">
        <f t="shared" si="23"/>
        <v>250609.26000000015</v>
      </c>
      <c r="K139" s="121">
        <f t="shared" si="24"/>
        <v>-5319.7299999998359</v>
      </c>
      <c r="N139" s="129"/>
      <c r="O139" s="129"/>
      <c r="P139" s="129"/>
    </row>
    <row r="140" spans="1:16" s="120" customFormat="1" ht="18" hidden="1" customHeight="1" outlineLevel="1" x14ac:dyDescent="0.25">
      <c r="A140" s="108">
        <f t="shared" si="25"/>
        <v>5</v>
      </c>
      <c r="B140" s="131">
        <f t="shared" si="14"/>
        <v>43830</v>
      </c>
      <c r="C140" s="140">
        <f>'Att(1of6)(JP-Non)'!C140</f>
        <v>4.5191549999999997E-2</v>
      </c>
      <c r="D140" s="117">
        <f t="shared" si="15"/>
        <v>43861</v>
      </c>
      <c r="E140" s="131">
        <f t="shared" si="16"/>
        <v>43890</v>
      </c>
      <c r="F140" s="121">
        <v>158116.62</v>
      </c>
      <c r="G140" s="131">
        <f t="shared" si="21"/>
        <v>43921</v>
      </c>
      <c r="H140" s="121">
        <v>246009.1</v>
      </c>
      <c r="I140" s="123">
        <f t="shared" si="22"/>
        <v>4600.160000000149</v>
      </c>
      <c r="J140" s="121">
        <f t="shared" si="23"/>
        <v>162716.78000000014</v>
      </c>
      <c r="K140" s="121">
        <f t="shared" si="24"/>
        <v>4600.160000000149</v>
      </c>
      <c r="N140" s="129"/>
      <c r="O140" s="129"/>
      <c r="P140" s="129"/>
    </row>
    <row r="141" spans="1:16" s="120" customFormat="1" ht="18" hidden="1" customHeight="1" outlineLevel="1" x14ac:dyDescent="0.25">
      <c r="A141" s="108">
        <f t="shared" si="25"/>
        <v>6</v>
      </c>
      <c r="B141" s="131">
        <f t="shared" si="14"/>
        <v>43861</v>
      </c>
      <c r="C141" s="140">
        <f>'Att(1of6)(JP-Non)'!C141</f>
        <v>4.2630380000000002E-2</v>
      </c>
      <c r="D141" s="117">
        <f t="shared" si="15"/>
        <v>43890</v>
      </c>
      <c r="E141" s="131">
        <f t="shared" si="16"/>
        <v>43921</v>
      </c>
      <c r="F141" s="121">
        <v>150147.76999999999</v>
      </c>
      <c r="G141" s="131">
        <f t="shared" si="21"/>
        <v>43951</v>
      </c>
      <c r="H141" s="121">
        <v>162492.15</v>
      </c>
      <c r="I141" s="123">
        <f t="shared" si="22"/>
        <v>224.63000000015018</v>
      </c>
      <c r="J141" s="121">
        <f t="shared" si="23"/>
        <v>150372.40000000014</v>
      </c>
      <c r="K141" s="121">
        <f t="shared" si="24"/>
        <v>224.63000000015018</v>
      </c>
      <c r="N141" s="129"/>
      <c r="O141" s="129"/>
      <c r="P141" s="129"/>
    </row>
    <row r="142" spans="1:16" s="120" customFormat="1" ht="18" hidden="1" customHeight="1" outlineLevel="1" x14ac:dyDescent="0.25">
      <c r="A142" s="108">
        <f t="shared" si="25"/>
        <v>7</v>
      </c>
      <c r="B142" s="131">
        <f t="shared" si="14"/>
        <v>43890</v>
      </c>
      <c r="C142" s="140">
        <f>'Att(1of6)(JP-Non)'!C142</f>
        <v>5.358359E-2</v>
      </c>
      <c r="D142" s="117">
        <f t="shared" si="15"/>
        <v>43921</v>
      </c>
      <c r="E142" s="131">
        <f t="shared" si="16"/>
        <v>43951</v>
      </c>
      <c r="F142" s="121">
        <v>147976.81</v>
      </c>
      <c r="G142" s="131">
        <f t="shared" si="21"/>
        <v>43982</v>
      </c>
      <c r="H142" s="121">
        <v>122444.65</v>
      </c>
      <c r="I142" s="123">
        <f t="shared" si="22"/>
        <v>27927.750000000146</v>
      </c>
      <c r="J142" s="121">
        <f t="shared" si="23"/>
        <v>175904.56000000014</v>
      </c>
      <c r="K142" s="121">
        <f t="shared" si="24"/>
        <v>27927.750000000146</v>
      </c>
      <c r="N142" s="129"/>
      <c r="O142" s="129"/>
      <c r="P142" s="129"/>
    </row>
    <row r="143" spans="1:16" s="120" customFormat="1" ht="18" hidden="1" customHeight="1" outlineLevel="1" x14ac:dyDescent="0.25">
      <c r="A143" s="108">
        <f t="shared" si="25"/>
        <v>8</v>
      </c>
      <c r="B143" s="131">
        <f t="shared" si="14"/>
        <v>43921</v>
      </c>
      <c r="C143" s="140">
        <f>'Att(1of6)(JP-Non)'!C143</f>
        <v>4.8569349999999997E-2</v>
      </c>
      <c r="D143" s="117">
        <f t="shared" ref="D143:D174" si="26">EOMONTH(D142,1)</f>
        <v>43951</v>
      </c>
      <c r="E143" s="131">
        <f t="shared" ref="E143:E174" si="27">EOMONTH(E142,1)</f>
        <v>43982</v>
      </c>
      <c r="F143" s="121">
        <v>104625.86</v>
      </c>
      <c r="G143" s="131">
        <f t="shared" si="21"/>
        <v>44012</v>
      </c>
      <c r="H143" s="121">
        <v>154032.07</v>
      </c>
      <c r="I143" s="123">
        <f t="shared" si="22"/>
        <v>21872.490000000136</v>
      </c>
      <c r="J143" s="121">
        <f t="shared" si="23"/>
        <v>126498.35000000014</v>
      </c>
      <c r="K143" s="121">
        <f t="shared" si="24"/>
        <v>21872.490000000136</v>
      </c>
      <c r="N143" s="129"/>
      <c r="O143" s="129"/>
      <c r="P143" s="129"/>
    </row>
    <row r="144" spans="1:16" s="120" customFormat="1" ht="18" hidden="1" customHeight="1" outlineLevel="1" x14ac:dyDescent="0.25">
      <c r="A144" s="108">
        <f t="shared" si="25"/>
        <v>9</v>
      </c>
      <c r="B144" s="131">
        <f t="shared" si="14"/>
        <v>43951</v>
      </c>
      <c r="C144" s="140">
        <f>'Att(1of6)(JP-Non)'!C144</f>
        <v>4.5622419999999997E-2</v>
      </c>
      <c r="D144" s="117">
        <f t="shared" si="26"/>
        <v>43982</v>
      </c>
      <c r="E144" s="131">
        <f t="shared" si="27"/>
        <v>44012</v>
      </c>
      <c r="F144" s="121">
        <v>110731.88</v>
      </c>
      <c r="G144" s="131">
        <f t="shared" si="21"/>
        <v>44043</v>
      </c>
      <c r="H144" s="121">
        <v>126546.33</v>
      </c>
      <c r="I144" s="123">
        <f t="shared" si="22"/>
        <v>-47.979999999864958</v>
      </c>
      <c r="J144" s="121">
        <f t="shared" si="23"/>
        <v>110683.90000000014</v>
      </c>
      <c r="K144" s="121">
        <f t="shared" si="24"/>
        <v>-47.979999999864958</v>
      </c>
      <c r="N144" s="129"/>
      <c r="O144" s="129"/>
      <c r="P144" s="129"/>
    </row>
    <row r="145" spans="1:16" s="120" customFormat="1" ht="18" hidden="1" customHeight="1" outlineLevel="1" x14ac:dyDescent="0.25">
      <c r="A145" s="108">
        <f t="shared" si="25"/>
        <v>10</v>
      </c>
      <c r="B145" s="131">
        <f t="shared" si="14"/>
        <v>43982</v>
      </c>
      <c r="C145" s="140">
        <f>'Att(1of6)(JP-Non)'!C145</f>
        <v>5.1122569999999999E-2</v>
      </c>
      <c r="D145" s="117">
        <f t="shared" si="26"/>
        <v>44012</v>
      </c>
      <c r="E145" s="131">
        <f t="shared" si="27"/>
        <v>44043</v>
      </c>
      <c r="F145" s="121">
        <v>148374.60999999999</v>
      </c>
      <c r="G145" s="131">
        <f t="shared" si="21"/>
        <v>44074</v>
      </c>
      <c r="H145" s="121">
        <v>133656.34</v>
      </c>
      <c r="I145" s="123">
        <f t="shared" si="22"/>
        <v>-22972.439999999857</v>
      </c>
      <c r="J145" s="121">
        <f t="shared" si="23"/>
        <v>125402.17000000013</v>
      </c>
      <c r="K145" s="121">
        <f t="shared" si="24"/>
        <v>-22972.439999999857</v>
      </c>
      <c r="N145" s="129"/>
      <c r="O145" s="129"/>
      <c r="P145" s="129"/>
    </row>
    <row r="146" spans="1:16" s="120" customFormat="1" ht="18" hidden="1" customHeight="1" outlineLevel="1" x14ac:dyDescent="0.25">
      <c r="A146" s="108">
        <f t="shared" si="25"/>
        <v>11</v>
      </c>
      <c r="B146" s="131">
        <f t="shared" si="14"/>
        <v>44012</v>
      </c>
      <c r="C146" s="140">
        <f>'Att(1of6)(JP-Non)'!C146</f>
        <v>7.7336489999999994E-2</v>
      </c>
      <c r="D146" s="117">
        <f t="shared" si="26"/>
        <v>44043</v>
      </c>
      <c r="E146" s="131">
        <f t="shared" si="27"/>
        <v>44074</v>
      </c>
      <c r="F146" s="121">
        <v>258977.93</v>
      </c>
      <c r="G146" s="131">
        <f t="shared" si="21"/>
        <v>44104</v>
      </c>
      <c r="H146" s="121">
        <v>148326.96</v>
      </c>
      <c r="I146" s="123">
        <f t="shared" si="22"/>
        <v>-22924.789999999863</v>
      </c>
      <c r="J146" s="121">
        <f t="shared" si="23"/>
        <v>236053.14000000013</v>
      </c>
      <c r="K146" s="121">
        <f t="shared" si="24"/>
        <v>-22924.789999999863</v>
      </c>
      <c r="M146" s="147"/>
      <c r="N146" s="129"/>
      <c r="O146" s="129"/>
      <c r="P146" s="129"/>
    </row>
    <row r="147" spans="1:16" s="120" customFormat="1" ht="18" hidden="1" customHeight="1" outlineLevel="1" x14ac:dyDescent="0.25">
      <c r="A147" s="108">
        <f t="shared" si="25"/>
        <v>12</v>
      </c>
      <c r="B147" s="131">
        <f t="shared" si="14"/>
        <v>44043</v>
      </c>
      <c r="C147" s="140">
        <f>'Att(1of6)(JP-Non)'!C147</f>
        <v>8.3776569999999995E-2</v>
      </c>
      <c r="D147" s="117">
        <f t="shared" si="26"/>
        <v>44074</v>
      </c>
      <c r="E147" s="131">
        <f t="shared" si="27"/>
        <v>44104</v>
      </c>
      <c r="F147" s="121">
        <v>260030.74</v>
      </c>
      <c r="G147" s="131">
        <f t="shared" si="21"/>
        <v>44135</v>
      </c>
      <c r="H147" s="121">
        <v>209272.59</v>
      </c>
      <c r="I147" s="123">
        <f t="shared" si="22"/>
        <v>26780.550000000134</v>
      </c>
      <c r="J147" s="121">
        <f t="shared" si="23"/>
        <v>286811.29000000015</v>
      </c>
      <c r="K147" s="121">
        <f t="shared" si="24"/>
        <v>26780.550000000134</v>
      </c>
      <c r="N147" s="129"/>
      <c r="O147" s="129"/>
      <c r="P147" s="129"/>
    </row>
    <row r="148" spans="1:16" s="120" customFormat="1" ht="18" hidden="1" customHeight="1" outlineLevel="1" x14ac:dyDescent="0.25">
      <c r="A148" s="108">
        <f t="shared" si="25"/>
        <v>13</v>
      </c>
      <c r="B148" s="131">
        <f t="shared" si="14"/>
        <v>44074</v>
      </c>
      <c r="C148" s="140">
        <f>'Att(1of6)(JP-Non)'!C148</f>
        <v>7.4521589999999999E-2</v>
      </c>
      <c r="D148" s="117">
        <f t="shared" si="26"/>
        <v>44104</v>
      </c>
      <c r="E148" s="131">
        <f t="shared" si="27"/>
        <v>44135</v>
      </c>
      <c r="F148" s="121">
        <v>193994.73</v>
      </c>
      <c r="G148" s="131">
        <f t="shared" si="21"/>
        <v>44165</v>
      </c>
      <c r="H148" s="121">
        <v>250128.3</v>
      </c>
      <c r="I148" s="123">
        <f t="shared" si="22"/>
        <v>36682.990000000165</v>
      </c>
      <c r="J148" s="121">
        <f t="shared" si="23"/>
        <v>230677.72000000018</v>
      </c>
      <c r="K148" s="121">
        <f t="shared" si="24"/>
        <v>36682.990000000165</v>
      </c>
      <c r="N148" s="129"/>
      <c r="O148" s="129"/>
      <c r="P148" s="129"/>
    </row>
    <row r="149" spans="1:16" s="120" customFormat="1" ht="18" hidden="1" customHeight="1" outlineLevel="1" x14ac:dyDescent="0.25">
      <c r="A149" s="108">
        <f t="shared" si="25"/>
        <v>14</v>
      </c>
      <c r="B149" s="131">
        <f t="shared" si="14"/>
        <v>44104</v>
      </c>
      <c r="C149" s="140">
        <f>'Att(1of6)(JP-Non)'!C149</f>
        <v>4.0003150000000001E-2</v>
      </c>
      <c r="D149" s="117">
        <f t="shared" si="26"/>
        <v>44135</v>
      </c>
      <c r="E149" s="131">
        <f t="shared" si="27"/>
        <v>44165</v>
      </c>
      <c r="F149" s="121">
        <v>83667.25</v>
      </c>
      <c r="G149" s="131">
        <f t="shared" si="21"/>
        <v>44196</v>
      </c>
      <c r="H149" s="121">
        <v>208996.23</v>
      </c>
      <c r="I149" s="123">
        <f t="shared" si="22"/>
        <v>21681.490000000165</v>
      </c>
      <c r="J149" s="121">
        <f t="shared" si="23"/>
        <v>105348.74000000017</v>
      </c>
      <c r="K149" s="121">
        <f t="shared" si="24"/>
        <v>21681.490000000165</v>
      </c>
      <c r="N149" s="129"/>
      <c r="O149" s="129"/>
      <c r="P149" s="129"/>
    </row>
    <row r="150" spans="1:16" s="120" customFormat="1" ht="18" hidden="1" customHeight="1" outlineLevel="1" x14ac:dyDescent="0.25">
      <c r="A150" s="108">
        <f t="shared" si="25"/>
        <v>15</v>
      </c>
      <c r="B150" s="131">
        <f t="shared" si="14"/>
        <v>44135</v>
      </c>
      <c r="C150" s="140">
        <f>'Att(1of6)(JP-Non)'!C150</f>
        <v>5.9319419999999998E-2</v>
      </c>
      <c r="D150" s="117">
        <f t="shared" si="26"/>
        <v>44165</v>
      </c>
      <c r="E150" s="131">
        <f t="shared" si="27"/>
        <v>44196</v>
      </c>
      <c r="F150" s="121">
        <v>160576.5</v>
      </c>
      <c r="G150" s="131">
        <f t="shared" si="21"/>
        <v>44227</v>
      </c>
      <c r="H150" s="121">
        <v>121192.88</v>
      </c>
      <c r="I150" s="123">
        <f t="shared" si="22"/>
        <v>-15844.139999999839</v>
      </c>
      <c r="J150" s="121">
        <f t="shared" si="23"/>
        <v>144732.36000000016</v>
      </c>
      <c r="K150" s="121">
        <f t="shared" si="24"/>
        <v>-15844.139999999839</v>
      </c>
      <c r="N150" s="129"/>
      <c r="O150" s="129"/>
      <c r="P150" s="129"/>
    </row>
    <row r="151" spans="1:16" s="120" customFormat="1" ht="18" hidden="1" customHeight="1" outlineLevel="1" x14ac:dyDescent="0.25">
      <c r="A151" s="108">
        <f t="shared" si="25"/>
        <v>16</v>
      </c>
      <c r="B151" s="131">
        <f t="shared" si="14"/>
        <v>44165</v>
      </c>
      <c r="C151" s="140">
        <f>'Att(1of6)(JP-Non)'!C151</f>
        <v>6.1659560000000002E-2</v>
      </c>
      <c r="D151" s="117">
        <f t="shared" si="26"/>
        <v>44196</v>
      </c>
      <c r="E151" s="131">
        <f t="shared" si="27"/>
        <v>44227</v>
      </c>
      <c r="F151" s="121">
        <v>227533.76</v>
      </c>
      <c r="G151" s="131">
        <f t="shared" si="21"/>
        <v>44255</v>
      </c>
      <c r="H151" s="121">
        <v>193593.66</v>
      </c>
      <c r="I151" s="123">
        <f t="shared" si="22"/>
        <v>-48861.299999999843</v>
      </c>
      <c r="J151" s="121">
        <f t="shared" si="23"/>
        <v>178672.46000000017</v>
      </c>
      <c r="K151" s="121">
        <f t="shared" si="24"/>
        <v>-48861.299999999843</v>
      </c>
      <c r="N151" s="129"/>
      <c r="O151" s="129"/>
      <c r="P151" s="129"/>
    </row>
    <row r="152" spans="1:16" s="120" customFormat="1" ht="18" hidden="1" customHeight="1" outlineLevel="1" x14ac:dyDescent="0.25">
      <c r="A152" s="108">
        <f t="shared" si="25"/>
        <v>17</v>
      </c>
      <c r="B152" s="131">
        <f t="shared" si="14"/>
        <v>44196</v>
      </c>
      <c r="C152" s="140">
        <f>'Att(1of6)(JP-Non)'!C152</f>
        <v>8.6877410000000002E-2</v>
      </c>
      <c r="D152" s="117">
        <f t="shared" si="26"/>
        <v>44227</v>
      </c>
      <c r="E152" s="131">
        <f t="shared" si="27"/>
        <v>44255</v>
      </c>
      <c r="F152" s="121">
        <v>331660.40000000002</v>
      </c>
      <c r="G152" s="131">
        <f t="shared" si="21"/>
        <v>44286</v>
      </c>
      <c r="H152" s="121">
        <v>191073.75</v>
      </c>
      <c r="I152" s="123">
        <f t="shared" si="22"/>
        <v>-12401.289999999834</v>
      </c>
      <c r="J152" s="121">
        <f t="shared" si="23"/>
        <v>319259.11000000022</v>
      </c>
      <c r="K152" s="121">
        <f t="shared" si="24"/>
        <v>-12401.289999999834</v>
      </c>
      <c r="N152" s="129"/>
      <c r="O152" s="129"/>
      <c r="P152" s="129"/>
    </row>
    <row r="153" spans="1:16" s="120" customFormat="1" ht="18" hidden="1" customHeight="1" outlineLevel="1" x14ac:dyDescent="0.25">
      <c r="A153" s="108">
        <f t="shared" si="25"/>
        <v>18</v>
      </c>
      <c r="B153" s="131">
        <f t="shared" si="14"/>
        <v>44227</v>
      </c>
      <c r="C153" s="140">
        <f>'Att(1of6)(JP-Non)'!C153</f>
        <v>5.7239890000000002E-2</v>
      </c>
      <c r="D153" s="117">
        <f t="shared" si="26"/>
        <v>44255</v>
      </c>
      <c r="E153" s="131">
        <f t="shared" si="27"/>
        <v>44286</v>
      </c>
      <c r="F153" s="121">
        <v>221319.65</v>
      </c>
      <c r="G153" s="131">
        <f t="shared" si="21"/>
        <v>44316</v>
      </c>
      <c r="H153" s="121">
        <v>342830.41</v>
      </c>
      <c r="I153" s="123">
        <f t="shared" si="22"/>
        <v>-23571.299999999756</v>
      </c>
      <c r="J153" s="121">
        <f t="shared" si="23"/>
        <v>197748.35000000024</v>
      </c>
      <c r="K153" s="121">
        <f t="shared" si="24"/>
        <v>-23571.299999999756</v>
      </c>
      <c r="N153" s="129"/>
      <c r="O153" s="129"/>
      <c r="P153" s="129"/>
    </row>
    <row r="154" spans="1:16" s="120" customFormat="1" ht="18" hidden="1" customHeight="1" outlineLevel="1" x14ac:dyDescent="0.25">
      <c r="A154" s="108">
        <f t="shared" si="25"/>
        <v>19</v>
      </c>
      <c r="B154" s="131">
        <f t="shared" si="14"/>
        <v>44255</v>
      </c>
      <c r="C154" s="140">
        <f>'Att(1of6)(JP-Non)'!C154</f>
        <v>8.6906159999999996E-2</v>
      </c>
      <c r="D154" s="117">
        <f t="shared" si="26"/>
        <v>44286</v>
      </c>
      <c r="E154" s="131">
        <f t="shared" si="27"/>
        <v>44316</v>
      </c>
      <c r="F154" s="121">
        <v>222759.39</v>
      </c>
      <c r="G154" s="131">
        <f t="shared" si="21"/>
        <v>44347</v>
      </c>
      <c r="H154" s="121">
        <v>126403.63</v>
      </c>
      <c r="I154" s="123">
        <f t="shared" si="22"/>
        <v>71344.720000000234</v>
      </c>
      <c r="J154" s="121">
        <f t="shared" si="23"/>
        <v>294104.11000000022</v>
      </c>
      <c r="K154" s="121">
        <f t="shared" si="24"/>
        <v>71344.720000000234</v>
      </c>
      <c r="N154" s="129"/>
      <c r="O154" s="129"/>
      <c r="P154" s="129"/>
    </row>
    <row r="155" spans="1:16" s="120" customFormat="1" ht="18" hidden="1" customHeight="1" outlineLevel="1" x14ac:dyDescent="0.25">
      <c r="A155" s="108">
        <f t="shared" si="25"/>
        <v>20</v>
      </c>
      <c r="B155" s="131">
        <f t="shared" si="14"/>
        <v>44286</v>
      </c>
      <c r="C155" s="140">
        <f>'Att(1of6)(JP-Non)'!C155</f>
        <v>4.6249430000000001E-2</v>
      </c>
      <c r="D155" s="117">
        <f t="shared" si="26"/>
        <v>44316</v>
      </c>
      <c r="E155" s="131">
        <f t="shared" si="27"/>
        <v>44347</v>
      </c>
      <c r="F155" s="121">
        <v>115210.13</v>
      </c>
      <c r="G155" s="131">
        <f t="shared" si="21"/>
        <v>44377</v>
      </c>
      <c r="H155" s="121">
        <v>251834.87</v>
      </c>
      <c r="I155" s="123">
        <f t="shared" si="22"/>
        <v>42269.240000000224</v>
      </c>
      <c r="J155" s="121">
        <f t="shared" si="23"/>
        <v>157479.37000000023</v>
      </c>
      <c r="K155" s="121">
        <f t="shared" si="24"/>
        <v>42269.240000000224</v>
      </c>
      <c r="N155" s="129"/>
      <c r="O155" s="129"/>
      <c r="P155" s="129"/>
    </row>
    <row r="156" spans="1:16" s="120" customFormat="1" ht="18" hidden="1" customHeight="1" outlineLevel="1" x14ac:dyDescent="0.25">
      <c r="A156" s="108">
        <f t="shared" si="25"/>
        <v>21</v>
      </c>
      <c r="B156" s="131">
        <f t="shared" si="14"/>
        <v>44316</v>
      </c>
      <c r="C156" s="140">
        <f>'Att(1of6)(JP-Non)'!C156</f>
        <v>9.2364520000000006E-2</v>
      </c>
      <c r="D156" s="117">
        <f t="shared" si="26"/>
        <v>44347</v>
      </c>
      <c r="E156" s="131">
        <f t="shared" si="27"/>
        <v>44377</v>
      </c>
      <c r="F156" s="121">
        <v>221637.25</v>
      </c>
      <c r="G156" s="131">
        <f t="shared" si="21"/>
        <v>44408</v>
      </c>
      <c r="H156" s="121">
        <v>156664.59</v>
      </c>
      <c r="I156" s="123">
        <f t="shared" si="22"/>
        <v>814.78000000023167</v>
      </c>
      <c r="J156" s="121">
        <f t="shared" si="23"/>
        <v>222452.03000000023</v>
      </c>
      <c r="K156" s="121">
        <f t="shared" si="24"/>
        <v>814.78000000023167</v>
      </c>
      <c r="N156" s="129"/>
      <c r="O156" s="129"/>
      <c r="P156" s="129"/>
    </row>
    <row r="157" spans="1:16" s="120" customFormat="1" ht="18" hidden="1" customHeight="1" outlineLevel="1" x14ac:dyDescent="0.25">
      <c r="A157" s="108">
        <f t="shared" si="25"/>
        <v>22</v>
      </c>
      <c r="B157" s="131">
        <f t="shared" si="14"/>
        <v>44347</v>
      </c>
      <c r="C157" s="140">
        <f>'Att(1of6)(JP-Non)'!C157</f>
        <v>0.11100549</v>
      </c>
      <c r="D157" s="117">
        <f t="shared" si="26"/>
        <v>44377</v>
      </c>
      <c r="E157" s="131">
        <f t="shared" si="27"/>
        <v>44408</v>
      </c>
      <c r="F157" s="121">
        <v>333567.53000000003</v>
      </c>
      <c r="G157" s="131">
        <f t="shared" si="21"/>
        <v>44439</v>
      </c>
      <c r="H157" s="121">
        <v>274301.86</v>
      </c>
      <c r="I157" s="123">
        <f t="shared" si="22"/>
        <v>-51849.829999999754</v>
      </c>
      <c r="J157" s="121">
        <f t="shared" si="23"/>
        <v>281717.7000000003</v>
      </c>
      <c r="K157" s="121">
        <f t="shared" si="24"/>
        <v>-51849.829999999754</v>
      </c>
      <c r="N157" s="129"/>
      <c r="O157" s="129"/>
      <c r="P157" s="129"/>
    </row>
    <row r="158" spans="1:16" s="120" customFormat="1" ht="18" hidden="1" customHeight="1" outlineLevel="1" x14ac:dyDescent="0.25">
      <c r="A158" s="108">
        <f t="shared" si="25"/>
        <v>23</v>
      </c>
      <c r="B158" s="131">
        <f t="shared" si="14"/>
        <v>44377</v>
      </c>
      <c r="C158" s="140">
        <f>'Att(1of6)(JP-Non)'!C158</f>
        <v>8.88428E-2</v>
      </c>
      <c r="D158" s="117">
        <f t="shared" si="26"/>
        <v>44408</v>
      </c>
      <c r="E158" s="131">
        <f t="shared" si="27"/>
        <v>44439</v>
      </c>
      <c r="F158" s="121">
        <v>291959.13</v>
      </c>
      <c r="G158" s="131">
        <f t="shared" si="21"/>
        <v>44469</v>
      </c>
      <c r="H158" s="121">
        <v>309000.77</v>
      </c>
      <c r="I158" s="123">
        <f t="shared" si="22"/>
        <v>-27283.069999999716</v>
      </c>
      <c r="J158" s="121">
        <f t="shared" si="23"/>
        <v>264676.06000000029</v>
      </c>
      <c r="K158" s="121">
        <f t="shared" si="24"/>
        <v>-27283.069999999716</v>
      </c>
      <c r="N158" s="129"/>
      <c r="O158" s="129"/>
      <c r="P158" s="129"/>
    </row>
    <row r="159" spans="1:16" s="120" customFormat="1" ht="18" hidden="1" customHeight="1" outlineLevel="1" x14ac:dyDescent="0.25">
      <c r="A159" s="108">
        <f t="shared" si="25"/>
        <v>24</v>
      </c>
      <c r="B159" s="131">
        <f t="shared" si="14"/>
        <v>44408</v>
      </c>
      <c r="C159" s="140">
        <f>'Att(1of6)(JP-Non)'!C159</f>
        <v>8.8505819999999999E-2</v>
      </c>
      <c r="D159" s="117">
        <f t="shared" si="26"/>
        <v>44439</v>
      </c>
      <c r="E159" s="131">
        <f t="shared" si="27"/>
        <v>44469</v>
      </c>
      <c r="F159" s="121">
        <v>295605.02</v>
      </c>
      <c r="G159" s="131">
        <f t="shared" si="21"/>
        <v>44500</v>
      </c>
      <c r="H159" s="121">
        <v>268635.61</v>
      </c>
      <c r="I159" s="123">
        <f t="shared" si="22"/>
        <v>-3959.5499999996973</v>
      </c>
      <c r="J159" s="121">
        <f t="shared" si="23"/>
        <v>291645.47000000032</v>
      </c>
      <c r="K159" s="121">
        <f t="shared" si="24"/>
        <v>-3959.5499999996973</v>
      </c>
      <c r="N159" s="129"/>
      <c r="O159" s="129"/>
      <c r="P159" s="129"/>
    </row>
    <row r="160" spans="1:16" s="120" customFormat="1" ht="18" hidden="1" customHeight="1" outlineLevel="1" x14ac:dyDescent="0.25">
      <c r="A160" s="108">
        <f t="shared" si="25"/>
        <v>25</v>
      </c>
      <c r="B160" s="131">
        <f t="shared" si="14"/>
        <v>44439</v>
      </c>
      <c r="C160" s="140">
        <f>'Att(1of6)(JP-Non)'!C160</f>
        <v>0.1058065</v>
      </c>
      <c r="D160" s="117">
        <f t="shared" si="26"/>
        <v>44469</v>
      </c>
      <c r="E160" s="131">
        <f t="shared" si="27"/>
        <v>44500</v>
      </c>
      <c r="F160" s="121">
        <v>282044.69</v>
      </c>
      <c r="G160" s="131">
        <f t="shared" si="21"/>
        <v>44530</v>
      </c>
      <c r="H160" s="121">
        <v>242851.68</v>
      </c>
      <c r="I160" s="123">
        <f t="shared" si="22"/>
        <v>48793.790000000328</v>
      </c>
      <c r="J160" s="121">
        <f t="shared" si="23"/>
        <v>330838.48000000033</v>
      </c>
      <c r="K160" s="121">
        <f t="shared" si="24"/>
        <v>48793.790000000328</v>
      </c>
      <c r="N160" s="129"/>
      <c r="O160" s="129"/>
      <c r="P160" s="129"/>
    </row>
    <row r="161" spans="1:16" s="120" customFormat="1" ht="18" hidden="1" customHeight="1" outlineLevel="1" x14ac:dyDescent="0.25">
      <c r="A161" s="108">
        <f t="shared" si="25"/>
        <v>26</v>
      </c>
      <c r="B161" s="131">
        <f t="shared" si="14"/>
        <v>44469</v>
      </c>
      <c r="C161" s="140">
        <f>'Att(1of6)(JP-Non)'!C161</f>
        <v>5.8713899999999999E-2</v>
      </c>
      <c r="D161" s="117">
        <f t="shared" si="26"/>
        <v>44500</v>
      </c>
      <c r="E161" s="131">
        <f t="shared" si="27"/>
        <v>44530</v>
      </c>
      <c r="F161" s="121">
        <v>136219.70000000001</v>
      </c>
      <c r="G161" s="131">
        <f t="shared" ref="G161:G170" si="28">EOMONTH(E161,1)</f>
        <v>44561</v>
      </c>
      <c r="H161" s="121">
        <v>303916.26</v>
      </c>
      <c r="I161" s="123">
        <f t="shared" ref="I161:I170" si="29">K161</f>
        <v>26922.220000000321</v>
      </c>
      <c r="J161" s="121">
        <f t="shared" ref="J161:J170" si="30">+F161+I161</f>
        <v>163141.92000000033</v>
      </c>
      <c r="K161" s="121">
        <f t="shared" ref="K161:K170" si="31">J160-H161</f>
        <v>26922.220000000321</v>
      </c>
      <c r="N161" s="129"/>
      <c r="O161" s="129"/>
      <c r="P161" s="129"/>
    </row>
    <row r="162" spans="1:16" s="120" customFormat="1" ht="18" hidden="1" customHeight="1" outlineLevel="1" x14ac:dyDescent="0.25">
      <c r="A162" s="108">
        <f t="shared" si="25"/>
        <v>27</v>
      </c>
      <c r="B162" s="131">
        <f t="shared" si="14"/>
        <v>44500</v>
      </c>
      <c r="C162" s="140">
        <f>'Att(1of6)(JP-Non)'!C162</f>
        <v>8.2686480000000007E-2</v>
      </c>
      <c r="D162" s="117">
        <f t="shared" si="26"/>
        <v>44530</v>
      </c>
      <c r="E162" s="131">
        <f t="shared" si="27"/>
        <v>44561</v>
      </c>
      <c r="F162" s="121">
        <v>292179.8</v>
      </c>
      <c r="G162" s="131">
        <f t="shared" si="28"/>
        <v>44592</v>
      </c>
      <c r="H162" s="121">
        <v>205716.25</v>
      </c>
      <c r="I162" s="123">
        <f t="shared" si="29"/>
        <v>-42574.329999999667</v>
      </c>
      <c r="J162" s="121">
        <f t="shared" si="30"/>
        <v>249605.47000000032</v>
      </c>
      <c r="K162" s="121">
        <f t="shared" si="31"/>
        <v>-42574.329999999667</v>
      </c>
      <c r="N162" s="129"/>
      <c r="O162" s="129"/>
      <c r="P162" s="129"/>
    </row>
    <row r="163" spans="1:16" s="120" customFormat="1" ht="18" hidden="1" customHeight="1" outlineLevel="1" x14ac:dyDescent="0.25">
      <c r="A163" s="108">
        <f t="shared" si="25"/>
        <v>28</v>
      </c>
      <c r="B163" s="131">
        <f t="shared" si="14"/>
        <v>44530</v>
      </c>
      <c r="C163" s="140">
        <f>'Att(1of6)(JP-Non)'!C163</f>
        <v>0.10017524999999999</v>
      </c>
      <c r="D163" s="117">
        <f t="shared" si="26"/>
        <v>44561</v>
      </c>
      <c r="E163" s="131">
        <f t="shared" si="27"/>
        <v>44592</v>
      </c>
      <c r="F163" s="121">
        <v>339477.94</v>
      </c>
      <c r="G163" s="131">
        <f t="shared" si="28"/>
        <v>44620</v>
      </c>
      <c r="H163" s="121">
        <v>250427.42</v>
      </c>
      <c r="I163" s="123">
        <f t="shared" si="29"/>
        <v>-821.9499999996915</v>
      </c>
      <c r="J163" s="121">
        <f t="shared" si="30"/>
        <v>338655.99000000034</v>
      </c>
      <c r="K163" s="121">
        <f t="shared" si="31"/>
        <v>-821.9499999996915</v>
      </c>
      <c r="N163" s="129"/>
      <c r="O163" s="129"/>
      <c r="P163" s="129"/>
    </row>
    <row r="164" spans="1:16" s="120" customFormat="1" ht="18" hidden="1" customHeight="1" outlineLevel="1" x14ac:dyDescent="0.25">
      <c r="A164" s="108">
        <f t="shared" si="25"/>
        <v>29</v>
      </c>
      <c r="B164" s="131">
        <f t="shared" si="14"/>
        <v>44561</v>
      </c>
      <c r="C164" s="140">
        <f>'Att(1of6)(JP-Non)'!C164</f>
        <v>8.7579480000000001E-2</v>
      </c>
      <c r="D164" s="117">
        <f t="shared" si="26"/>
        <v>44592</v>
      </c>
      <c r="E164" s="131">
        <f t="shared" si="27"/>
        <v>44620</v>
      </c>
      <c r="F164" s="121">
        <v>433540.85</v>
      </c>
      <c r="G164" s="131">
        <f t="shared" si="28"/>
        <v>44651</v>
      </c>
      <c r="H164" s="121">
        <v>462396.88</v>
      </c>
      <c r="I164" s="123">
        <f t="shared" si="29"/>
        <v>-123740.88999999966</v>
      </c>
      <c r="J164" s="121">
        <f t="shared" si="30"/>
        <v>309799.96000000031</v>
      </c>
      <c r="K164" s="121">
        <f t="shared" si="31"/>
        <v>-123740.88999999966</v>
      </c>
      <c r="N164" s="129"/>
      <c r="O164" s="129"/>
      <c r="P164" s="129"/>
    </row>
    <row r="165" spans="1:16" s="120" customFormat="1" ht="18" hidden="1" customHeight="1" outlineLevel="1" x14ac:dyDescent="0.25">
      <c r="A165" s="108">
        <f t="shared" si="25"/>
        <v>30</v>
      </c>
      <c r="B165" s="131">
        <f t="shared" si="14"/>
        <v>44592</v>
      </c>
      <c r="C165" s="140">
        <f>'Att(1of6)(JP-Non)'!C165</f>
        <v>0.10760119</v>
      </c>
      <c r="D165" s="117">
        <f t="shared" si="26"/>
        <v>44620</v>
      </c>
      <c r="E165" s="131">
        <f t="shared" si="27"/>
        <v>44651</v>
      </c>
      <c r="F165" s="121">
        <v>437863.35</v>
      </c>
      <c r="G165" s="131">
        <f t="shared" si="28"/>
        <v>44681</v>
      </c>
      <c r="H165" s="121">
        <v>263458.37</v>
      </c>
      <c r="I165" s="123">
        <f t="shared" si="29"/>
        <v>46341.590000000317</v>
      </c>
      <c r="J165" s="121">
        <f t="shared" si="30"/>
        <v>484204.94000000029</v>
      </c>
      <c r="K165" s="121">
        <f t="shared" si="31"/>
        <v>46341.590000000317</v>
      </c>
      <c r="N165" s="129"/>
      <c r="O165" s="129"/>
      <c r="P165" s="129"/>
    </row>
    <row r="166" spans="1:16" s="120" customFormat="1" ht="18" hidden="1" customHeight="1" outlineLevel="1" x14ac:dyDescent="0.25">
      <c r="A166" s="108">
        <f t="shared" si="25"/>
        <v>31</v>
      </c>
      <c r="B166" s="131">
        <f t="shared" si="14"/>
        <v>44620</v>
      </c>
      <c r="C166" s="140">
        <f>'Att(1of6)(JP-Non)'!C166</f>
        <v>5.359796E-2</v>
      </c>
      <c r="D166" s="117">
        <f t="shared" si="26"/>
        <v>44651</v>
      </c>
      <c r="E166" s="131">
        <f t="shared" si="27"/>
        <v>44681</v>
      </c>
      <c r="F166" s="121">
        <v>201436.67</v>
      </c>
      <c r="G166" s="131">
        <f t="shared" si="28"/>
        <v>44712</v>
      </c>
      <c r="H166" s="121">
        <v>388792.7</v>
      </c>
      <c r="I166" s="123">
        <f t="shared" si="29"/>
        <v>95412.240000000282</v>
      </c>
      <c r="J166" s="121">
        <f t="shared" si="30"/>
        <v>296848.91000000027</v>
      </c>
      <c r="K166" s="121">
        <f t="shared" si="31"/>
        <v>95412.240000000282</v>
      </c>
      <c r="N166" s="129"/>
      <c r="O166" s="129"/>
      <c r="P166" s="129"/>
    </row>
    <row r="167" spans="1:16" s="120" customFormat="1" ht="18" hidden="1" customHeight="1" outlineLevel="1" x14ac:dyDescent="0.25">
      <c r="A167" s="108">
        <f t="shared" si="25"/>
        <v>32</v>
      </c>
      <c r="B167" s="131">
        <f t="shared" si="14"/>
        <v>44651</v>
      </c>
      <c r="C167" s="140">
        <f>'Att(1of6)(JP-Non)'!C167</f>
        <v>6.5133720000000006E-2</v>
      </c>
      <c r="D167" s="117">
        <f t="shared" si="26"/>
        <v>44681</v>
      </c>
      <c r="E167" s="131">
        <f t="shared" si="27"/>
        <v>44712</v>
      </c>
      <c r="F167" s="121">
        <v>192483.77</v>
      </c>
      <c r="G167" s="131">
        <f t="shared" si="28"/>
        <v>44742</v>
      </c>
      <c r="H167" s="121">
        <v>266199.24</v>
      </c>
      <c r="I167" s="123">
        <f t="shared" si="29"/>
        <v>30649.670000000275</v>
      </c>
      <c r="J167" s="121">
        <f t="shared" si="30"/>
        <v>223133.44000000026</v>
      </c>
      <c r="K167" s="121">
        <f t="shared" si="31"/>
        <v>30649.670000000275</v>
      </c>
      <c r="N167" s="129"/>
      <c r="O167" s="129"/>
      <c r="P167" s="129"/>
    </row>
    <row r="168" spans="1:16" s="120" customFormat="1" ht="18" hidden="1" customHeight="1" outlineLevel="1" x14ac:dyDescent="0.25">
      <c r="A168" s="108">
        <f t="shared" si="25"/>
        <v>33</v>
      </c>
      <c r="B168" s="131">
        <f t="shared" si="14"/>
        <v>44681</v>
      </c>
      <c r="C168" s="140">
        <f>'Att(1of6)(JP-Non)'!C168</f>
        <v>4.3170529999999999E-2</v>
      </c>
      <c r="D168" s="117">
        <f t="shared" si="26"/>
        <v>44712</v>
      </c>
      <c r="E168" s="131">
        <f t="shared" si="27"/>
        <v>44742</v>
      </c>
      <c r="F168" s="121">
        <v>139441.94</v>
      </c>
      <c r="G168" s="131">
        <f t="shared" si="28"/>
        <v>44773</v>
      </c>
      <c r="H168" s="121">
        <v>221722.31</v>
      </c>
      <c r="I168" s="123">
        <f t="shared" si="29"/>
        <v>1411.1300000002666</v>
      </c>
      <c r="J168" s="121">
        <f t="shared" si="30"/>
        <v>140853.07000000027</v>
      </c>
      <c r="K168" s="121">
        <f t="shared" si="31"/>
        <v>1411.1300000002666</v>
      </c>
      <c r="N168" s="129"/>
      <c r="O168" s="129"/>
      <c r="P168" s="129"/>
    </row>
    <row r="169" spans="1:16" s="120" customFormat="1" ht="18" hidden="1" customHeight="1" outlineLevel="1" x14ac:dyDescent="0.25">
      <c r="A169" s="108">
        <f t="shared" si="25"/>
        <v>34</v>
      </c>
      <c r="B169" s="131">
        <f t="shared" si="14"/>
        <v>44712</v>
      </c>
      <c r="C169" s="140">
        <f>'Att(1of6)(JP-Non)'!C169</f>
        <v>6.3858090000000006E-2</v>
      </c>
      <c r="D169" s="117">
        <f t="shared" si="26"/>
        <v>44742</v>
      </c>
      <c r="E169" s="131">
        <f t="shared" si="27"/>
        <v>44773</v>
      </c>
      <c r="F169" s="121">
        <v>222685.9</v>
      </c>
      <c r="G169" s="131">
        <f t="shared" si="28"/>
        <v>44804</v>
      </c>
      <c r="H169" s="121">
        <v>174628.56</v>
      </c>
      <c r="I169" s="123">
        <f t="shared" si="29"/>
        <v>-33775.489999999729</v>
      </c>
      <c r="J169" s="121">
        <f t="shared" si="30"/>
        <v>188910.41000000027</v>
      </c>
      <c r="K169" s="121">
        <f t="shared" si="31"/>
        <v>-33775.489999999729</v>
      </c>
      <c r="N169" s="129"/>
      <c r="O169" s="129"/>
      <c r="P169" s="129"/>
    </row>
    <row r="170" spans="1:16" s="120" customFormat="1" ht="18" hidden="1" customHeight="1" outlineLevel="1" x14ac:dyDescent="0.25">
      <c r="A170" s="108">
        <f t="shared" si="25"/>
        <v>35</v>
      </c>
      <c r="B170" s="131">
        <f t="shared" si="14"/>
        <v>44742</v>
      </c>
      <c r="C170" s="140">
        <f>'Att(1of6)(JP-Non)'!C170</f>
        <v>4.570544E-2</v>
      </c>
      <c r="D170" s="117">
        <f t="shared" si="26"/>
        <v>44773</v>
      </c>
      <c r="E170" s="131">
        <f t="shared" si="27"/>
        <v>44804</v>
      </c>
      <c r="F170" s="121">
        <v>207753.28</v>
      </c>
      <c r="G170" s="131">
        <f t="shared" si="28"/>
        <v>44834</v>
      </c>
      <c r="H170" s="121">
        <v>210648.47</v>
      </c>
      <c r="I170" s="123">
        <f t="shared" si="29"/>
        <v>-21738.059999999736</v>
      </c>
      <c r="J170" s="121">
        <f t="shared" si="30"/>
        <v>186015.22000000026</v>
      </c>
      <c r="K170" s="121">
        <f t="shared" si="31"/>
        <v>-21738.059999999736</v>
      </c>
      <c r="N170" s="129"/>
      <c r="O170" s="129"/>
      <c r="P170" s="129"/>
    </row>
    <row r="171" spans="1:16" s="120" customFormat="1" ht="18" hidden="1" customHeight="1" outlineLevel="1" x14ac:dyDescent="0.25">
      <c r="A171" s="108">
        <f t="shared" si="25"/>
        <v>36</v>
      </c>
      <c r="B171" s="131">
        <f t="shared" si="14"/>
        <v>44773</v>
      </c>
      <c r="C171" s="140">
        <f>'Att(1of6)(JP-Non)'!C171</f>
        <v>4.7493880000000002E-2</v>
      </c>
      <c r="D171" s="117">
        <f t="shared" si="26"/>
        <v>44804</v>
      </c>
      <c r="E171" s="131">
        <f t="shared" si="27"/>
        <v>44834</v>
      </c>
      <c r="F171" s="121">
        <v>200506.64</v>
      </c>
      <c r="G171" s="131">
        <f t="shared" ref="G171:G183" si="32">EOMONTH(E171,1)</f>
        <v>44865</v>
      </c>
      <c r="H171" s="121">
        <v>189708.77</v>
      </c>
      <c r="I171" s="123">
        <f t="shared" ref="I171:I183" si="33">K171</f>
        <v>-3693.5499999997264</v>
      </c>
      <c r="J171" s="121">
        <f t="shared" ref="J171:J183" si="34">+F171+I171</f>
        <v>196813.09000000029</v>
      </c>
      <c r="K171" s="121">
        <f t="shared" ref="K171:K183" si="35">J170-H171</f>
        <v>-3693.5499999997264</v>
      </c>
      <c r="N171" s="129"/>
      <c r="O171" s="129"/>
      <c r="P171" s="129"/>
    </row>
    <row r="172" spans="1:16" s="120" customFormat="1" ht="18" hidden="1" customHeight="1" outlineLevel="1" x14ac:dyDescent="0.25">
      <c r="A172" s="108">
        <f t="shared" si="25"/>
        <v>37</v>
      </c>
      <c r="B172" s="131">
        <f t="shared" si="14"/>
        <v>44804</v>
      </c>
      <c r="C172" s="140">
        <f>'Att(1of6)(JP-Non)'!C172</f>
        <v>3.0638189999999999E-2</v>
      </c>
      <c r="D172" s="117">
        <f t="shared" si="26"/>
        <v>44834</v>
      </c>
      <c r="E172" s="131">
        <f t="shared" si="27"/>
        <v>44865</v>
      </c>
      <c r="F172" s="121">
        <v>125024.03</v>
      </c>
      <c r="G172" s="131">
        <f t="shared" si="32"/>
        <v>44895</v>
      </c>
      <c r="H172" s="121">
        <v>171789.76</v>
      </c>
      <c r="I172" s="123">
        <f t="shared" si="33"/>
        <v>25023.330000000278</v>
      </c>
      <c r="J172" s="121">
        <f t="shared" si="34"/>
        <v>150047.36000000028</v>
      </c>
      <c r="K172" s="121">
        <f t="shared" si="35"/>
        <v>25023.330000000278</v>
      </c>
      <c r="N172" s="129"/>
      <c r="O172" s="129"/>
      <c r="P172" s="129"/>
    </row>
    <row r="173" spans="1:16" s="120" customFormat="1" ht="18" hidden="1" customHeight="1" outlineLevel="1" x14ac:dyDescent="0.25">
      <c r="A173" s="108">
        <f t="shared" si="25"/>
        <v>38</v>
      </c>
      <c r="B173" s="131">
        <f t="shared" si="14"/>
        <v>44834</v>
      </c>
      <c r="C173" s="140">
        <f>'Att(1of6)(JP-Non)'!C173</f>
        <v>4.1599219999999999E-2</v>
      </c>
      <c r="D173" s="117">
        <f t="shared" si="26"/>
        <v>44865</v>
      </c>
      <c r="E173" s="131">
        <f t="shared" si="27"/>
        <v>44895</v>
      </c>
      <c r="F173" s="121">
        <v>142330.45000000001</v>
      </c>
      <c r="G173" s="131">
        <f t="shared" si="32"/>
        <v>44926</v>
      </c>
      <c r="H173" s="121">
        <v>150211.87</v>
      </c>
      <c r="I173" s="123">
        <f t="shared" si="33"/>
        <v>-164.50999999971827</v>
      </c>
      <c r="J173" s="121">
        <f t="shared" si="34"/>
        <v>142165.94000000029</v>
      </c>
      <c r="K173" s="121">
        <f t="shared" si="35"/>
        <v>-164.50999999971827</v>
      </c>
      <c r="N173" s="129"/>
      <c r="O173" s="129"/>
      <c r="P173" s="129"/>
    </row>
    <row r="174" spans="1:16" s="120" customFormat="1" ht="18" hidden="1" customHeight="1" outlineLevel="1" x14ac:dyDescent="0.25">
      <c r="A174" s="108">
        <f t="shared" si="25"/>
        <v>39</v>
      </c>
      <c r="B174" s="131">
        <f t="shared" si="14"/>
        <v>44865</v>
      </c>
      <c r="C174" s="140">
        <f>'Att(1of6)(JP-Non)'!C174</f>
        <v>3.2982659999999997E-2</v>
      </c>
      <c r="D174" s="117">
        <f t="shared" si="26"/>
        <v>44895</v>
      </c>
      <c r="E174" s="131">
        <f t="shared" si="27"/>
        <v>44926</v>
      </c>
      <c r="F174" s="121">
        <v>138030.94</v>
      </c>
      <c r="G174" s="131">
        <f t="shared" si="32"/>
        <v>44957</v>
      </c>
      <c r="H174" s="121">
        <v>180466.6</v>
      </c>
      <c r="I174" s="123">
        <f t="shared" si="33"/>
        <v>-38300.659999999712</v>
      </c>
      <c r="J174" s="121">
        <f t="shared" si="34"/>
        <v>99730.28000000029</v>
      </c>
      <c r="K174" s="121">
        <f t="shared" si="35"/>
        <v>-38300.659999999712</v>
      </c>
      <c r="N174" s="129"/>
      <c r="O174" s="129"/>
      <c r="P174" s="129"/>
    </row>
    <row r="175" spans="1:16" s="120" customFormat="1" ht="18" hidden="1" customHeight="1" outlineLevel="1" x14ac:dyDescent="0.25">
      <c r="A175" s="108">
        <f t="shared" si="25"/>
        <v>40</v>
      </c>
      <c r="B175" s="131">
        <f t="shared" ref="B175:B203" si="36">EOMONTH(B174,1)</f>
        <v>44895</v>
      </c>
      <c r="C175" s="140">
        <f>'Att(1of6)(JP-Non)'!C175</f>
        <v>4.0698829999999998E-2</v>
      </c>
      <c r="D175" s="117">
        <f t="shared" ref="D175:D203" si="37">EOMONTH(D174,1)</f>
        <v>44926</v>
      </c>
      <c r="E175" s="131">
        <f t="shared" ref="E175:E203" si="38">EOMONTH(E174,1)</f>
        <v>44957</v>
      </c>
      <c r="F175" s="121">
        <v>233664.45</v>
      </c>
      <c r="G175" s="131">
        <f t="shared" si="32"/>
        <v>44985</v>
      </c>
      <c r="H175" s="121">
        <v>120595.43</v>
      </c>
      <c r="I175" s="123">
        <f t="shared" si="33"/>
        <v>-20865.149999999703</v>
      </c>
      <c r="J175" s="121">
        <f t="shared" si="34"/>
        <v>212799.30000000031</v>
      </c>
      <c r="K175" s="121">
        <f t="shared" si="35"/>
        <v>-20865.149999999703</v>
      </c>
      <c r="N175" s="129"/>
      <c r="O175" s="129"/>
      <c r="P175" s="129"/>
    </row>
    <row r="176" spans="1:16" s="120" customFormat="1" ht="18" hidden="1" customHeight="1" outlineLevel="1" x14ac:dyDescent="0.25">
      <c r="A176" s="108">
        <f t="shared" si="25"/>
        <v>41</v>
      </c>
      <c r="B176" s="131">
        <f t="shared" si="36"/>
        <v>44926</v>
      </c>
      <c r="C176" s="140">
        <f>'Att(1of6)(JP-Non)'!C176</f>
        <v>0.10631458000000001</v>
      </c>
      <c r="D176" s="117">
        <f t="shared" si="37"/>
        <v>44957</v>
      </c>
      <c r="E176" s="131">
        <f t="shared" si="38"/>
        <v>44985</v>
      </c>
      <c r="F176" s="121">
        <v>445991</v>
      </c>
      <c r="G176" s="131">
        <f t="shared" si="32"/>
        <v>45016</v>
      </c>
      <c r="H176" s="121">
        <v>198118.25</v>
      </c>
      <c r="I176" s="123">
        <f t="shared" si="33"/>
        <v>14681.050000000309</v>
      </c>
      <c r="J176" s="121">
        <f t="shared" si="34"/>
        <v>460672.05000000028</v>
      </c>
      <c r="K176" s="121">
        <f t="shared" si="35"/>
        <v>14681.050000000309</v>
      </c>
      <c r="N176" s="129"/>
      <c r="O176" s="129"/>
      <c r="P176" s="129"/>
    </row>
    <row r="177" spans="1:16" s="120" customFormat="1" ht="18" hidden="1" customHeight="1" outlineLevel="1" x14ac:dyDescent="0.25">
      <c r="A177" s="108">
        <f t="shared" si="25"/>
        <v>42</v>
      </c>
      <c r="B177" s="131">
        <f t="shared" si="36"/>
        <v>44957</v>
      </c>
      <c r="C177" s="140">
        <f>'Att(1of6)(JP-Non)'!C177</f>
        <v>5.0254630000000002E-2</v>
      </c>
      <c r="D177" s="117">
        <f t="shared" si="37"/>
        <v>44985</v>
      </c>
      <c r="E177" s="131">
        <f t="shared" si="38"/>
        <v>45016</v>
      </c>
      <c r="F177" s="121">
        <v>177927.11</v>
      </c>
      <c r="G177" s="131">
        <f t="shared" si="32"/>
        <v>45046</v>
      </c>
      <c r="H177" s="121">
        <v>408596.47999999998</v>
      </c>
      <c r="I177" s="123">
        <f t="shared" si="33"/>
        <v>52075.570000000298</v>
      </c>
      <c r="J177" s="121">
        <f t="shared" si="34"/>
        <v>230002.68000000028</v>
      </c>
      <c r="K177" s="121">
        <f t="shared" si="35"/>
        <v>52075.570000000298</v>
      </c>
      <c r="N177" s="129"/>
      <c r="O177" s="129"/>
      <c r="P177" s="129"/>
    </row>
    <row r="178" spans="1:16" s="120" customFormat="1" ht="18" hidden="1" customHeight="1" outlineLevel="1" x14ac:dyDescent="0.25">
      <c r="A178" s="108">
        <f t="shared" si="25"/>
        <v>43</v>
      </c>
      <c r="B178" s="131">
        <f t="shared" si="36"/>
        <v>44985</v>
      </c>
      <c r="C178" s="140">
        <f>'Att(1of6)(JP-Non)'!C178</f>
        <v>4.6768179999999999E-2</v>
      </c>
      <c r="D178" s="117">
        <f t="shared" si="37"/>
        <v>45016</v>
      </c>
      <c r="E178" s="131">
        <f t="shared" si="38"/>
        <v>45046</v>
      </c>
      <c r="F178" s="121">
        <v>152205.37</v>
      </c>
      <c r="G178" s="131">
        <f t="shared" si="32"/>
        <v>45077</v>
      </c>
      <c r="H178" s="121">
        <v>226658.05</v>
      </c>
      <c r="I178" s="123">
        <f t="shared" si="33"/>
        <v>3344.6300000002957</v>
      </c>
      <c r="J178" s="121">
        <f t="shared" si="34"/>
        <v>155550.00000000029</v>
      </c>
      <c r="K178" s="121">
        <f t="shared" si="35"/>
        <v>3344.6300000002957</v>
      </c>
      <c r="N178" s="129"/>
      <c r="O178" s="129"/>
      <c r="P178" s="129"/>
    </row>
    <row r="179" spans="1:16" s="120" customFormat="1" ht="18" hidden="1" customHeight="1" outlineLevel="1" x14ac:dyDescent="0.25">
      <c r="A179" s="108">
        <f t="shared" si="25"/>
        <v>44</v>
      </c>
      <c r="B179" s="131">
        <f t="shared" si="36"/>
        <v>45016</v>
      </c>
      <c r="C179" s="140">
        <f>'Att(1of6)(JP-Non)'!C179</f>
        <v>6.4901299999999995E-2</v>
      </c>
      <c r="D179" s="117">
        <f t="shared" si="37"/>
        <v>45046</v>
      </c>
      <c r="E179" s="131">
        <f t="shared" si="38"/>
        <v>45077</v>
      </c>
      <c r="F179" s="121">
        <v>149522.16</v>
      </c>
      <c r="G179" s="131">
        <f t="shared" si="32"/>
        <v>45107</v>
      </c>
      <c r="H179" s="121">
        <v>123451.73</v>
      </c>
      <c r="I179" s="123">
        <f t="shared" si="33"/>
        <v>32098.270000000295</v>
      </c>
      <c r="J179" s="121">
        <f t="shared" si="34"/>
        <v>181620.43000000028</v>
      </c>
      <c r="K179" s="121">
        <f t="shared" si="35"/>
        <v>32098.270000000295</v>
      </c>
      <c r="N179" s="129"/>
      <c r="O179" s="129"/>
      <c r="P179" s="129"/>
    </row>
    <row r="180" spans="1:16" s="120" customFormat="1" ht="18" hidden="1" customHeight="1" outlineLevel="1" x14ac:dyDescent="0.25">
      <c r="A180" s="108">
        <f t="shared" si="25"/>
        <v>45</v>
      </c>
      <c r="B180" s="131">
        <f t="shared" si="36"/>
        <v>45046</v>
      </c>
      <c r="C180" s="140">
        <f>'Att(1of6)(JP-Non)'!C180</f>
        <v>6.2863630000000004E-2</v>
      </c>
      <c r="D180" s="117">
        <f t="shared" si="37"/>
        <v>45077</v>
      </c>
      <c r="E180" s="131">
        <f t="shared" si="38"/>
        <v>45107</v>
      </c>
      <c r="F180" s="121">
        <v>162357.12</v>
      </c>
      <c r="G180" s="131">
        <f t="shared" si="32"/>
        <v>45138</v>
      </c>
      <c r="H180" s="121">
        <v>185484.09</v>
      </c>
      <c r="I180" s="123">
        <f t="shared" si="33"/>
        <v>-3863.6599999997125</v>
      </c>
      <c r="J180" s="121">
        <f t="shared" si="34"/>
        <v>158493.46000000028</v>
      </c>
      <c r="K180" s="121">
        <f t="shared" si="35"/>
        <v>-3863.6599999997125</v>
      </c>
      <c r="N180" s="129"/>
      <c r="O180" s="129"/>
      <c r="P180" s="129"/>
    </row>
    <row r="181" spans="1:16" s="120" customFormat="1" ht="18" hidden="1" customHeight="1" outlineLevel="1" x14ac:dyDescent="0.25">
      <c r="A181" s="108">
        <f t="shared" si="25"/>
        <v>46</v>
      </c>
      <c r="B181" s="131">
        <f t="shared" si="36"/>
        <v>45077</v>
      </c>
      <c r="C181" s="140">
        <f>'Att(1of6)(JP-Non)'!C181</f>
        <v>8.1644729999999999E-2</v>
      </c>
      <c r="D181" s="117">
        <f t="shared" si="37"/>
        <v>45107</v>
      </c>
      <c r="E181" s="131">
        <f t="shared" si="38"/>
        <v>45138</v>
      </c>
      <c r="F181" s="121">
        <v>243078.82</v>
      </c>
      <c r="G181" s="131">
        <f t="shared" si="32"/>
        <v>45169</v>
      </c>
      <c r="H181" s="121">
        <v>178517.99</v>
      </c>
      <c r="I181" s="123">
        <f t="shared" si="33"/>
        <v>-20024.529999999708</v>
      </c>
      <c r="J181" s="121">
        <f t="shared" si="34"/>
        <v>223054.2900000003</v>
      </c>
      <c r="K181" s="121">
        <f t="shared" si="35"/>
        <v>-20024.529999999708</v>
      </c>
      <c r="N181" s="129"/>
      <c r="O181" s="129"/>
      <c r="P181" s="129"/>
    </row>
    <row r="182" spans="1:16" s="120" customFormat="1" ht="18" customHeight="1" collapsed="1" x14ac:dyDescent="0.25">
      <c r="A182" s="108">
        <v>1</v>
      </c>
      <c r="B182" s="131">
        <f t="shared" si="36"/>
        <v>45107</v>
      </c>
      <c r="C182" s="140">
        <f>'Att(1of6)(JP-Non)'!C182</f>
        <v>7.4411459999999999E-2</v>
      </c>
      <c r="D182" s="117">
        <f t="shared" si="37"/>
        <v>45138</v>
      </c>
      <c r="E182" s="131">
        <f t="shared" si="38"/>
        <v>45169</v>
      </c>
      <c r="F182" s="121">
        <v>293658.53000000003</v>
      </c>
      <c r="G182" s="131">
        <f t="shared" si="32"/>
        <v>45199</v>
      </c>
      <c r="H182" s="121">
        <v>270309.96000000002</v>
      </c>
      <c r="I182" s="123">
        <f t="shared" si="33"/>
        <v>-47255.669999999722</v>
      </c>
      <c r="J182" s="121">
        <f t="shared" si="34"/>
        <v>246402.86000000031</v>
      </c>
      <c r="K182" s="121">
        <f t="shared" si="35"/>
        <v>-47255.669999999722</v>
      </c>
      <c r="N182" s="129"/>
      <c r="O182" s="129"/>
      <c r="P182" s="129"/>
    </row>
    <row r="183" spans="1:16" s="120" customFormat="1" ht="18" customHeight="1" x14ac:dyDescent="0.25">
      <c r="A183" s="108">
        <f t="shared" si="25"/>
        <v>2</v>
      </c>
      <c r="B183" s="131">
        <f t="shared" si="36"/>
        <v>45138</v>
      </c>
      <c r="C183" s="140">
        <f>'Att(1of6)(JP-Non)'!C183</f>
        <v>7.5493160000000004E-2</v>
      </c>
      <c r="D183" s="117">
        <f t="shared" si="37"/>
        <v>45169</v>
      </c>
      <c r="E183" s="131">
        <f t="shared" si="38"/>
        <v>45199</v>
      </c>
      <c r="F183" s="121">
        <v>278376.63</v>
      </c>
      <c r="G183" s="131">
        <f t="shared" si="32"/>
        <v>45230</v>
      </c>
      <c r="H183" s="121">
        <v>240152.65</v>
      </c>
      <c r="I183" s="123">
        <f t="shared" si="33"/>
        <v>6250.210000000312</v>
      </c>
      <c r="J183" s="121">
        <f t="shared" si="34"/>
        <v>284626.84000000032</v>
      </c>
      <c r="K183" s="121">
        <f t="shared" si="35"/>
        <v>6250.210000000312</v>
      </c>
      <c r="N183" s="129"/>
      <c r="O183" s="129"/>
      <c r="P183" s="129"/>
    </row>
    <row r="184" spans="1:16" s="120" customFormat="1" ht="18" customHeight="1" x14ac:dyDescent="0.25">
      <c r="A184" s="108">
        <f t="shared" si="25"/>
        <v>3</v>
      </c>
      <c r="B184" s="131">
        <f t="shared" si="36"/>
        <v>45169</v>
      </c>
      <c r="C184" s="140">
        <f>'Att(1of6)(JP-Non)'!C184</f>
        <v>6.5876210000000004E-2</v>
      </c>
      <c r="D184" s="117">
        <f t="shared" si="37"/>
        <v>45199</v>
      </c>
      <c r="E184" s="131">
        <f t="shared" si="38"/>
        <v>45230</v>
      </c>
      <c r="F184" s="121">
        <v>204067.32</v>
      </c>
      <c r="G184" s="131">
        <f>EOMONTH(E184,1)</f>
        <v>45260</v>
      </c>
      <c r="H184" s="121">
        <v>241747.3</v>
      </c>
      <c r="I184" s="123">
        <f>K184</f>
        <v>42879.540000000328</v>
      </c>
      <c r="J184" s="121">
        <f>+F184+I184</f>
        <v>246946.86000000034</v>
      </c>
      <c r="K184" s="121">
        <f>J183-H184</f>
        <v>42879.540000000328</v>
      </c>
      <c r="N184" s="129"/>
      <c r="O184" s="129"/>
      <c r="P184" s="129"/>
    </row>
    <row r="185" spans="1:16" s="120" customFormat="1" ht="18" customHeight="1" x14ac:dyDescent="0.25">
      <c r="A185" s="108">
        <f t="shared" si="25"/>
        <v>4</v>
      </c>
      <c r="B185" s="131">
        <f t="shared" si="36"/>
        <v>45199</v>
      </c>
      <c r="C185" s="140">
        <f>'Att(1of6)(JP-Non)'!C185</f>
        <v>6.4929429999999996E-2</v>
      </c>
      <c r="D185" s="117">
        <f t="shared" si="37"/>
        <v>45230</v>
      </c>
      <c r="E185" s="131">
        <f t="shared" si="38"/>
        <v>45260</v>
      </c>
      <c r="F185" s="121">
        <v>178482.2</v>
      </c>
      <c r="G185" s="131">
        <f>EOMONTH(E185,1)</f>
        <v>45291</v>
      </c>
      <c r="H185" s="121">
        <v>224870.58</v>
      </c>
      <c r="I185" s="123">
        <f>K185</f>
        <v>22076.280000000348</v>
      </c>
      <c r="J185" s="121">
        <f>+F185+I185</f>
        <v>200558.48000000036</v>
      </c>
      <c r="K185" s="121">
        <f>J184-H185</f>
        <v>22076.280000000348</v>
      </c>
      <c r="N185" s="129"/>
      <c r="O185" s="129"/>
      <c r="P185" s="129"/>
    </row>
    <row r="186" spans="1:16" s="120" customFormat="1" ht="18" customHeight="1" x14ac:dyDescent="0.25">
      <c r="A186" s="108">
        <f t="shared" si="25"/>
        <v>5</v>
      </c>
      <c r="B186" s="131">
        <f t="shared" si="36"/>
        <v>45230</v>
      </c>
      <c r="C186" s="140">
        <f>'Att(1of6)(JP-Non)'!C186</f>
        <v>7.7310950000000003E-2</v>
      </c>
      <c r="D186" s="117">
        <f t="shared" si="37"/>
        <v>45260</v>
      </c>
      <c r="E186" s="131">
        <f t="shared" si="38"/>
        <v>45291</v>
      </c>
      <c r="F186" s="121">
        <v>280847.34000000003</v>
      </c>
      <c r="G186" s="131">
        <f t="shared" ref="G186:G203" si="39">EOMONTH(E186,1)</f>
        <v>45322</v>
      </c>
      <c r="H186" s="121">
        <v>230107.38</v>
      </c>
      <c r="I186" s="123">
        <f t="shared" ref="I186:I203" si="40">K186</f>
        <v>-29548.899999999645</v>
      </c>
      <c r="J186" s="121">
        <f t="shared" ref="J186:J203" si="41">+F186+I186</f>
        <v>251298.44000000038</v>
      </c>
      <c r="K186" s="121">
        <f t="shared" ref="K186:K203" si="42">J185-H186</f>
        <v>-29548.899999999645</v>
      </c>
      <c r="N186" s="129"/>
      <c r="O186" s="129"/>
      <c r="P186" s="129"/>
    </row>
    <row r="187" spans="1:16" s="120" customFormat="1" ht="18" customHeight="1" x14ac:dyDescent="0.25">
      <c r="A187" s="108">
        <f t="shared" si="25"/>
        <v>6</v>
      </c>
      <c r="B187" s="131">
        <f t="shared" si="36"/>
        <v>45260</v>
      </c>
      <c r="C187" s="140">
        <f>'Att(1of6)(JP-Non)'!C187</f>
        <v>7.9029470000000004E-2</v>
      </c>
      <c r="D187" s="117">
        <f t="shared" si="37"/>
        <v>45291</v>
      </c>
      <c r="E187" s="131">
        <f t="shared" si="38"/>
        <v>45322</v>
      </c>
      <c r="F187" s="121">
        <v>324805.87</v>
      </c>
      <c r="G187" s="131">
        <f t="shared" si="39"/>
        <v>45351</v>
      </c>
      <c r="H187" s="121">
        <v>312642.93</v>
      </c>
      <c r="I187" s="123">
        <f t="shared" si="40"/>
        <v>-61344.489999999612</v>
      </c>
      <c r="J187" s="121">
        <f t="shared" si="41"/>
        <v>263461.38000000035</v>
      </c>
      <c r="K187" s="121">
        <f t="shared" si="42"/>
        <v>-61344.489999999612</v>
      </c>
      <c r="N187" s="129"/>
      <c r="O187" s="129"/>
      <c r="P187" s="129"/>
    </row>
    <row r="188" spans="1:16" s="120" customFormat="1" ht="18" customHeight="1" x14ac:dyDescent="0.25">
      <c r="A188" s="108">
        <f t="shared" si="25"/>
        <v>7</v>
      </c>
      <c r="B188" s="131">
        <f t="shared" si="36"/>
        <v>45291</v>
      </c>
      <c r="C188" s="140">
        <f>'Att(1of6)(JP-Non)'!C188</f>
        <v>8.48048E-2</v>
      </c>
      <c r="D188" s="117">
        <f t="shared" si="37"/>
        <v>45322</v>
      </c>
      <c r="E188" s="131">
        <f t="shared" si="38"/>
        <v>45351</v>
      </c>
      <c r="F188" s="121">
        <v>462660.57</v>
      </c>
      <c r="G188" s="131">
        <f t="shared" si="39"/>
        <v>45382</v>
      </c>
      <c r="H188" s="121">
        <v>332946.76</v>
      </c>
      <c r="I188" s="123">
        <f t="shared" si="40"/>
        <v>-69485.379999999655</v>
      </c>
      <c r="J188" s="121">
        <f t="shared" si="41"/>
        <v>393175.19000000035</v>
      </c>
      <c r="K188" s="121">
        <f t="shared" si="42"/>
        <v>-69485.379999999655</v>
      </c>
      <c r="N188" s="129"/>
      <c r="O188" s="129"/>
      <c r="P188" s="129"/>
    </row>
    <row r="189" spans="1:16" s="120" customFormat="1" ht="18" customHeight="1" x14ac:dyDescent="0.25">
      <c r="A189" s="108">
        <f t="shared" si="25"/>
        <v>8</v>
      </c>
      <c r="B189" s="131">
        <f t="shared" si="36"/>
        <v>45322</v>
      </c>
      <c r="C189" s="140">
        <f>'Att(1of6)(JP-Non)'!C189</f>
        <v>7.1640460000000003E-2</v>
      </c>
      <c r="D189" s="117">
        <f t="shared" si="37"/>
        <v>45351</v>
      </c>
      <c r="E189" s="131">
        <f t="shared" si="38"/>
        <v>45382</v>
      </c>
      <c r="F189" s="121">
        <v>246892.54</v>
      </c>
      <c r="G189" s="131">
        <f t="shared" si="39"/>
        <v>45412</v>
      </c>
      <c r="H189" s="121">
        <v>277044.56</v>
      </c>
      <c r="I189" s="123">
        <f t="shared" si="40"/>
        <v>116130.63000000035</v>
      </c>
      <c r="J189" s="121">
        <f t="shared" si="41"/>
        <v>363023.17000000039</v>
      </c>
      <c r="K189" s="121">
        <f t="shared" si="42"/>
        <v>116130.63000000035</v>
      </c>
      <c r="N189" s="129"/>
      <c r="O189" s="129"/>
      <c r="P189" s="129"/>
    </row>
    <row r="190" spans="1:16" s="120" customFormat="1" ht="18" customHeight="1" x14ac:dyDescent="0.25">
      <c r="A190" s="108">
        <f t="shared" si="25"/>
        <v>9</v>
      </c>
      <c r="B190" s="131">
        <f t="shared" si="36"/>
        <v>45351</v>
      </c>
      <c r="C190" s="140">
        <f>'Att(1of6)(JP-Non)'!C190</f>
        <v>5.6475690000000002E-2</v>
      </c>
      <c r="D190" s="117">
        <f t="shared" si="37"/>
        <v>45382</v>
      </c>
      <c r="E190" s="131">
        <f t="shared" si="38"/>
        <v>45412</v>
      </c>
      <c r="F190" s="121">
        <v>195286.46</v>
      </c>
      <c r="G190" s="131">
        <f t="shared" si="39"/>
        <v>45443</v>
      </c>
      <c r="H190" s="121">
        <v>314833.71999999997</v>
      </c>
      <c r="I190" s="123">
        <f t="shared" si="40"/>
        <v>48189.450000000419</v>
      </c>
      <c r="J190" s="121">
        <f t="shared" si="41"/>
        <v>243475.91000000041</v>
      </c>
      <c r="K190" s="121">
        <f t="shared" si="42"/>
        <v>48189.450000000419</v>
      </c>
      <c r="N190" s="129"/>
      <c r="O190" s="129"/>
      <c r="P190" s="129"/>
    </row>
    <row r="191" spans="1:16" s="120" customFormat="1" ht="18" customHeight="1" x14ac:dyDescent="0.25">
      <c r="A191" s="108">
        <f t="shared" si="25"/>
        <v>10</v>
      </c>
      <c r="B191" s="131">
        <f t="shared" si="36"/>
        <v>45382</v>
      </c>
      <c r="C191" s="140">
        <f>'Att(1of6)(JP-Non)'!C191</f>
        <v>7.6254279999999994E-2</v>
      </c>
      <c r="D191" s="117">
        <f t="shared" si="37"/>
        <v>45412</v>
      </c>
      <c r="E191" s="131">
        <f t="shared" si="38"/>
        <v>45443</v>
      </c>
      <c r="F191" s="121">
        <v>204473.53</v>
      </c>
      <c r="G191" s="131">
        <f t="shared" si="39"/>
        <v>45473</v>
      </c>
      <c r="H191" s="121">
        <v>218815.42</v>
      </c>
      <c r="I191" s="123">
        <f t="shared" si="40"/>
        <v>24660.490000000398</v>
      </c>
      <c r="J191" s="121">
        <f t="shared" si="41"/>
        <v>229134.0200000004</v>
      </c>
      <c r="K191" s="121">
        <f t="shared" si="42"/>
        <v>24660.490000000398</v>
      </c>
      <c r="N191" s="129"/>
      <c r="O191" s="129"/>
      <c r="P191" s="129"/>
    </row>
    <row r="192" spans="1:16" s="120" customFormat="1" ht="18" customHeight="1" x14ac:dyDescent="0.25">
      <c r="A192" s="108">
        <f t="shared" si="25"/>
        <v>11</v>
      </c>
      <c r="B192" s="131">
        <f t="shared" si="36"/>
        <v>45412</v>
      </c>
      <c r="C192" s="140">
        <f>'Att(1of6)(JP-Non)'!C192</f>
        <v>7.5138930000000007E-2</v>
      </c>
      <c r="D192" s="117">
        <f t="shared" si="37"/>
        <v>45443</v>
      </c>
      <c r="E192" s="131">
        <f t="shared" si="38"/>
        <v>45473</v>
      </c>
      <c r="F192" s="121">
        <v>208483.3</v>
      </c>
      <c r="G192" s="131">
        <f t="shared" si="39"/>
        <v>45504</v>
      </c>
      <c r="H192" s="121">
        <v>239242.36</v>
      </c>
      <c r="I192" s="123">
        <f t="shared" si="40"/>
        <v>-10108.339999999589</v>
      </c>
      <c r="J192" s="121">
        <f t="shared" si="41"/>
        <v>198374.9600000004</v>
      </c>
      <c r="K192" s="121">
        <f t="shared" si="42"/>
        <v>-10108.339999999589</v>
      </c>
      <c r="N192" s="129"/>
      <c r="O192" s="129"/>
      <c r="P192" s="129"/>
    </row>
    <row r="193" spans="1:16" s="120" customFormat="1" ht="18" customHeight="1" x14ac:dyDescent="0.25">
      <c r="A193" s="108">
        <f t="shared" si="25"/>
        <v>12</v>
      </c>
      <c r="B193" s="131">
        <f t="shared" si="36"/>
        <v>45443</v>
      </c>
      <c r="C193" s="140">
        <f>'Att(1of6)(JP-Non)'!C193</f>
        <v>7.7712069999999994E-2</v>
      </c>
      <c r="D193" s="117">
        <f t="shared" si="37"/>
        <v>45473</v>
      </c>
      <c r="E193" s="131">
        <f t="shared" si="38"/>
        <v>45504</v>
      </c>
      <c r="F193" s="121">
        <v>265052</v>
      </c>
      <c r="G193" s="131">
        <f t="shared" si="39"/>
        <v>45535</v>
      </c>
      <c r="H193" s="121">
        <v>236531.73</v>
      </c>
      <c r="I193" s="123">
        <f t="shared" si="40"/>
        <v>-38156.769999999611</v>
      </c>
      <c r="J193" s="121">
        <f t="shared" si="41"/>
        <v>226895.23000000039</v>
      </c>
      <c r="K193" s="121">
        <f t="shared" si="42"/>
        <v>-38156.769999999611</v>
      </c>
      <c r="N193" s="129"/>
      <c r="O193" s="129"/>
      <c r="P193" s="129"/>
    </row>
    <row r="194" spans="1:16" s="120" customFormat="1" ht="18" customHeight="1" x14ac:dyDescent="0.25">
      <c r="A194" s="108">
        <f t="shared" si="25"/>
        <v>13</v>
      </c>
      <c r="B194" s="131">
        <f t="shared" si="36"/>
        <v>45473</v>
      </c>
      <c r="C194" s="140">
        <f>'Att(1of6)(JP-Non)'!C194</f>
        <v>8.6303729999999995E-2</v>
      </c>
      <c r="D194" s="117">
        <f t="shared" si="37"/>
        <v>45504</v>
      </c>
      <c r="E194" s="131">
        <f t="shared" si="38"/>
        <v>45535</v>
      </c>
      <c r="F194" s="121">
        <v>327896.83</v>
      </c>
      <c r="G194" s="131">
        <f t="shared" si="39"/>
        <v>45565</v>
      </c>
      <c r="H194" s="121">
        <v>251164.71</v>
      </c>
      <c r="I194" s="123">
        <f t="shared" si="40"/>
        <v>-24269.479999999603</v>
      </c>
      <c r="J194" s="121">
        <f t="shared" si="41"/>
        <v>303627.35000000044</v>
      </c>
      <c r="K194" s="121">
        <f t="shared" si="42"/>
        <v>-24269.479999999603</v>
      </c>
      <c r="N194" s="129"/>
      <c r="O194" s="129"/>
      <c r="P194" s="129"/>
    </row>
    <row r="195" spans="1:16" s="120" customFormat="1" ht="18" customHeight="1" x14ac:dyDescent="0.25">
      <c r="A195" s="108">
        <f t="shared" si="25"/>
        <v>14</v>
      </c>
      <c r="B195" s="131">
        <f t="shared" si="36"/>
        <v>45504</v>
      </c>
      <c r="C195" s="140">
        <f>'Att(1of6)(JP-Non)'!C195</f>
        <v>7.8004019999999993E-2</v>
      </c>
      <c r="D195" s="117">
        <f t="shared" si="37"/>
        <v>45535</v>
      </c>
      <c r="E195" s="131">
        <f t="shared" si="38"/>
        <v>45565</v>
      </c>
      <c r="F195" s="121">
        <v>303275.46999999997</v>
      </c>
      <c r="G195" s="131">
        <f t="shared" si="39"/>
        <v>45596</v>
      </c>
      <c r="H195" s="121">
        <v>293238.09999999998</v>
      </c>
      <c r="I195" s="123">
        <f t="shared" si="40"/>
        <v>10389.250000000466</v>
      </c>
      <c r="J195" s="121">
        <f t="shared" si="41"/>
        <v>313664.72000000044</v>
      </c>
      <c r="K195" s="121">
        <f t="shared" si="42"/>
        <v>10389.250000000466</v>
      </c>
      <c r="N195" s="129"/>
      <c r="O195" s="129"/>
      <c r="P195" s="129"/>
    </row>
    <row r="196" spans="1:16" s="120" customFormat="1" ht="18" customHeight="1" x14ac:dyDescent="0.25">
      <c r="A196" s="108">
        <f t="shared" si="25"/>
        <v>15</v>
      </c>
      <c r="B196" s="131">
        <f t="shared" si="36"/>
        <v>45535</v>
      </c>
      <c r="C196" s="140">
        <f>'Att(1of6)(JP-Non)'!C196</f>
        <v>6.874218E-2</v>
      </c>
      <c r="D196" s="117">
        <f t="shared" si="37"/>
        <v>45565</v>
      </c>
      <c r="E196" s="131">
        <f t="shared" si="38"/>
        <v>45596</v>
      </c>
      <c r="F196" s="121">
        <v>236156.94</v>
      </c>
      <c r="G196" s="131">
        <f t="shared" si="39"/>
        <v>45626</v>
      </c>
      <c r="H196" s="121">
        <v>274615.45</v>
      </c>
      <c r="I196" s="123">
        <f t="shared" si="40"/>
        <v>39049.270000000426</v>
      </c>
      <c r="J196" s="121">
        <f t="shared" si="41"/>
        <v>275206.21000000043</v>
      </c>
      <c r="K196" s="121">
        <f t="shared" si="42"/>
        <v>39049.270000000426</v>
      </c>
      <c r="N196" s="129"/>
      <c r="O196" s="129"/>
      <c r="P196" s="129"/>
    </row>
    <row r="197" spans="1:16" s="120" customFormat="1" ht="18" customHeight="1" x14ac:dyDescent="0.25">
      <c r="A197" s="108">
        <f t="shared" si="25"/>
        <v>16</v>
      </c>
      <c r="B197" s="131">
        <f t="shared" si="36"/>
        <v>45565</v>
      </c>
      <c r="C197" s="140">
        <f>'Att(1of6)(JP-Non)'!C197</f>
        <v>6.7934670000000003E-2</v>
      </c>
      <c r="D197" s="117">
        <f t="shared" si="37"/>
        <v>45596</v>
      </c>
      <c r="E197" s="131">
        <f t="shared" si="38"/>
        <v>45626</v>
      </c>
      <c r="F197" s="121">
        <v>206291.9</v>
      </c>
      <c r="G197" s="131">
        <f t="shared" si="39"/>
        <v>45657</v>
      </c>
      <c r="H197" s="121">
        <v>241389.96</v>
      </c>
      <c r="I197" s="123">
        <f t="shared" si="40"/>
        <v>33816.250000000437</v>
      </c>
      <c r="J197" s="121">
        <f t="shared" si="41"/>
        <v>240108.15000000043</v>
      </c>
      <c r="K197" s="121">
        <f t="shared" si="42"/>
        <v>33816.250000000437</v>
      </c>
      <c r="N197" s="129"/>
      <c r="O197" s="129"/>
      <c r="P197" s="129"/>
    </row>
    <row r="198" spans="1:16" s="120" customFormat="1" ht="18" customHeight="1" x14ac:dyDescent="0.25">
      <c r="A198" s="108">
        <f t="shared" si="25"/>
        <v>17</v>
      </c>
      <c r="B198" s="131">
        <f t="shared" si="36"/>
        <v>45596</v>
      </c>
      <c r="C198" s="140">
        <f>'Att(1of6)(JP-Non)'!C198</f>
        <v>6.7684969999999997E-2</v>
      </c>
      <c r="D198" s="117">
        <f t="shared" si="37"/>
        <v>45626</v>
      </c>
      <c r="E198" s="131">
        <f t="shared" si="38"/>
        <v>45657</v>
      </c>
      <c r="F198" s="121">
        <v>215348.57</v>
      </c>
      <c r="G198" s="131">
        <f t="shared" si="39"/>
        <v>45688</v>
      </c>
      <c r="H198" s="121">
        <v>263150.95</v>
      </c>
      <c r="I198" s="123">
        <f t="shared" si="40"/>
        <v>-23042.799999999581</v>
      </c>
      <c r="J198" s="121">
        <f t="shared" si="41"/>
        <v>192305.77000000043</v>
      </c>
      <c r="K198" s="121">
        <f t="shared" si="42"/>
        <v>-23042.799999999581</v>
      </c>
      <c r="N198" s="129"/>
      <c r="O198" s="129"/>
      <c r="P198" s="129"/>
    </row>
    <row r="199" spans="1:16" s="120" customFormat="1" ht="18" customHeight="1" x14ac:dyDescent="0.25">
      <c r="A199" s="108">
        <f t="shared" si="25"/>
        <v>18</v>
      </c>
      <c r="B199" s="131">
        <f t="shared" si="36"/>
        <v>45626</v>
      </c>
      <c r="C199" s="140">
        <f>'Att(1of6)(JP-Non)'!C199</f>
        <v>7.9953739999999995E-2</v>
      </c>
      <c r="D199" s="117">
        <f t="shared" si="37"/>
        <v>45657</v>
      </c>
      <c r="E199" s="131">
        <f t="shared" si="38"/>
        <v>45688</v>
      </c>
      <c r="F199" s="121">
        <v>364723.29</v>
      </c>
      <c r="G199" s="131">
        <f t="shared" si="39"/>
        <v>45716</v>
      </c>
      <c r="H199" s="121">
        <v>267613.63</v>
      </c>
      <c r="I199" s="123">
        <f t="shared" si="40"/>
        <v>-75307.859999999579</v>
      </c>
      <c r="J199" s="121">
        <f t="shared" si="41"/>
        <v>289415.4300000004</v>
      </c>
      <c r="K199" s="121">
        <f t="shared" si="42"/>
        <v>-75307.859999999579</v>
      </c>
      <c r="N199" s="129"/>
      <c r="O199" s="129"/>
      <c r="P199" s="129"/>
    </row>
    <row r="200" spans="1:16" s="120" customFormat="1" ht="18" customHeight="1" x14ac:dyDescent="0.25">
      <c r="A200" s="108">
        <f t="shared" si="25"/>
        <v>19</v>
      </c>
      <c r="B200" s="131">
        <f t="shared" si="36"/>
        <v>45657</v>
      </c>
      <c r="C200" s="140">
        <f>'Att(1of6)(JP-Non)'!C200</f>
        <v>7.5819269999999994E-2</v>
      </c>
      <c r="D200" s="117">
        <f t="shared" si="37"/>
        <v>45688</v>
      </c>
      <c r="E200" s="131">
        <f t="shared" si="38"/>
        <v>45716</v>
      </c>
      <c r="F200" s="121">
        <v>434610.84</v>
      </c>
      <c r="G200" s="131">
        <f t="shared" si="39"/>
        <v>45747</v>
      </c>
      <c r="H200" s="121">
        <v>364006.1</v>
      </c>
      <c r="I200" s="123">
        <f t="shared" si="40"/>
        <v>-74590.669999999576</v>
      </c>
      <c r="J200" s="121">
        <f t="shared" si="41"/>
        <v>360020.17000000045</v>
      </c>
      <c r="K200" s="121">
        <f t="shared" si="42"/>
        <v>-74590.669999999576</v>
      </c>
      <c r="N200" s="129"/>
      <c r="O200" s="129"/>
      <c r="P200" s="129"/>
    </row>
    <row r="201" spans="1:16" s="120" customFormat="1" ht="18" customHeight="1" x14ac:dyDescent="0.25">
      <c r="A201" s="108">
        <f t="shared" ref="A201:A203" si="43">+A200+1</f>
        <v>20</v>
      </c>
      <c r="B201" s="131">
        <f t="shared" si="36"/>
        <v>45688</v>
      </c>
      <c r="C201" s="140">
        <f>'Att(1of6)(JP-Non)'!C201</f>
        <v>7.1409169999999994E-2</v>
      </c>
      <c r="D201" s="117">
        <f t="shared" si="37"/>
        <v>45716</v>
      </c>
      <c r="E201" s="131">
        <f t="shared" si="38"/>
        <v>45747</v>
      </c>
      <c r="F201" s="121">
        <v>376613.12</v>
      </c>
      <c r="G201" s="131">
        <f t="shared" si="39"/>
        <v>45777</v>
      </c>
      <c r="H201" s="121">
        <v>293245.3</v>
      </c>
      <c r="I201" s="123">
        <f t="shared" si="40"/>
        <v>66774.870000000461</v>
      </c>
      <c r="J201" s="121">
        <f t="shared" si="41"/>
        <v>443387.99000000046</v>
      </c>
      <c r="K201" s="121">
        <f t="shared" si="42"/>
        <v>66774.870000000461</v>
      </c>
      <c r="N201" s="129"/>
      <c r="O201" s="129"/>
      <c r="P201" s="129"/>
    </row>
    <row r="202" spans="1:16" s="120" customFormat="1" ht="18" hidden="1" customHeight="1" x14ac:dyDescent="0.25">
      <c r="A202" s="108">
        <f t="shared" si="43"/>
        <v>21</v>
      </c>
      <c r="B202" s="131">
        <f t="shared" si="36"/>
        <v>45716</v>
      </c>
      <c r="C202" s="140">
        <f>'Att(1of6)(JP-Non)'!C202</f>
        <v>5.6928850000000003E-2</v>
      </c>
      <c r="D202" s="117">
        <f t="shared" si="37"/>
        <v>45747</v>
      </c>
      <c r="E202" s="131">
        <f t="shared" si="38"/>
        <v>45777</v>
      </c>
      <c r="F202" s="121">
        <v>195767.34</v>
      </c>
      <c r="G202" s="131">
        <f t="shared" si="39"/>
        <v>45808</v>
      </c>
      <c r="H202" s="121">
        <v>327716.40999999997</v>
      </c>
      <c r="I202" s="123">
        <f>K202</f>
        <v>115671.58000000048</v>
      </c>
      <c r="J202" s="121">
        <f t="shared" si="41"/>
        <v>311438.92000000051</v>
      </c>
      <c r="K202" s="121">
        <f>J201-H202</f>
        <v>115671.58000000048</v>
      </c>
      <c r="N202" s="129"/>
      <c r="O202" s="129"/>
      <c r="P202" s="129"/>
    </row>
    <row r="203" spans="1:16" s="120" customFormat="1" ht="18" hidden="1" customHeight="1" x14ac:dyDescent="0.25">
      <c r="A203" s="108">
        <f t="shared" si="43"/>
        <v>22</v>
      </c>
      <c r="B203" s="131">
        <f t="shared" si="36"/>
        <v>45747</v>
      </c>
      <c r="C203" s="140">
        <f>'Att(1of6)(JP-Non)'!C203</f>
        <v>6.0677380000000003E-2</v>
      </c>
      <c r="D203" s="117">
        <f t="shared" si="37"/>
        <v>45777</v>
      </c>
      <c r="E203" s="131">
        <f t="shared" si="38"/>
        <v>45808</v>
      </c>
      <c r="F203" s="121"/>
      <c r="G203" s="131">
        <f t="shared" si="39"/>
        <v>45838</v>
      </c>
      <c r="H203" s="121"/>
      <c r="I203" s="123">
        <f t="shared" si="40"/>
        <v>311438.92000000051</v>
      </c>
      <c r="J203" s="121">
        <f t="shared" si="41"/>
        <v>311438.92000000051</v>
      </c>
      <c r="K203" s="121">
        <f t="shared" si="42"/>
        <v>311438.92000000051</v>
      </c>
      <c r="N203" s="129"/>
      <c r="O203" s="129"/>
      <c r="P203" s="129"/>
    </row>
    <row r="204" spans="1:16" ht="7.5" customHeight="1" x14ac:dyDescent="0.25">
      <c r="B204" s="157"/>
      <c r="C204" s="141"/>
      <c r="D204" s="161"/>
      <c r="E204" s="161"/>
      <c r="F204" s="162"/>
      <c r="G204" s="162"/>
      <c r="H204" s="162"/>
      <c r="I204" s="162"/>
      <c r="J204" s="162"/>
      <c r="K204" s="162"/>
    </row>
    <row r="205" spans="1:16" x14ac:dyDescent="0.25">
      <c r="F205" s="109"/>
      <c r="G205" s="109"/>
      <c r="H205" s="109"/>
      <c r="I205" s="109"/>
      <c r="J205" s="109"/>
      <c r="K205" s="109"/>
    </row>
    <row r="206" spans="1:16" x14ac:dyDescent="0.25">
      <c r="F206" s="109"/>
      <c r="G206" s="109"/>
      <c r="H206" s="109"/>
      <c r="I206" s="109"/>
      <c r="J206" s="109"/>
      <c r="K206" s="109"/>
    </row>
    <row r="207" spans="1:16" x14ac:dyDescent="0.25">
      <c r="F207" s="109"/>
      <c r="G207" s="109"/>
      <c r="H207" s="109"/>
      <c r="I207" s="109"/>
      <c r="J207" s="109"/>
      <c r="K207" s="109"/>
    </row>
    <row r="208" spans="1:16" x14ac:dyDescent="0.25">
      <c r="F208" s="109"/>
      <c r="G208" s="109"/>
      <c r="H208" s="109"/>
      <c r="I208" s="109"/>
      <c r="J208" s="109"/>
      <c r="K208" s="109"/>
    </row>
    <row r="209" spans="6:11" x14ac:dyDescent="0.25">
      <c r="F209" s="109"/>
      <c r="G209" s="109"/>
      <c r="H209" s="109"/>
      <c r="I209" s="109"/>
      <c r="J209" s="109"/>
      <c r="K209" s="109"/>
    </row>
    <row r="210" spans="6:11" x14ac:dyDescent="0.25">
      <c r="F210" s="109"/>
      <c r="G210" s="109"/>
      <c r="H210" s="109"/>
      <c r="I210" s="109"/>
      <c r="J210" s="109"/>
      <c r="K210" s="109"/>
    </row>
    <row r="211" spans="6:11" x14ac:dyDescent="0.25">
      <c r="F211" s="109"/>
      <c r="G211" s="109"/>
      <c r="H211" s="109"/>
      <c r="I211" s="109"/>
      <c r="J211" s="109"/>
      <c r="K211" s="109"/>
    </row>
    <row r="212" spans="6:11" x14ac:dyDescent="0.25">
      <c r="F212" s="109"/>
      <c r="G212" s="109"/>
      <c r="H212" s="109"/>
      <c r="I212" s="109"/>
      <c r="J212" s="109"/>
      <c r="K212" s="109"/>
    </row>
    <row r="213" spans="6:11" x14ac:dyDescent="0.25">
      <c r="F213" s="109"/>
      <c r="G213" s="109"/>
      <c r="H213" s="109"/>
      <c r="I213" s="109"/>
      <c r="J213" s="109"/>
      <c r="K213" s="109"/>
    </row>
    <row r="214" spans="6:11" x14ac:dyDescent="0.25">
      <c r="F214" s="109"/>
      <c r="G214" s="109"/>
      <c r="H214" s="109"/>
      <c r="I214" s="109"/>
      <c r="J214" s="109"/>
      <c r="K214" s="109"/>
    </row>
  </sheetData>
  <mergeCells count="16">
    <mergeCell ref="B7:K7"/>
    <mergeCell ref="B8:K8"/>
    <mergeCell ref="A1:K1"/>
    <mergeCell ref="A2:K2"/>
    <mergeCell ref="A3:K3"/>
    <mergeCell ref="A4:K4"/>
    <mergeCell ref="H10:H13"/>
    <mergeCell ref="I10:I13"/>
    <mergeCell ref="J10:J13"/>
    <mergeCell ref="K10:K13"/>
    <mergeCell ref="B10:B13"/>
    <mergeCell ref="C10:C13"/>
    <mergeCell ref="D10:D13"/>
    <mergeCell ref="E10:E13"/>
    <mergeCell ref="F10:F13"/>
    <mergeCell ref="G10:G13"/>
  </mergeCells>
  <pageMargins left="0.5" right="0.5" top="1" bottom="0.55000000000000004" header="0.375" footer="0.25"/>
  <pageSetup scale="70" orientation="landscape" r:id="rId1"/>
  <headerFooter alignWithMargins="0">
    <oddFooter>&amp;L&amp;"Century Schoolbook,Bold"&amp;12Case No. 2025-00052
Attachment (3 of 6) for Response to Staff's First Request Item 2
Witness: Rebecca L. (Becky) Shelton
Page &amp;P of &amp;N</oddFooter>
  </headerFooter>
  <rowBreaks count="1" manualBreakCount="1">
    <brk id="165" max="1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pageSetUpPr fitToPage="1"/>
  </sheetPr>
  <dimension ref="A1:P298"/>
  <sheetViews>
    <sheetView zoomScaleNormal="100" workbookViewId="0">
      <pane xSplit="4" ySplit="11" topLeftCell="E12" activePane="bottomRight" state="frozen"/>
      <selection sqref="A1:L1"/>
      <selection pane="topRight" sqref="A1:L1"/>
      <selection pane="bottomLeft" sqref="A1:L1"/>
      <selection pane="bottomRight" activeCell="F9" sqref="F9:F11"/>
    </sheetView>
  </sheetViews>
  <sheetFormatPr defaultColWidth="9.140625" defaultRowHeight="15.75" outlineLevelRow="1" x14ac:dyDescent="0.25"/>
  <cols>
    <col min="1" max="1" width="5.140625" style="108" customWidth="1"/>
    <col min="2" max="2" width="14.140625" style="108" customWidth="1"/>
    <col min="3" max="3" width="18.28515625" style="108" customWidth="1"/>
    <col min="4" max="5" width="14.42578125" style="126" customWidth="1"/>
    <col min="6" max="6" width="23.7109375" style="115" customWidth="1"/>
    <col min="7" max="7" width="16.28515625" style="115" customWidth="1"/>
    <col min="8" max="8" width="23.7109375" style="115" customWidth="1"/>
    <col min="9" max="9" width="27" style="115" customWidth="1"/>
    <col min="10" max="10" width="1.7109375" style="107" customWidth="1"/>
    <col min="11" max="11" width="14" style="110" bestFit="1" customWidth="1"/>
    <col min="12" max="12" width="12.140625" style="110" bestFit="1" customWidth="1"/>
    <col min="13" max="13" width="11.5703125" style="110" bestFit="1" customWidth="1"/>
    <col min="14" max="16" width="9.140625" style="110"/>
    <col min="17" max="16384" width="9.140625" style="107"/>
  </cols>
  <sheetData>
    <row r="1" spans="1:16" ht="16.899999999999999" customHeight="1" x14ac:dyDescent="0.25">
      <c r="A1" s="213" t="str">
        <f>'Att(1of6)(JP-Non)'!A1:L1</f>
        <v>BIG RIVERS ELECTRIC CORPORATION</v>
      </c>
      <c r="B1" s="227"/>
      <c r="C1" s="227"/>
      <c r="D1" s="227"/>
      <c r="E1" s="227"/>
      <c r="F1" s="227"/>
      <c r="G1" s="227"/>
      <c r="H1" s="227"/>
      <c r="I1" s="227"/>
      <c r="J1" s="227"/>
      <c r="K1" s="107"/>
      <c r="L1" s="109"/>
      <c r="M1" s="109"/>
      <c r="N1" s="109"/>
      <c r="O1" s="107"/>
      <c r="P1" s="107"/>
    </row>
    <row r="2" spans="1:16" ht="16.899999999999999" customHeight="1" x14ac:dyDescent="0.25">
      <c r="A2" s="213" t="str">
        <f>'Att(1of6)(JP-Non)'!A2:L2</f>
        <v>Six-Month Environmental Surcharge Review (Case No. 2025-00052)</v>
      </c>
      <c r="B2" s="227"/>
      <c r="C2" s="227"/>
      <c r="D2" s="227"/>
      <c r="E2" s="227"/>
      <c r="F2" s="227"/>
      <c r="G2" s="227"/>
      <c r="H2" s="227"/>
      <c r="I2" s="227"/>
      <c r="J2" s="227"/>
      <c r="K2" s="107"/>
      <c r="L2" s="109"/>
      <c r="M2" s="109"/>
      <c r="N2" s="109"/>
      <c r="O2" s="107"/>
      <c r="P2" s="107"/>
    </row>
    <row r="3" spans="1:16" ht="16.899999999999999" customHeight="1" x14ac:dyDescent="0.25">
      <c r="A3" s="213" t="str">
        <f>'Att(1of6)(JP-Non)'!A3:L3</f>
        <v>Response to Commission Staff's First Request for Information dated April 3, 2025</v>
      </c>
      <c r="B3" s="227"/>
      <c r="C3" s="227"/>
      <c r="D3" s="227"/>
      <c r="E3" s="227"/>
      <c r="F3" s="227"/>
      <c r="G3" s="227"/>
      <c r="H3" s="227"/>
      <c r="I3" s="227"/>
      <c r="J3" s="227"/>
      <c r="K3" s="107"/>
      <c r="L3" s="109"/>
      <c r="M3" s="109"/>
      <c r="N3" s="109"/>
      <c r="O3" s="107"/>
      <c r="P3" s="107"/>
    </row>
    <row r="4" spans="1:16" ht="16.899999999999999" customHeight="1" x14ac:dyDescent="0.25">
      <c r="A4" s="213" t="s">
        <v>151</v>
      </c>
      <c r="B4" s="227"/>
      <c r="C4" s="227"/>
      <c r="D4" s="227"/>
      <c r="E4" s="227"/>
      <c r="F4" s="227"/>
      <c r="G4" s="227"/>
      <c r="H4" s="227"/>
      <c r="I4" s="227"/>
      <c r="J4" s="227"/>
      <c r="K4" s="107"/>
      <c r="L4" s="109"/>
      <c r="M4" s="109"/>
      <c r="N4" s="109"/>
      <c r="O4" s="107"/>
      <c r="P4" s="107"/>
    </row>
    <row r="5" spans="1:16" s="120" customFormat="1" ht="9.75" customHeight="1" x14ac:dyDescent="0.25">
      <c r="A5" s="108"/>
      <c r="B5" s="108"/>
      <c r="C5" s="108"/>
      <c r="D5" s="130"/>
      <c r="E5" s="130"/>
      <c r="F5" s="112"/>
      <c r="G5" s="112"/>
      <c r="H5" s="112"/>
      <c r="I5" s="112"/>
      <c r="K5" s="133"/>
      <c r="L5" s="133"/>
      <c r="M5" s="133"/>
      <c r="N5" s="133"/>
      <c r="O5" s="133"/>
      <c r="P5" s="133"/>
    </row>
    <row r="6" spans="1:16" ht="17.100000000000001" customHeight="1" x14ac:dyDescent="0.25">
      <c r="B6" s="228" t="s">
        <v>99</v>
      </c>
      <c r="C6" s="229"/>
      <c r="D6" s="229"/>
      <c r="E6" s="229"/>
      <c r="F6" s="229"/>
      <c r="G6" s="229"/>
      <c r="H6" s="229"/>
      <c r="I6" s="230"/>
    </row>
    <row r="7" spans="1:16" ht="17.100000000000001" customHeight="1" x14ac:dyDescent="0.25">
      <c r="B7" s="231" t="s">
        <v>106</v>
      </c>
      <c r="C7" s="232"/>
      <c r="D7" s="232"/>
      <c r="E7" s="232"/>
      <c r="F7" s="232"/>
      <c r="G7" s="232"/>
      <c r="H7" s="232"/>
      <c r="I7" s="233"/>
    </row>
    <row r="8" spans="1:16" ht="17.100000000000001" customHeight="1" x14ac:dyDescent="0.25">
      <c r="B8" s="108" t="s">
        <v>1</v>
      </c>
      <c r="C8" s="108" t="s">
        <v>2</v>
      </c>
      <c r="D8" s="113" t="s">
        <v>3</v>
      </c>
      <c r="E8" s="113" t="s">
        <v>4</v>
      </c>
      <c r="F8" s="114" t="s">
        <v>5</v>
      </c>
      <c r="G8" s="114" t="s">
        <v>6</v>
      </c>
      <c r="H8" s="136" t="s">
        <v>94</v>
      </c>
      <c r="I8" s="136" t="s">
        <v>95</v>
      </c>
    </row>
    <row r="9" spans="1:16" ht="17.100000000000001" customHeight="1" x14ac:dyDescent="0.25">
      <c r="B9" s="211" t="s">
        <v>103</v>
      </c>
      <c r="C9" s="211" t="s">
        <v>105</v>
      </c>
      <c r="D9" s="211" t="s">
        <v>92</v>
      </c>
      <c r="E9" s="211" t="s">
        <v>93</v>
      </c>
      <c r="F9" s="211" t="s">
        <v>112</v>
      </c>
      <c r="G9" s="211" t="s">
        <v>107</v>
      </c>
      <c r="H9" s="211" t="s">
        <v>130</v>
      </c>
      <c r="I9" s="211" t="s">
        <v>109</v>
      </c>
    </row>
    <row r="10" spans="1:16" ht="17.100000000000001" customHeight="1" x14ac:dyDescent="0.25">
      <c r="B10" s="211"/>
      <c r="C10" s="211"/>
      <c r="D10" s="211"/>
      <c r="E10" s="211"/>
      <c r="F10" s="211"/>
      <c r="G10" s="211"/>
      <c r="H10" s="211"/>
      <c r="I10" s="211"/>
    </row>
    <row r="11" spans="1:16" ht="17.100000000000001" customHeight="1" x14ac:dyDescent="0.25">
      <c r="B11" s="211"/>
      <c r="C11" s="211"/>
      <c r="D11" s="211"/>
      <c r="E11" s="211"/>
      <c r="F11" s="211"/>
      <c r="G11" s="211"/>
      <c r="H11" s="211"/>
      <c r="I11" s="211"/>
    </row>
    <row r="12" spans="1:16" ht="17.100000000000001" hidden="1" customHeight="1" outlineLevel="1" x14ac:dyDescent="0.25">
      <c r="B12" s="156"/>
      <c r="C12" s="155"/>
      <c r="D12" s="117">
        <v>39995</v>
      </c>
      <c r="E12" s="163"/>
      <c r="F12" s="121">
        <v>1605.6</v>
      </c>
      <c r="G12" s="163"/>
      <c r="H12" s="121">
        <f t="shared" ref="H12:H43" si="0">+F12</f>
        <v>1605.6</v>
      </c>
      <c r="I12" s="121">
        <f t="shared" ref="I12:I43" si="1">+F12-H12</f>
        <v>0</v>
      </c>
    </row>
    <row r="13" spans="1:16" ht="17.100000000000001" hidden="1" customHeight="1" outlineLevel="1" x14ac:dyDescent="0.25">
      <c r="B13" s="156"/>
      <c r="C13" s="155"/>
      <c r="D13" s="117">
        <f t="shared" ref="D13:D44" si="2">EOMONTH(D12,1)</f>
        <v>40056</v>
      </c>
      <c r="E13" s="163"/>
      <c r="F13" s="121">
        <v>2366.41</v>
      </c>
      <c r="G13" s="163"/>
      <c r="H13" s="121">
        <f t="shared" si="0"/>
        <v>2366.41</v>
      </c>
      <c r="I13" s="121">
        <f t="shared" si="1"/>
        <v>0</v>
      </c>
    </row>
    <row r="14" spans="1:16" ht="17.100000000000001" hidden="1" customHeight="1" outlineLevel="1" x14ac:dyDescent="0.25">
      <c r="B14" s="156"/>
      <c r="C14" s="155"/>
      <c r="D14" s="117">
        <f t="shared" si="2"/>
        <v>40086</v>
      </c>
      <c r="E14" s="163"/>
      <c r="F14" s="121">
        <v>2094.44</v>
      </c>
      <c r="G14" s="163"/>
      <c r="H14" s="121">
        <f t="shared" si="0"/>
        <v>2094.44</v>
      </c>
      <c r="I14" s="121">
        <f t="shared" si="1"/>
        <v>0</v>
      </c>
    </row>
    <row r="15" spans="1:16" ht="17.100000000000001" hidden="1" customHeight="1" outlineLevel="1" x14ac:dyDescent="0.25">
      <c r="B15" s="156"/>
      <c r="C15" s="155"/>
      <c r="D15" s="117">
        <f t="shared" si="2"/>
        <v>40117</v>
      </c>
      <c r="E15" s="163"/>
      <c r="F15" s="121">
        <v>3531.51</v>
      </c>
      <c r="G15" s="163"/>
      <c r="H15" s="121">
        <f t="shared" si="0"/>
        <v>3531.51</v>
      </c>
      <c r="I15" s="121">
        <f t="shared" si="1"/>
        <v>0</v>
      </c>
    </row>
    <row r="16" spans="1:16" ht="17.100000000000001" hidden="1" customHeight="1" outlineLevel="1" x14ac:dyDescent="0.25">
      <c r="B16" s="156"/>
      <c r="C16" s="155"/>
      <c r="D16" s="117">
        <f t="shared" si="2"/>
        <v>40147</v>
      </c>
      <c r="E16" s="163"/>
      <c r="F16" s="121">
        <v>2707.65</v>
      </c>
      <c r="G16" s="163"/>
      <c r="H16" s="121">
        <f t="shared" si="0"/>
        <v>2707.65</v>
      </c>
      <c r="I16" s="121">
        <f t="shared" si="1"/>
        <v>0</v>
      </c>
    </row>
    <row r="17" spans="2:9" ht="17.100000000000001" hidden="1" customHeight="1" outlineLevel="1" x14ac:dyDescent="0.25">
      <c r="B17" s="156"/>
      <c r="C17" s="155"/>
      <c r="D17" s="117">
        <f t="shared" si="2"/>
        <v>40178</v>
      </c>
      <c r="E17" s="163"/>
      <c r="F17" s="121">
        <v>2223.48</v>
      </c>
      <c r="G17" s="163"/>
      <c r="H17" s="121">
        <f t="shared" si="0"/>
        <v>2223.48</v>
      </c>
      <c r="I17" s="121">
        <f t="shared" si="1"/>
        <v>0</v>
      </c>
    </row>
    <row r="18" spans="2:9" ht="17.100000000000001" hidden="1" customHeight="1" outlineLevel="1" x14ac:dyDescent="0.25">
      <c r="B18" s="156"/>
      <c r="C18" s="155"/>
      <c r="D18" s="117">
        <f t="shared" si="2"/>
        <v>40209</v>
      </c>
      <c r="E18" s="163"/>
      <c r="F18" s="121">
        <v>2411.2800000000002</v>
      </c>
      <c r="G18" s="163"/>
      <c r="H18" s="121">
        <f t="shared" si="0"/>
        <v>2411.2800000000002</v>
      </c>
      <c r="I18" s="121">
        <f t="shared" si="1"/>
        <v>0</v>
      </c>
    </row>
    <row r="19" spans="2:9" ht="17.100000000000001" hidden="1" customHeight="1" outlineLevel="1" x14ac:dyDescent="0.25">
      <c r="B19" s="156"/>
      <c r="C19" s="155"/>
      <c r="D19" s="117">
        <f t="shared" si="2"/>
        <v>40237</v>
      </c>
      <c r="E19" s="163"/>
      <c r="F19" s="121">
        <v>2647.06</v>
      </c>
      <c r="G19" s="163"/>
      <c r="H19" s="121">
        <f t="shared" si="0"/>
        <v>2647.06</v>
      </c>
      <c r="I19" s="121">
        <f t="shared" si="1"/>
        <v>0</v>
      </c>
    </row>
    <row r="20" spans="2:9" ht="17.100000000000001" hidden="1" customHeight="1" outlineLevel="1" x14ac:dyDescent="0.25">
      <c r="B20" s="156"/>
      <c r="C20" s="155"/>
      <c r="D20" s="117">
        <f t="shared" si="2"/>
        <v>40268</v>
      </c>
      <c r="E20" s="163"/>
      <c r="F20" s="121">
        <v>2705.68</v>
      </c>
      <c r="G20" s="163"/>
      <c r="H20" s="121">
        <f t="shared" si="0"/>
        <v>2705.68</v>
      </c>
      <c r="I20" s="121">
        <f t="shared" si="1"/>
        <v>0</v>
      </c>
    </row>
    <row r="21" spans="2:9" ht="17.100000000000001" hidden="1" customHeight="1" outlineLevel="1" x14ac:dyDescent="0.25">
      <c r="B21" s="156"/>
      <c r="C21" s="155"/>
      <c r="D21" s="117">
        <f t="shared" si="2"/>
        <v>40298</v>
      </c>
      <c r="E21" s="163"/>
      <c r="F21" s="121">
        <v>3039.46</v>
      </c>
      <c r="G21" s="163"/>
      <c r="H21" s="121">
        <f t="shared" si="0"/>
        <v>3039.46</v>
      </c>
      <c r="I21" s="121">
        <f t="shared" si="1"/>
        <v>0</v>
      </c>
    </row>
    <row r="22" spans="2:9" ht="17.100000000000001" hidden="1" customHeight="1" outlineLevel="1" x14ac:dyDescent="0.25">
      <c r="B22" s="156"/>
      <c r="C22" s="155"/>
      <c r="D22" s="117">
        <f t="shared" si="2"/>
        <v>40329</v>
      </c>
      <c r="E22" s="163"/>
      <c r="F22" s="121">
        <v>2835.23</v>
      </c>
      <c r="G22" s="163"/>
      <c r="H22" s="121">
        <f t="shared" si="0"/>
        <v>2835.23</v>
      </c>
      <c r="I22" s="121">
        <f t="shared" si="1"/>
        <v>0</v>
      </c>
    </row>
    <row r="23" spans="2:9" ht="17.100000000000001" hidden="1" customHeight="1" outlineLevel="1" x14ac:dyDescent="0.25">
      <c r="B23" s="156"/>
      <c r="C23" s="155"/>
      <c r="D23" s="117">
        <f t="shared" si="2"/>
        <v>40359</v>
      </c>
      <c r="E23" s="163"/>
      <c r="F23" s="121">
        <v>2773.59</v>
      </c>
      <c r="G23" s="163"/>
      <c r="H23" s="121">
        <f t="shared" si="0"/>
        <v>2773.59</v>
      </c>
      <c r="I23" s="121">
        <f t="shared" si="1"/>
        <v>0</v>
      </c>
    </row>
    <row r="24" spans="2:9" ht="17.100000000000001" hidden="1" customHeight="1" outlineLevel="1" x14ac:dyDescent="0.25">
      <c r="B24" s="156"/>
      <c r="C24" s="155"/>
      <c r="D24" s="117">
        <f t="shared" si="2"/>
        <v>40390</v>
      </c>
      <c r="E24" s="163"/>
      <c r="F24" s="121">
        <v>2564.7399999999998</v>
      </c>
      <c r="G24" s="163"/>
      <c r="H24" s="121">
        <f t="shared" si="0"/>
        <v>2564.7399999999998</v>
      </c>
      <c r="I24" s="121">
        <f t="shared" si="1"/>
        <v>0</v>
      </c>
    </row>
    <row r="25" spans="2:9" ht="17.100000000000001" hidden="1" customHeight="1" outlineLevel="1" x14ac:dyDescent="0.25">
      <c r="B25" s="156"/>
      <c r="C25" s="155"/>
      <c r="D25" s="117">
        <f t="shared" si="2"/>
        <v>40421</v>
      </c>
      <c r="E25" s="163"/>
      <c r="F25" s="121">
        <v>3536.27</v>
      </c>
      <c r="G25" s="163"/>
      <c r="H25" s="121">
        <f t="shared" si="0"/>
        <v>3536.27</v>
      </c>
      <c r="I25" s="121">
        <f t="shared" si="1"/>
        <v>0</v>
      </c>
    </row>
    <row r="26" spans="2:9" ht="17.100000000000001" hidden="1" customHeight="1" outlineLevel="1" x14ac:dyDescent="0.25">
      <c r="B26" s="156"/>
      <c r="C26" s="155"/>
      <c r="D26" s="117">
        <f t="shared" si="2"/>
        <v>40451</v>
      </c>
      <c r="E26" s="163"/>
      <c r="F26" s="121">
        <v>3260</v>
      </c>
      <c r="G26" s="163"/>
      <c r="H26" s="121">
        <f t="shared" si="0"/>
        <v>3260</v>
      </c>
      <c r="I26" s="121">
        <f t="shared" si="1"/>
        <v>0</v>
      </c>
    </row>
    <row r="27" spans="2:9" ht="17.100000000000001" hidden="1" customHeight="1" outlineLevel="1" x14ac:dyDescent="0.25">
      <c r="B27" s="156"/>
      <c r="C27" s="155"/>
      <c r="D27" s="117">
        <f t="shared" si="2"/>
        <v>40482</v>
      </c>
      <c r="E27" s="163"/>
      <c r="F27" s="121">
        <v>2230</v>
      </c>
      <c r="G27" s="163"/>
      <c r="H27" s="121">
        <f t="shared" si="0"/>
        <v>2230</v>
      </c>
      <c r="I27" s="121">
        <f t="shared" si="1"/>
        <v>0</v>
      </c>
    </row>
    <row r="28" spans="2:9" ht="17.100000000000001" hidden="1" customHeight="1" outlineLevel="1" x14ac:dyDescent="0.25">
      <c r="B28" s="156"/>
      <c r="C28" s="155"/>
      <c r="D28" s="117">
        <f t="shared" si="2"/>
        <v>40512</v>
      </c>
      <c r="E28" s="163"/>
      <c r="F28" s="121">
        <v>2364</v>
      </c>
      <c r="G28" s="163"/>
      <c r="H28" s="121">
        <f t="shared" si="0"/>
        <v>2364</v>
      </c>
      <c r="I28" s="121">
        <f t="shared" si="1"/>
        <v>0</v>
      </c>
    </row>
    <row r="29" spans="2:9" ht="17.100000000000001" hidden="1" customHeight="1" outlineLevel="1" x14ac:dyDescent="0.25">
      <c r="B29" s="156"/>
      <c r="C29" s="155"/>
      <c r="D29" s="117">
        <f t="shared" si="2"/>
        <v>40543</v>
      </c>
      <c r="E29" s="163"/>
      <c r="F29" s="121">
        <v>2747</v>
      </c>
      <c r="G29" s="163"/>
      <c r="H29" s="121">
        <f t="shared" si="0"/>
        <v>2747</v>
      </c>
      <c r="I29" s="121">
        <f t="shared" si="1"/>
        <v>0</v>
      </c>
    </row>
    <row r="30" spans="2:9" ht="17.100000000000001" hidden="1" customHeight="1" outlineLevel="1" x14ac:dyDescent="0.25">
      <c r="B30" s="156"/>
      <c r="C30" s="155"/>
      <c r="D30" s="117">
        <f t="shared" si="2"/>
        <v>40574</v>
      </c>
      <c r="E30" s="163"/>
      <c r="F30" s="121">
        <v>1966</v>
      </c>
      <c r="G30" s="163"/>
      <c r="H30" s="121">
        <f t="shared" si="0"/>
        <v>1966</v>
      </c>
      <c r="I30" s="121">
        <f t="shared" si="1"/>
        <v>0</v>
      </c>
    </row>
    <row r="31" spans="2:9" ht="17.100000000000001" hidden="1" customHeight="1" outlineLevel="1" x14ac:dyDescent="0.25">
      <c r="B31" s="156"/>
      <c r="C31" s="155"/>
      <c r="D31" s="117">
        <f t="shared" si="2"/>
        <v>40602</v>
      </c>
      <c r="E31" s="163"/>
      <c r="F31" s="121">
        <v>1377</v>
      </c>
      <c r="G31" s="163"/>
      <c r="H31" s="121">
        <f t="shared" si="0"/>
        <v>1377</v>
      </c>
      <c r="I31" s="121">
        <f t="shared" si="1"/>
        <v>0</v>
      </c>
    </row>
    <row r="32" spans="2:9" ht="17.100000000000001" hidden="1" customHeight="1" outlineLevel="1" x14ac:dyDescent="0.25">
      <c r="B32" s="156"/>
      <c r="C32" s="155"/>
      <c r="D32" s="117">
        <f t="shared" si="2"/>
        <v>40633</v>
      </c>
      <c r="E32" s="163"/>
      <c r="F32" s="121">
        <v>1500</v>
      </c>
      <c r="G32" s="163"/>
      <c r="H32" s="121">
        <f t="shared" si="0"/>
        <v>1500</v>
      </c>
      <c r="I32" s="121">
        <f t="shared" si="1"/>
        <v>0</v>
      </c>
    </row>
    <row r="33" spans="2:9" ht="17.100000000000001" hidden="1" customHeight="1" outlineLevel="1" x14ac:dyDescent="0.25">
      <c r="B33" s="156"/>
      <c r="C33" s="155"/>
      <c r="D33" s="117">
        <f t="shared" si="2"/>
        <v>40663</v>
      </c>
      <c r="E33" s="163"/>
      <c r="F33" s="121">
        <v>1390</v>
      </c>
      <c r="G33" s="163"/>
      <c r="H33" s="121">
        <f t="shared" si="0"/>
        <v>1390</v>
      </c>
      <c r="I33" s="121">
        <f t="shared" si="1"/>
        <v>0</v>
      </c>
    </row>
    <row r="34" spans="2:9" ht="17.100000000000001" hidden="1" customHeight="1" outlineLevel="1" x14ac:dyDescent="0.25">
      <c r="B34" s="156"/>
      <c r="C34" s="155"/>
      <c r="D34" s="117">
        <f t="shared" si="2"/>
        <v>40694</v>
      </c>
      <c r="E34" s="163"/>
      <c r="F34" s="121">
        <v>1413</v>
      </c>
      <c r="G34" s="163"/>
      <c r="H34" s="121">
        <f t="shared" si="0"/>
        <v>1413</v>
      </c>
      <c r="I34" s="121">
        <f t="shared" si="1"/>
        <v>0</v>
      </c>
    </row>
    <row r="35" spans="2:9" ht="17.100000000000001" hidden="1" customHeight="1" outlineLevel="1" x14ac:dyDescent="0.25">
      <c r="B35" s="156"/>
      <c r="C35" s="155"/>
      <c r="D35" s="117">
        <f t="shared" si="2"/>
        <v>40724</v>
      </c>
      <c r="E35" s="163"/>
      <c r="F35" s="121">
        <v>2068</v>
      </c>
      <c r="G35" s="163"/>
      <c r="H35" s="121">
        <f t="shared" si="0"/>
        <v>2068</v>
      </c>
      <c r="I35" s="121">
        <f t="shared" si="1"/>
        <v>0</v>
      </c>
    </row>
    <row r="36" spans="2:9" ht="17.100000000000001" hidden="1" customHeight="1" outlineLevel="1" x14ac:dyDescent="0.25">
      <c r="B36" s="156"/>
      <c r="C36" s="155"/>
      <c r="D36" s="117">
        <f t="shared" si="2"/>
        <v>40755</v>
      </c>
      <c r="E36" s="163"/>
      <c r="F36" s="121">
        <v>1673</v>
      </c>
      <c r="G36" s="163"/>
      <c r="H36" s="121">
        <f t="shared" si="0"/>
        <v>1673</v>
      </c>
      <c r="I36" s="121">
        <f t="shared" si="1"/>
        <v>0</v>
      </c>
    </row>
    <row r="37" spans="2:9" ht="17.100000000000001" hidden="1" customHeight="1" outlineLevel="1" x14ac:dyDescent="0.25">
      <c r="B37" s="156"/>
      <c r="C37" s="155"/>
      <c r="D37" s="117">
        <f t="shared" si="2"/>
        <v>40786</v>
      </c>
      <c r="E37" s="163"/>
      <c r="F37" s="121">
        <v>1411</v>
      </c>
      <c r="G37" s="163"/>
      <c r="H37" s="121">
        <f t="shared" si="0"/>
        <v>1411</v>
      </c>
      <c r="I37" s="121">
        <f t="shared" si="1"/>
        <v>0</v>
      </c>
    </row>
    <row r="38" spans="2:9" ht="17.100000000000001" hidden="1" customHeight="1" outlineLevel="1" x14ac:dyDescent="0.25">
      <c r="B38" s="156"/>
      <c r="C38" s="155"/>
      <c r="D38" s="117">
        <f t="shared" si="2"/>
        <v>40816</v>
      </c>
      <c r="E38" s="163"/>
      <c r="F38" s="121">
        <v>787</v>
      </c>
      <c r="G38" s="163"/>
      <c r="H38" s="121">
        <f t="shared" si="0"/>
        <v>787</v>
      </c>
      <c r="I38" s="121">
        <f t="shared" si="1"/>
        <v>0</v>
      </c>
    </row>
    <row r="39" spans="2:9" ht="17.100000000000001" hidden="1" customHeight="1" outlineLevel="1" x14ac:dyDescent="0.25">
      <c r="B39" s="156"/>
      <c r="C39" s="155"/>
      <c r="D39" s="117">
        <f t="shared" si="2"/>
        <v>40847</v>
      </c>
      <c r="E39" s="163"/>
      <c r="F39" s="121">
        <v>905</v>
      </c>
      <c r="G39" s="163"/>
      <c r="H39" s="121">
        <f t="shared" si="0"/>
        <v>905</v>
      </c>
      <c r="I39" s="121">
        <f t="shared" si="1"/>
        <v>0</v>
      </c>
    </row>
    <row r="40" spans="2:9" ht="17.100000000000001" hidden="1" customHeight="1" outlineLevel="1" x14ac:dyDescent="0.25">
      <c r="B40" s="156"/>
      <c r="C40" s="155"/>
      <c r="D40" s="117">
        <f t="shared" si="2"/>
        <v>40877</v>
      </c>
      <c r="E40" s="163"/>
      <c r="F40" s="121">
        <v>862</v>
      </c>
      <c r="G40" s="163"/>
      <c r="H40" s="121">
        <f t="shared" si="0"/>
        <v>862</v>
      </c>
      <c r="I40" s="121">
        <f t="shared" si="1"/>
        <v>0</v>
      </c>
    </row>
    <row r="41" spans="2:9" ht="17.100000000000001" hidden="1" customHeight="1" outlineLevel="1" x14ac:dyDescent="0.25">
      <c r="B41" s="156"/>
      <c r="C41" s="155"/>
      <c r="D41" s="117">
        <f t="shared" si="2"/>
        <v>40908</v>
      </c>
      <c r="E41" s="163"/>
      <c r="F41" s="121">
        <v>1032</v>
      </c>
      <c r="G41" s="163"/>
      <c r="H41" s="121">
        <f t="shared" si="0"/>
        <v>1032</v>
      </c>
      <c r="I41" s="121">
        <f t="shared" si="1"/>
        <v>0</v>
      </c>
    </row>
    <row r="42" spans="2:9" ht="17.100000000000001" hidden="1" customHeight="1" outlineLevel="1" x14ac:dyDescent="0.25">
      <c r="B42" s="156"/>
      <c r="C42" s="155"/>
      <c r="D42" s="117">
        <f t="shared" si="2"/>
        <v>40939</v>
      </c>
      <c r="E42" s="163"/>
      <c r="F42" s="121">
        <v>887</v>
      </c>
      <c r="G42" s="163"/>
      <c r="H42" s="121">
        <f t="shared" si="0"/>
        <v>887</v>
      </c>
      <c r="I42" s="121">
        <f t="shared" si="1"/>
        <v>0</v>
      </c>
    </row>
    <row r="43" spans="2:9" ht="17.100000000000001" hidden="1" customHeight="1" outlineLevel="1" x14ac:dyDescent="0.25">
      <c r="B43" s="156"/>
      <c r="C43" s="155"/>
      <c r="D43" s="117">
        <f t="shared" si="2"/>
        <v>40968</v>
      </c>
      <c r="E43" s="163"/>
      <c r="F43" s="121">
        <v>559</v>
      </c>
      <c r="G43" s="163"/>
      <c r="H43" s="121">
        <f t="shared" si="0"/>
        <v>559</v>
      </c>
      <c r="I43" s="121">
        <f t="shared" si="1"/>
        <v>0</v>
      </c>
    </row>
    <row r="44" spans="2:9" ht="17.100000000000001" hidden="1" customHeight="1" outlineLevel="1" x14ac:dyDescent="0.25">
      <c r="B44" s="156"/>
      <c r="C44" s="155"/>
      <c r="D44" s="117">
        <f t="shared" si="2"/>
        <v>40999</v>
      </c>
      <c r="E44" s="163"/>
      <c r="F44" s="121">
        <v>499</v>
      </c>
      <c r="G44" s="163"/>
      <c r="H44" s="121">
        <f t="shared" ref="H44:H75" si="3">+F44</f>
        <v>499</v>
      </c>
      <c r="I44" s="121">
        <f t="shared" ref="I44:I75" si="4">+F44-H44</f>
        <v>0</v>
      </c>
    </row>
    <row r="45" spans="2:9" ht="17.100000000000001" hidden="1" customHeight="1" outlineLevel="1" x14ac:dyDescent="0.25">
      <c r="B45" s="156"/>
      <c r="C45" s="155"/>
      <c r="D45" s="117">
        <f t="shared" ref="D45:D76" si="5">EOMONTH(D44,1)</f>
        <v>41029</v>
      </c>
      <c r="E45" s="163"/>
      <c r="F45" s="121">
        <v>1352</v>
      </c>
      <c r="G45" s="163"/>
      <c r="H45" s="121">
        <f t="shared" si="3"/>
        <v>1352</v>
      </c>
      <c r="I45" s="121">
        <f t="shared" si="4"/>
        <v>0</v>
      </c>
    </row>
    <row r="46" spans="2:9" ht="17.100000000000001" hidden="1" customHeight="1" outlineLevel="1" x14ac:dyDescent="0.25">
      <c r="B46" s="156"/>
      <c r="C46" s="155"/>
      <c r="D46" s="117">
        <f t="shared" si="5"/>
        <v>41060</v>
      </c>
      <c r="E46" s="163"/>
      <c r="F46" s="121">
        <v>1117</v>
      </c>
      <c r="G46" s="163"/>
      <c r="H46" s="121">
        <f t="shared" si="3"/>
        <v>1117</v>
      </c>
      <c r="I46" s="121">
        <f t="shared" si="4"/>
        <v>0</v>
      </c>
    </row>
    <row r="47" spans="2:9" ht="17.100000000000001" hidden="1" customHeight="1" outlineLevel="1" x14ac:dyDescent="0.25">
      <c r="B47" s="156"/>
      <c r="C47" s="155"/>
      <c r="D47" s="117">
        <f t="shared" si="5"/>
        <v>41090</v>
      </c>
      <c r="E47" s="163"/>
      <c r="F47" s="121">
        <v>702</v>
      </c>
      <c r="G47" s="163"/>
      <c r="H47" s="121">
        <f t="shared" si="3"/>
        <v>702</v>
      </c>
      <c r="I47" s="121">
        <f t="shared" si="4"/>
        <v>0</v>
      </c>
    </row>
    <row r="48" spans="2:9" ht="17.100000000000001" hidden="1" customHeight="1" outlineLevel="1" x14ac:dyDescent="0.25">
      <c r="B48" s="156"/>
      <c r="C48" s="155"/>
      <c r="D48" s="117">
        <f t="shared" si="5"/>
        <v>41121</v>
      </c>
      <c r="E48" s="163"/>
      <c r="F48" s="121">
        <v>400</v>
      </c>
      <c r="G48" s="163"/>
      <c r="H48" s="121">
        <f t="shared" si="3"/>
        <v>400</v>
      </c>
      <c r="I48" s="121">
        <f t="shared" si="4"/>
        <v>0</v>
      </c>
    </row>
    <row r="49" spans="2:9" ht="17.100000000000001" hidden="1" customHeight="1" outlineLevel="1" x14ac:dyDescent="0.25">
      <c r="B49" s="156"/>
      <c r="C49" s="155"/>
      <c r="D49" s="117">
        <f t="shared" si="5"/>
        <v>41152</v>
      </c>
      <c r="E49" s="163"/>
      <c r="F49" s="121">
        <v>962</v>
      </c>
      <c r="G49" s="163"/>
      <c r="H49" s="121">
        <f t="shared" si="3"/>
        <v>962</v>
      </c>
      <c r="I49" s="121">
        <f t="shared" si="4"/>
        <v>0</v>
      </c>
    </row>
    <row r="50" spans="2:9" ht="17.100000000000001" hidden="1" customHeight="1" outlineLevel="1" x14ac:dyDescent="0.25">
      <c r="B50" s="156"/>
      <c r="C50" s="155"/>
      <c r="D50" s="117">
        <f t="shared" si="5"/>
        <v>41182</v>
      </c>
      <c r="E50" s="163"/>
      <c r="F50" s="121">
        <v>1104</v>
      </c>
      <c r="G50" s="163"/>
      <c r="H50" s="121">
        <f t="shared" si="3"/>
        <v>1104</v>
      </c>
      <c r="I50" s="121">
        <f t="shared" si="4"/>
        <v>0</v>
      </c>
    </row>
    <row r="51" spans="2:9" ht="17.100000000000001" hidden="1" customHeight="1" outlineLevel="1" x14ac:dyDescent="0.25">
      <c r="B51" s="156"/>
      <c r="C51" s="155"/>
      <c r="D51" s="117">
        <f t="shared" si="5"/>
        <v>41213</v>
      </c>
      <c r="E51" s="163"/>
      <c r="F51" s="121">
        <v>1962</v>
      </c>
      <c r="G51" s="163"/>
      <c r="H51" s="121">
        <f t="shared" si="3"/>
        <v>1962</v>
      </c>
      <c r="I51" s="121">
        <f t="shared" si="4"/>
        <v>0</v>
      </c>
    </row>
    <row r="52" spans="2:9" ht="17.100000000000001" hidden="1" customHeight="1" outlineLevel="1" x14ac:dyDescent="0.25">
      <c r="B52" s="156"/>
      <c r="C52" s="155"/>
      <c r="D52" s="117">
        <f t="shared" si="5"/>
        <v>41243</v>
      </c>
      <c r="E52" s="163"/>
      <c r="F52" s="121">
        <v>1658</v>
      </c>
      <c r="G52" s="163"/>
      <c r="H52" s="121">
        <f t="shared" si="3"/>
        <v>1658</v>
      </c>
      <c r="I52" s="121">
        <f t="shared" si="4"/>
        <v>0</v>
      </c>
    </row>
    <row r="53" spans="2:9" ht="17.100000000000001" hidden="1" customHeight="1" outlineLevel="1" x14ac:dyDescent="0.25">
      <c r="B53" s="156"/>
      <c r="C53" s="155"/>
      <c r="D53" s="117">
        <f t="shared" si="5"/>
        <v>41274</v>
      </c>
      <c r="E53" s="163"/>
      <c r="F53" s="121">
        <v>1855</v>
      </c>
      <c r="G53" s="163"/>
      <c r="H53" s="121">
        <f t="shared" si="3"/>
        <v>1855</v>
      </c>
      <c r="I53" s="121">
        <f t="shared" si="4"/>
        <v>0</v>
      </c>
    </row>
    <row r="54" spans="2:9" ht="17.100000000000001" hidden="1" customHeight="1" outlineLevel="1" x14ac:dyDescent="0.25">
      <c r="B54" s="156"/>
      <c r="C54" s="155"/>
      <c r="D54" s="117">
        <f t="shared" si="5"/>
        <v>41305</v>
      </c>
      <c r="E54" s="163"/>
      <c r="F54" s="121">
        <v>1686.75</v>
      </c>
      <c r="G54" s="163"/>
      <c r="H54" s="121">
        <f t="shared" si="3"/>
        <v>1686.75</v>
      </c>
      <c r="I54" s="121">
        <f t="shared" si="4"/>
        <v>0</v>
      </c>
    </row>
    <row r="55" spans="2:9" ht="17.100000000000001" hidden="1" customHeight="1" outlineLevel="1" x14ac:dyDescent="0.25">
      <c r="B55" s="156"/>
      <c r="C55" s="155"/>
      <c r="D55" s="117">
        <f t="shared" si="5"/>
        <v>41333</v>
      </c>
      <c r="E55" s="163"/>
      <c r="F55" s="121">
        <v>1510.81</v>
      </c>
      <c r="G55" s="163"/>
      <c r="H55" s="121">
        <f t="shared" si="3"/>
        <v>1510.81</v>
      </c>
      <c r="I55" s="121">
        <f t="shared" si="4"/>
        <v>0</v>
      </c>
    </row>
    <row r="56" spans="2:9" ht="17.100000000000001" hidden="1" customHeight="1" outlineLevel="1" x14ac:dyDescent="0.25">
      <c r="B56" s="156"/>
      <c r="C56" s="155"/>
      <c r="D56" s="117">
        <f t="shared" si="5"/>
        <v>41364</v>
      </c>
      <c r="E56" s="163"/>
      <c r="F56" s="121">
        <v>1559.83</v>
      </c>
      <c r="G56" s="163"/>
      <c r="H56" s="121">
        <f t="shared" si="3"/>
        <v>1559.83</v>
      </c>
      <c r="I56" s="121">
        <f t="shared" si="4"/>
        <v>0</v>
      </c>
    </row>
    <row r="57" spans="2:9" ht="17.100000000000001" hidden="1" customHeight="1" outlineLevel="1" x14ac:dyDescent="0.25">
      <c r="B57" s="156"/>
      <c r="C57" s="155"/>
      <c r="D57" s="117">
        <f t="shared" si="5"/>
        <v>41394</v>
      </c>
      <c r="E57" s="163"/>
      <c r="F57" s="121">
        <v>1647.65</v>
      </c>
      <c r="G57" s="163"/>
      <c r="H57" s="121">
        <f t="shared" si="3"/>
        <v>1647.65</v>
      </c>
      <c r="I57" s="121">
        <f t="shared" si="4"/>
        <v>0</v>
      </c>
    </row>
    <row r="58" spans="2:9" ht="17.100000000000001" hidden="1" customHeight="1" outlineLevel="1" x14ac:dyDescent="0.25">
      <c r="B58" s="156"/>
      <c r="C58" s="155"/>
      <c r="D58" s="117">
        <f t="shared" si="5"/>
        <v>41425</v>
      </c>
      <c r="E58" s="163"/>
      <c r="F58" s="121">
        <v>1843.53</v>
      </c>
      <c r="G58" s="163"/>
      <c r="H58" s="121">
        <f t="shared" si="3"/>
        <v>1843.53</v>
      </c>
      <c r="I58" s="121">
        <f t="shared" si="4"/>
        <v>0</v>
      </c>
    </row>
    <row r="59" spans="2:9" ht="17.100000000000001" hidden="1" customHeight="1" outlineLevel="1" x14ac:dyDescent="0.25">
      <c r="B59" s="156"/>
      <c r="C59" s="155"/>
      <c r="D59" s="117">
        <f t="shared" si="5"/>
        <v>41455</v>
      </c>
      <c r="E59" s="163"/>
      <c r="F59" s="121">
        <v>1982.65</v>
      </c>
      <c r="G59" s="163"/>
      <c r="H59" s="121">
        <f t="shared" si="3"/>
        <v>1982.65</v>
      </c>
      <c r="I59" s="121">
        <f t="shared" si="4"/>
        <v>0</v>
      </c>
    </row>
    <row r="60" spans="2:9" ht="17.100000000000001" hidden="1" customHeight="1" outlineLevel="1" x14ac:dyDescent="0.25">
      <c r="B60" s="156"/>
      <c r="C60" s="155"/>
      <c r="D60" s="117">
        <f t="shared" si="5"/>
        <v>41486</v>
      </c>
      <c r="E60" s="163"/>
      <c r="F60" s="121">
        <v>1863.86</v>
      </c>
      <c r="G60" s="163"/>
      <c r="H60" s="121">
        <f t="shared" si="3"/>
        <v>1863.86</v>
      </c>
      <c r="I60" s="121">
        <f t="shared" si="4"/>
        <v>0</v>
      </c>
    </row>
    <row r="61" spans="2:9" ht="17.100000000000001" hidden="1" customHeight="1" outlineLevel="1" x14ac:dyDescent="0.25">
      <c r="B61" s="156"/>
      <c r="C61" s="155"/>
      <c r="D61" s="117">
        <f t="shared" si="5"/>
        <v>41517</v>
      </c>
      <c r="E61" s="163"/>
      <c r="F61" s="121">
        <v>2106.0500000000002</v>
      </c>
      <c r="G61" s="163"/>
      <c r="H61" s="121">
        <f t="shared" si="3"/>
        <v>2106.0500000000002</v>
      </c>
      <c r="I61" s="121">
        <f t="shared" si="4"/>
        <v>0</v>
      </c>
    </row>
    <row r="62" spans="2:9" ht="17.100000000000001" hidden="1" customHeight="1" outlineLevel="1" x14ac:dyDescent="0.25">
      <c r="B62" s="156"/>
      <c r="C62" s="155"/>
      <c r="D62" s="117">
        <f t="shared" si="5"/>
        <v>41547</v>
      </c>
      <c r="E62" s="163"/>
      <c r="F62" s="121">
        <v>2115.31</v>
      </c>
      <c r="G62" s="163"/>
      <c r="H62" s="121">
        <f t="shared" si="3"/>
        <v>2115.31</v>
      </c>
      <c r="I62" s="121">
        <f t="shared" si="4"/>
        <v>0</v>
      </c>
    </row>
    <row r="63" spans="2:9" ht="17.100000000000001" hidden="1" customHeight="1" outlineLevel="1" x14ac:dyDescent="0.25">
      <c r="B63" s="156"/>
      <c r="C63" s="155"/>
      <c r="D63" s="117">
        <f t="shared" si="5"/>
        <v>41578</v>
      </c>
      <c r="E63" s="163"/>
      <c r="F63" s="121">
        <v>1661.77</v>
      </c>
      <c r="G63" s="163"/>
      <c r="H63" s="121">
        <f t="shared" si="3"/>
        <v>1661.77</v>
      </c>
      <c r="I63" s="121">
        <f t="shared" si="4"/>
        <v>0</v>
      </c>
    </row>
    <row r="64" spans="2:9" ht="17.100000000000001" hidden="1" customHeight="1" outlineLevel="1" x14ac:dyDescent="0.25">
      <c r="B64" s="156"/>
      <c r="C64" s="155"/>
      <c r="D64" s="117">
        <f t="shared" si="5"/>
        <v>41608</v>
      </c>
      <c r="E64" s="163"/>
      <c r="F64" s="121">
        <v>2210.9499999999998</v>
      </c>
      <c r="G64" s="163"/>
      <c r="H64" s="121">
        <f t="shared" si="3"/>
        <v>2210.9499999999998</v>
      </c>
      <c r="I64" s="121">
        <f t="shared" si="4"/>
        <v>0</v>
      </c>
    </row>
    <row r="65" spans="2:9" ht="17.100000000000001" hidden="1" customHeight="1" outlineLevel="1" x14ac:dyDescent="0.25">
      <c r="B65" s="156"/>
      <c r="C65" s="155"/>
      <c r="D65" s="117">
        <f t="shared" si="5"/>
        <v>41639</v>
      </c>
      <c r="E65" s="163"/>
      <c r="F65" s="121">
        <v>2156.89</v>
      </c>
      <c r="G65" s="163"/>
      <c r="H65" s="121">
        <f t="shared" si="3"/>
        <v>2156.89</v>
      </c>
      <c r="I65" s="121">
        <f t="shared" si="4"/>
        <v>0</v>
      </c>
    </row>
    <row r="66" spans="2:9" ht="17.100000000000001" hidden="1" customHeight="1" outlineLevel="1" x14ac:dyDescent="0.25">
      <c r="B66" s="156"/>
      <c r="C66" s="155"/>
      <c r="D66" s="117">
        <f t="shared" si="5"/>
        <v>41670</v>
      </c>
      <c r="E66" s="163"/>
      <c r="F66" s="121">
        <v>2192.09</v>
      </c>
      <c r="G66" s="163"/>
      <c r="H66" s="121">
        <f t="shared" si="3"/>
        <v>2192.09</v>
      </c>
      <c r="I66" s="121">
        <f t="shared" si="4"/>
        <v>0</v>
      </c>
    </row>
    <row r="67" spans="2:9" ht="17.100000000000001" hidden="1" customHeight="1" outlineLevel="1" x14ac:dyDescent="0.25">
      <c r="B67" s="156"/>
      <c r="C67" s="155"/>
      <c r="D67" s="117">
        <f t="shared" si="5"/>
        <v>41698</v>
      </c>
      <c r="E67" s="163"/>
      <c r="F67" s="121">
        <v>2178.73</v>
      </c>
      <c r="G67" s="163"/>
      <c r="H67" s="121">
        <f t="shared" si="3"/>
        <v>2178.73</v>
      </c>
      <c r="I67" s="121">
        <f t="shared" si="4"/>
        <v>0</v>
      </c>
    </row>
    <row r="68" spans="2:9" ht="17.100000000000001" hidden="1" customHeight="1" outlineLevel="1" x14ac:dyDescent="0.25">
      <c r="B68" s="156"/>
      <c r="C68" s="155"/>
      <c r="D68" s="117">
        <f t="shared" si="5"/>
        <v>41729</v>
      </c>
      <c r="E68" s="163"/>
      <c r="F68" s="121">
        <v>1183.58</v>
      </c>
      <c r="G68" s="163"/>
      <c r="H68" s="121">
        <f t="shared" si="3"/>
        <v>1183.58</v>
      </c>
      <c r="I68" s="121">
        <f t="shared" si="4"/>
        <v>0</v>
      </c>
    </row>
    <row r="69" spans="2:9" ht="17.100000000000001" hidden="1" customHeight="1" outlineLevel="1" x14ac:dyDescent="0.25">
      <c r="B69" s="156"/>
      <c r="C69" s="155"/>
      <c r="D69" s="117">
        <f t="shared" si="5"/>
        <v>41759</v>
      </c>
      <c r="E69" s="163"/>
      <c r="F69" s="121">
        <v>2180.79</v>
      </c>
      <c r="G69" s="163"/>
      <c r="H69" s="121">
        <f t="shared" si="3"/>
        <v>2180.79</v>
      </c>
      <c r="I69" s="121">
        <f t="shared" si="4"/>
        <v>0</v>
      </c>
    </row>
    <row r="70" spans="2:9" ht="17.100000000000001" hidden="1" customHeight="1" outlineLevel="1" x14ac:dyDescent="0.25">
      <c r="B70" s="156"/>
      <c r="C70" s="155"/>
      <c r="D70" s="117">
        <f t="shared" si="5"/>
        <v>41790</v>
      </c>
      <c r="E70" s="163"/>
      <c r="F70" s="121">
        <v>2320.4699999999998</v>
      </c>
      <c r="G70" s="163"/>
      <c r="H70" s="121">
        <f t="shared" si="3"/>
        <v>2320.4699999999998</v>
      </c>
      <c r="I70" s="121">
        <f t="shared" si="4"/>
        <v>0</v>
      </c>
    </row>
    <row r="71" spans="2:9" ht="17.100000000000001" hidden="1" customHeight="1" outlineLevel="1" x14ac:dyDescent="0.25">
      <c r="B71" s="156"/>
      <c r="C71" s="155"/>
      <c r="D71" s="117">
        <f t="shared" si="5"/>
        <v>41820</v>
      </c>
      <c r="E71" s="163"/>
      <c r="F71" s="121">
        <v>2761.49</v>
      </c>
      <c r="G71" s="163"/>
      <c r="H71" s="121">
        <f t="shared" si="3"/>
        <v>2761.49</v>
      </c>
      <c r="I71" s="121">
        <f t="shared" si="4"/>
        <v>0</v>
      </c>
    </row>
    <row r="72" spans="2:9" ht="17.100000000000001" hidden="1" customHeight="1" outlineLevel="1" x14ac:dyDescent="0.25">
      <c r="B72" s="156"/>
      <c r="C72" s="155"/>
      <c r="D72" s="117">
        <f t="shared" si="5"/>
        <v>41851</v>
      </c>
      <c r="E72" s="163"/>
      <c r="F72" s="121">
        <v>2552.13</v>
      </c>
      <c r="G72" s="163"/>
      <c r="H72" s="121">
        <f t="shared" si="3"/>
        <v>2552.13</v>
      </c>
      <c r="I72" s="121">
        <f t="shared" si="4"/>
        <v>0</v>
      </c>
    </row>
    <row r="73" spans="2:9" ht="17.100000000000001" hidden="1" customHeight="1" outlineLevel="1" x14ac:dyDescent="0.25">
      <c r="B73" s="156"/>
      <c r="C73" s="155"/>
      <c r="D73" s="117">
        <f t="shared" si="5"/>
        <v>41882</v>
      </c>
      <c r="E73" s="163"/>
      <c r="F73" s="121">
        <v>3088.75</v>
      </c>
      <c r="G73" s="163"/>
      <c r="H73" s="121">
        <f t="shared" si="3"/>
        <v>3088.75</v>
      </c>
      <c r="I73" s="121">
        <f t="shared" si="4"/>
        <v>0</v>
      </c>
    </row>
    <row r="74" spans="2:9" ht="17.100000000000001" hidden="1" customHeight="1" outlineLevel="1" x14ac:dyDescent="0.25">
      <c r="B74" s="156"/>
      <c r="C74" s="155"/>
      <c r="D74" s="117">
        <f t="shared" si="5"/>
        <v>41912</v>
      </c>
      <c r="E74" s="163"/>
      <c r="F74" s="121">
        <v>2703.4</v>
      </c>
      <c r="G74" s="163"/>
      <c r="H74" s="121">
        <f t="shared" si="3"/>
        <v>2703.4</v>
      </c>
      <c r="I74" s="121">
        <f t="shared" si="4"/>
        <v>0</v>
      </c>
    </row>
    <row r="75" spans="2:9" ht="17.100000000000001" hidden="1" customHeight="1" outlineLevel="1" x14ac:dyDescent="0.25">
      <c r="B75" s="156"/>
      <c r="C75" s="155"/>
      <c r="D75" s="117">
        <f t="shared" si="5"/>
        <v>41943</v>
      </c>
      <c r="E75" s="163"/>
      <c r="F75" s="121">
        <v>84.16</v>
      </c>
      <c r="G75" s="163"/>
      <c r="H75" s="121">
        <f t="shared" si="3"/>
        <v>84.16</v>
      </c>
      <c r="I75" s="121">
        <f t="shared" si="4"/>
        <v>0</v>
      </c>
    </row>
    <row r="76" spans="2:9" ht="17.100000000000001" hidden="1" customHeight="1" outlineLevel="1" x14ac:dyDescent="0.25">
      <c r="B76" s="156"/>
      <c r="C76" s="155"/>
      <c r="D76" s="117">
        <f t="shared" si="5"/>
        <v>41973</v>
      </c>
      <c r="E76" s="163"/>
      <c r="F76" s="121">
        <v>96.68</v>
      </c>
      <c r="G76" s="163"/>
      <c r="H76" s="121">
        <f t="shared" ref="H76:H97" si="6">+F76</f>
        <v>96.68</v>
      </c>
      <c r="I76" s="121">
        <f t="shared" ref="I76:I97" si="7">+F76-H76</f>
        <v>0</v>
      </c>
    </row>
    <row r="77" spans="2:9" ht="17.100000000000001" hidden="1" customHeight="1" outlineLevel="1" x14ac:dyDescent="0.25">
      <c r="B77" s="156"/>
      <c r="C77" s="155"/>
      <c r="D77" s="117">
        <f t="shared" ref="D77:D98" si="8">EOMONTH(D76,1)</f>
        <v>42004</v>
      </c>
      <c r="E77" s="163"/>
      <c r="F77" s="121">
        <v>2282.67</v>
      </c>
      <c r="G77" s="163"/>
      <c r="H77" s="121">
        <f t="shared" si="6"/>
        <v>2282.67</v>
      </c>
      <c r="I77" s="121">
        <f t="shared" si="7"/>
        <v>0</v>
      </c>
    </row>
    <row r="78" spans="2:9" ht="17.100000000000001" hidden="1" customHeight="1" outlineLevel="1" x14ac:dyDescent="0.25">
      <c r="B78" s="156"/>
      <c r="C78" s="155"/>
      <c r="D78" s="117">
        <f t="shared" si="8"/>
        <v>42035</v>
      </c>
      <c r="E78" s="163"/>
      <c r="F78" s="121">
        <v>2576.17</v>
      </c>
      <c r="G78" s="163"/>
      <c r="H78" s="121">
        <f t="shared" si="6"/>
        <v>2576.17</v>
      </c>
      <c r="I78" s="121">
        <f t="shared" si="7"/>
        <v>0</v>
      </c>
    </row>
    <row r="79" spans="2:9" ht="17.100000000000001" hidden="1" customHeight="1" outlineLevel="1" x14ac:dyDescent="0.25">
      <c r="B79" s="156"/>
      <c r="C79" s="155"/>
      <c r="D79" s="117">
        <f t="shared" si="8"/>
        <v>42063</v>
      </c>
      <c r="E79" s="163"/>
      <c r="F79" s="121">
        <v>2591.2600000000002</v>
      </c>
      <c r="G79" s="163"/>
      <c r="H79" s="121">
        <f t="shared" si="6"/>
        <v>2591.2600000000002</v>
      </c>
      <c r="I79" s="121">
        <f t="shared" si="7"/>
        <v>0</v>
      </c>
    </row>
    <row r="80" spans="2:9" ht="17.100000000000001" hidden="1" customHeight="1" outlineLevel="1" x14ac:dyDescent="0.25">
      <c r="B80" s="156"/>
      <c r="C80" s="155"/>
      <c r="D80" s="117">
        <f t="shared" si="8"/>
        <v>42094</v>
      </c>
      <c r="E80" s="163"/>
      <c r="F80" s="121">
        <v>2600.66</v>
      </c>
      <c r="G80" s="163"/>
      <c r="H80" s="121">
        <f t="shared" si="6"/>
        <v>2600.66</v>
      </c>
      <c r="I80" s="121">
        <f t="shared" si="7"/>
        <v>0</v>
      </c>
    </row>
    <row r="81" spans="2:9" ht="17.100000000000001" hidden="1" customHeight="1" outlineLevel="1" x14ac:dyDescent="0.25">
      <c r="B81" s="156"/>
      <c r="C81" s="155"/>
      <c r="D81" s="117">
        <f t="shared" si="8"/>
        <v>42124</v>
      </c>
      <c r="E81" s="163"/>
      <c r="F81" s="121">
        <v>1341.59</v>
      </c>
      <c r="G81" s="163"/>
      <c r="H81" s="121">
        <f t="shared" si="6"/>
        <v>1341.59</v>
      </c>
      <c r="I81" s="121">
        <f t="shared" si="7"/>
        <v>0</v>
      </c>
    </row>
    <row r="82" spans="2:9" ht="17.100000000000001" hidden="1" customHeight="1" outlineLevel="1" x14ac:dyDescent="0.25">
      <c r="B82" s="156"/>
      <c r="C82" s="155"/>
      <c r="D82" s="117">
        <f t="shared" si="8"/>
        <v>42155</v>
      </c>
      <c r="E82" s="163"/>
      <c r="F82" s="121">
        <v>2587.29</v>
      </c>
      <c r="G82" s="163"/>
      <c r="H82" s="121">
        <f t="shared" si="6"/>
        <v>2587.29</v>
      </c>
      <c r="I82" s="121">
        <f t="shared" si="7"/>
        <v>0</v>
      </c>
    </row>
    <row r="83" spans="2:9" ht="17.100000000000001" hidden="1" customHeight="1" outlineLevel="1" x14ac:dyDescent="0.25">
      <c r="B83" s="156"/>
      <c r="C83" s="155"/>
      <c r="D83" s="117">
        <f t="shared" si="8"/>
        <v>42185</v>
      </c>
      <c r="E83" s="163"/>
      <c r="F83" s="121">
        <v>3056.77</v>
      </c>
      <c r="G83" s="163"/>
      <c r="H83" s="121">
        <f t="shared" si="6"/>
        <v>3056.77</v>
      </c>
      <c r="I83" s="121">
        <f t="shared" si="7"/>
        <v>0</v>
      </c>
    </row>
    <row r="84" spans="2:9" ht="17.100000000000001" hidden="1" customHeight="1" outlineLevel="1" x14ac:dyDescent="0.25">
      <c r="B84" s="156"/>
      <c r="C84" s="155"/>
      <c r="D84" s="117">
        <f t="shared" si="8"/>
        <v>42216</v>
      </c>
      <c r="E84" s="163"/>
      <c r="F84" s="121">
        <v>2354</v>
      </c>
      <c r="G84" s="163"/>
      <c r="H84" s="121">
        <f t="shared" si="6"/>
        <v>2354</v>
      </c>
      <c r="I84" s="121">
        <f t="shared" si="7"/>
        <v>0</v>
      </c>
    </row>
    <row r="85" spans="2:9" ht="17.100000000000001" hidden="1" customHeight="1" outlineLevel="1" x14ac:dyDescent="0.25">
      <c r="B85" s="156"/>
      <c r="C85" s="155"/>
      <c r="D85" s="117">
        <f t="shared" si="8"/>
        <v>42247</v>
      </c>
      <c r="E85" s="163"/>
      <c r="F85" s="121">
        <v>2454.21</v>
      </c>
      <c r="G85" s="163"/>
      <c r="H85" s="121">
        <f t="shared" si="6"/>
        <v>2454.21</v>
      </c>
      <c r="I85" s="121">
        <f t="shared" si="7"/>
        <v>0</v>
      </c>
    </row>
    <row r="86" spans="2:9" ht="17.100000000000001" hidden="1" customHeight="1" outlineLevel="1" x14ac:dyDescent="0.25">
      <c r="B86" s="156"/>
      <c r="C86" s="155"/>
      <c r="D86" s="117">
        <f t="shared" si="8"/>
        <v>42277</v>
      </c>
      <c r="E86" s="163"/>
      <c r="F86" s="121">
        <v>1660.96</v>
      </c>
      <c r="G86" s="163"/>
      <c r="H86" s="121">
        <f t="shared" si="6"/>
        <v>1660.96</v>
      </c>
      <c r="I86" s="121">
        <f t="shared" si="7"/>
        <v>0</v>
      </c>
    </row>
    <row r="87" spans="2:9" ht="17.100000000000001" hidden="1" customHeight="1" outlineLevel="1" x14ac:dyDescent="0.25">
      <c r="B87" s="156"/>
      <c r="C87" s="155"/>
      <c r="D87" s="117">
        <f t="shared" si="8"/>
        <v>42308</v>
      </c>
      <c r="E87" s="163"/>
      <c r="F87" s="121">
        <v>1620.08</v>
      </c>
      <c r="G87" s="163"/>
      <c r="H87" s="121">
        <f t="shared" si="6"/>
        <v>1620.08</v>
      </c>
      <c r="I87" s="121">
        <f t="shared" si="7"/>
        <v>0</v>
      </c>
    </row>
    <row r="88" spans="2:9" ht="17.100000000000001" hidden="1" customHeight="1" outlineLevel="1" x14ac:dyDescent="0.25">
      <c r="B88" s="156"/>
      <c r="C88" s="155"/>
      <c r="D88" s="117">
        <f t="shared" si="8"/>
        <v>42338</v>
      </c>
      <c r="E88" s="163"/>
      <c r="F88" s="121">
        <v>1681.15</v>
      </c>
      <c r="G88" s="163"/>
      <c r="H88" s="121">
        <f t="shared" si="6"/>
        <v>1681.15</v>
      </c>
      <c r="I88" s="121">
        <f t="shared" si="7"/>
        <v>0</v>
      </c>
    </row>
    <row r="89" spans="2:9" ht="17.100000000000001" hidden="1" customHeight="1" outlineLevel="1" x14ac:dyDescent="0.25">
      <c r="B89" s="156"/>
      <c r="C89" s="155"/>
      <c r="D89" s="117">
        <f t="shared" si="8"/>
        <v>42369</v>
      </c>
      <c r="E89" s="163"/>
      <c r="F89" s="121">
        <v>2133.9899999999998</v>
      </c>
      <c r="G89" s="163"/>
      <c r="H89" s="121">
        <f t="shared" si="6"/>
        <v>2133.9899999999998</v>
      </c>
      <c r="I89" s="121">
        <f t="shared" si="7"/>
        <v>0</v>
      </c>
    </row>
    <row r="90" spans="2:9" ht="17.100000000000001" hidden="1" customHeight="1" outlineLevel="1" x14ac:dyDescent="0.25">
      <c r="B90" s="156"/>
      <c r="C90" s="155"/>
      <c r="D90" s="117">
        <f t="shared" si="8"/>
        <v>42400</v>
      </c>
      <c r="E90" s="163"/>
      <c r="F90" s="121">
        <v>2207.11</v>
      </c>
      <c r="G90" s="163"/>
      <c r="H90" s="121">
        <f t="shared" si="6"/>
        <v>2207.11</v>
      </c>
      <c r="I90" s="121">
        <f>+F90-H90</f>
        <v>0</v>
      </c>
    </row>
    <row r="91" spans="2:9" ht="17.100000000000001" hidden="1" customHeight="1" outlineLevel="1" x14ac:dyDescent="0.25">
      <c r="B91" s="156"/>
      <c r="C91" s="155"/>
      <c r="D91" s="117">
        <f t="shared" si="8"/>
        <v>42429</v>
      </c>
      <c r="E91" s="163"/>
      <c r="F91" s="121">
        <v>2271.71</v>
      </c>
      <c r="G91" s="163"/>
      <c r="H91" s="121">
        <f t="shared" si="6"/>
        <v>2271.71</v>
      </c>
      <c r="I91" s="121">
        <f t="shared" si="7"/>
        <v>0</v>
      </c>
    </row>
    <row r="92" spans="2:9" ht="17.100000000000001" hidden="1" customHeight="1" outlineLevel="1" x14ac:dyDescent="0.25">
      <c r="B92" s="156"/>
      <c r="C92" s="155"/>
      <c r="D92" s="117">
        <f t="shared" si="8"/>
        <v>42460</v>
      </c>
      <c r="E92" s="163"/>
      <c r="F92" s="121">
        <v>1873.7</v>
      </c>
      <c r="G92" s="163"/>
      <c r="H92" s="121">
        <f t="shared" si="6"/>
        <v>1873.7</v>
      </c>
      <c r="I92" s="121">
        <f t="shared" si="7"/>
        <v>0</v>
      </c>
    </row>
    <row r="93" spans="2:9" ht="17.100000000000001" hidden="1" customHeight="1" outlineLevel="1" x14ac:dyDescent="0.25">
      <c r="B93" s="156"/>
      <c r="C93" s="155"/>
      <c r="D93" s="117">
        <f t="shared" si="8"/>
        <v>42490</v>
      </c>
      <c r="E93" s="163"/>
      <c r="F93" s="121">
        <v>2638.34</v>
      </c>
      <c r="G93" s="163"/>
      <c r="H93" s="121">
        <f>+F93</f>
        <v>2638.34</v>
      </c>
      <c r="I93" s="121">
        <f t="shared" si="7"/>
        <v>0</v>
      </c>
    </row>
    <row r="94" spans="2:9" ht="17.100000000000001" hidden="1" customHeight="1" outlineLevel="1" x14ac:dyDescent="0.25">
      <c r="B94" s="156"/>
      <c r="C94" s="155"/>
      <c r="D94" s="117">
        <f t="shared" si="8"/>
        <v>42521</v>
      </c>
      <c r="E94" s="163"/>
      <c r="F94" s="121">
        <v>5104.43</v>
      </c>
      <c r="G94" s="163"/>
      <c r="H94" s="121">
        <f t="shared" si="6"/>
        <v>5104.43</v>
      </c>
      <c r="I94" s="121">
        <f t="shared" si="7"/>
        <v>0</v>
      </c>
    </row>
    <row r="95" spans="2:9" ht="17.100000000000001" hidden="1" customHeight="1" outlineLevel="1" x14ac:dyDescent="0.25">
      <c r="B95" s="156"/>
      <c r="C95" s="155"/>
      <c r="D95" s="117">
        <f t="shared" si="8"/>
        <v>42551</v>
      </c>
      <c r="E95" s="163"/>
      <c r="F95" s="121">
        <v>3383.89</v>
      </c>
      <c r="G95" s="163"/>
      <c r="H95" s="121">
        <f t="shared" si="6"/>
        <v>3383.89</v>
      </c>
      <c r="I95" s="121">
        <f t="shared" si="7"/>
        <v>0</v>
      </c>
    </row>
    <row r="96" spans="2:9" ht="17.100000000000001" hidden="1" customHeight="1" outlineLevel="1" x14ac:dyDescent="0.25">
      <c r="B96" s="156"/>
      <c r="C96" s="155"/>
      <c r="D96" s="117">
        <f t="shared" si="8"/>
        <v>42582</v>
      </c>
      <c r="E96" s="163"/>
      <c r="F96" s="121">
        <v>6822.16</v>
      </c>
      <c r="G96" s="163"/>
      <c r="H96" s="121">
        <f t="shared" si="6"/>
        <v>6822.16</v>
      </c>
      <c r="I96" s="121">
        <f t="shared" si="7"/>
        <v>0</v>
      </c>
    </row>
    <row r="97" spans="2:9" ht="17.100000000000001" hidden="1" customHeight="1" outlineLevel="1" x14ac:dyDescent="0.25">
      <c r="B97" s="156"/>
      <c r="C97" s="155"/>
      <c r="D97" s="117">
        <f t="shared" si="8"/>
        <v>42613</v>
      </c>
      <c r="E97" s="163"/>
      <c r="F97" s="121">
        <v>5436.7</v>
      </c>
      <c r="G97" s="163"/>
      <c r="H97" s="121">
        <f t="shared" si="6"/>
        <v>5436.7</v>
      </c>
      <c r="I97" s="121">
        <f t="shared" si="7"/>
        <v>0</v>
      </c>
    </row>
    <row r="98" spans="2:9" ht="17.100000000000001" hidden="1" customHeight="1" outlineLevel="1" x14ac:dyDescent="0.25">
      <c r="B98" s="156"/>
      <c r="C98" s="155"/>
      <c r="D98" s="117">
        <f t="shared" si="8"/>
        <v>42643</v>
      </c>
      <c r="E98" s="163"/>
      <c r="F98" s="121">
        <v>2596.5100000000002</v>
      </c>
      <c r="G98" s="163"/>
      <c r="H98" s="121">
        <f>+F98</f>
        <v>2596.5100000000002</v>
      </c>
      <c r="I98" s="121">
        <f>+F98-H98</f>
        <v>0</v>
      </c>
    </row>
    <row r="99" spans="2:9" ht="17.100000000000001" hidden="1" customHeight="1" outlineLevel="1" x14ac:dyDescent="0.25">
      <c r="B99" s="156"/>
      <c r="C99" s="155"/>
      <c r="D99" s="117">
        <f t="shared" ref="D99:D107" si="9">EOMONTH(D98,1)</f>
        <v>42674</v>
      </c>
      <c r="E99" s="163"/>
      <c r="F99" s="121">
        <v>2666.62</v>
      </c>
      <c r="G99" s="163"/>
      <c r="H99" s="121">
        <f t="shared" ref="H99:H108" si="10">+F99</f>
        <v>2666.62</v>
      </c>
      <c r="I99" s="121">
        <f t="shared" ref="I99:I108" si="11">+F99-H99</f>
        <v>0</v>
      </c>
    </row>
    <row r="100" spans="2:9" ht="17.100000000000001" hidden="1" customHeight="1" outlineLevel="1" x14ac:dyDescent="0.25">
      <c r="B100" s="156"/>
      <c r="C100" s="155"/>
      <c r="D100" s="117">
        <f t="shared" si="9"/>
        <v>42704</v>
      </c>
      <c r="E100" s="163"/>
      <c r="F100" s="121">
        <v>3611.91</v>
      </c>
      <c r="G100" s="163"/>
      <c r="H100" s="121">
        <f t="shared" si="10"/>
        <v>3611.91</v>
      </c>
      <c r="I100" s="121">
        <f t="shared" si="11"/>
        <v>0</v>
      </c>
    </row>
    <row r="101" spans="2:9" ht="17.100000000000001" hidden="1" customHeight="1" outlineLevel="1" x14ac:dyDescent="0.25">
      <c r="B101" s="156"/>
      <c r="C101" s="155"/>
      <c r="D101" s="117">
        <f t="shared" si="9"/>
        <v>42735</v>
      </c>
      <c r="E101" s="163"/>
      <c r="F101" s="121">
        <v>8420.18</v>
      </c>
      <c r="G101" s="163"/>
      <c r="H101" s="121">
        <f t="shared" si="10"/>
        <v>8420.18</v>
      </c>
      <c r="I101" s="121">
        <f t="shared" si="11"/>
        <v>0</v>
      </c>
    </row>
    <row r="102" spans="2:9" ht="17.100000000000001" hidden="1" customHeight="1" outlineLevel="1" x14ac:dyDescent="0.25">
      <c r="B102" s="156"/>
      <c r="C102" s="155"/>
      <c r="D102" s="117">
        <f t="shared" si="9"/>
        <v>42766</v>
      </c>
      <c r="E102" s="163"/>
      <c r="F102" s="121">
        <v>5854.23</v>
      </c>
      <c r="G102" s="163"/>
      <c r="H102" s="121">
        <f t="shared" si="10"/>
        <v>5854.23</v>
      </c>
      <c r="I102" s="121">
        <f t="shared" si="11"/>
        <v>0</v>
      </c>
    </row>
    <row r="103" spans="2:9" ht="17.100000000000001" hidden="1" customHeight="1" outlineLevel="1" x14ac:dyDescent="0.25">
      <c r="B103" s="156"/>
      <c r="C103" s="155"/>
      <c r="D103" s="117">
        <f t="shared" si="9"/>
        <v>42794</v>
      </c>
      <c r="E103" s="163"/>
      <c r="F103" s="121">
        <v>3250.26</v>
      </c>
      <c r="G103" s="163"/>
      <c r="H103" s="121">
        <f t="shared" si="10"/>
        <v>3250.26</v>
      </c>
      <c r="I103" s="121">
        <f t="shared" si="11"/>
        <v>0</v>
      </c>
    </row>
    <row r="104" spans="2:9" ht="17.100000000000001" hidden="1" customHeight="1" outlineLevel="1" x14ac:dyDescent="0.25">
      <c r="B104" s="156"/>
      <c r="C104" s="155"/>
      <c r="D104" s="117">
        <f t="shared" si="9"/>
        <v>42825</v>
      </c>
      <c r="E104" s="163"/>
      <c r="F104" s="121">
        <v>2016.47</v>
      </c>
      <c r="G104" s="163"/>
      <c r="H104" s="121">
        <f t="shared" si="10"/>
        <v>2016.47</v>
      </c>
      <c r="I104" s="121">
        <f t="shared" si="11"/>
        <v>0</v>
      </c>
    </row>
    <row r="105" spans="2:9" ht="17.100000000000001" hidden="1" customHeight="1" outlineLevel="1" x14ac:dyDescent="0.25">
      <c r="B105" s="156"/>
      <c r="C105" s="155"/>
      <c r="D105" s="117">
        <f t="shared" si="9"/>
        <v>42855</v>
      </c>
      <c r="E105" s="163"/>
      <c r="F105" s="121">
        <v>3007.93</v>
      </c>
      <c r="G105" s="163"/>
      <c r="H105" s="121">
        <f t="shared" si="10"/>
        <v>3007.93</v>
      </c>
      <c r="I105" s="121">
        <f t="shared" si="11"/>
        <v>0</v>
      </c>
    </row>
    <row r="106" spans="2:9" ht="17.100000000000001" hidden="1" customHeight="1" outlineLevel="1" x14ac:dyDescent="0.25">
      <c r="B106" s="156"/>
      <c r="C106" s="155"/>
      <c r="D106" s="117">
        <f t="shared" si="9"/>
        <v>42886</v>
      </c>
      <c r="E106" s="163"/>
      <c r="F106" s="121">
        <v>5501.27</v>
      </c>
      <c r="G106" s="163"/>
      <c r="H106" s="121">
        <f t="shared" si="10"/>
        <v>5501.27</v>
      </c>
      <c r="I106" s="121">
        <f t="shared" si="11"/>
        <v>0</v>
      </c>
    </row>
    <row r="107" spans="2:9" ht="17.100000000000001" hidden="1" customHeight="1" outlineLevel="1" x14ac:dyDescent="0.25">
      <c r="B107" s="156"/>
      <c r="C107" s="155"/>
      <c r="D107" s="117">
        <f t="shared" si="9"/>
        <v>42916</v>
      </c>
      <c r="E107" s="163"/>
      <c r="F107" s="121">
        <v>3809.2</v>
      </c>
      <c r="G107" s="163"/>
      <c r="H107" s="121">
        <f t="shared" si="10"/>
        <v>3809.2</v>
      </c>
      <c r="I107" s="121">
        <f t="shared" si="11"/>
        <v>0</v>
      </c>
    </row>
    <row r="108" spans="2:9" ht="17.100000000000001" hidden="1" customHeight="1" outlineLevel="1" x14ac:dyDescent="0.25">
      <c r="B108" s="131">
        <v>42887</v>
      </c>
      <c r="C108" s="140">
        <v>0.10875093</v>
      </c>
      <c r="D108" s="117">
        <v>42917</v>
      </c>
      <c r="E108" s="117">
        <v>42948</v>
      </c>
      <c r="F108" s="121">
        <v>6127.43</v>
      </c>
      <c r="G108" s="117">
        <f>E108</f>
        <v>42948</v>
      </c>
      <c r="H108" s="121">
        <f t="shared" si="10"/>
        <v>6127.43</v>
      </c>
      <c r="I108" s="121">
        <f t="shared" si="11"/>
        <v>0</v>
      </c>
    </row>
    <row r="109" spans="2:9" ht="17.100000000000001" hidden="1" customHeight="1" outlineLevel="1" x14ac:dyDescent="0.25">
      <c r="B109" s="131">
        <f t="shared" ref="B109:B172" si="12">EOMONTH(B108,1)</f>
        <v>42947</v>
      </c>
      <c r="C109" s="140">
        <v>8.6012889999999995E-2</v>
      </c>
      <c r="D109" s="117">
        <f t="shared" ref="D109:D172" si="13">EOMONTH(D108,1)</f>
        <v>42978</v>
      </c>
      <c r="E109" s="117">
        <f>EOMONTH(D109,1)</f>
        <v>43008</v>
      </c>
      <c r="F109" s="121">
        <v>3166.12</v>
      </c>
      <c r="G109" s="117">
        <f>E109</f>
        <v>43008</v>
      </c>
      <c r="H109" s="121">
        <f t="shared" ref="H109:H129" si="14">+F109</f>
        <v>3166.12</v>
      </c>
      <c r="I109" s="121">
        <f t="shared" ref="I109:I129" si="15">+F109-H109</f>
        <v>0</v>
      </c>
    </row>
    <row r="110" spans="2:9" ht="17.100000000000001" hidden="1" customHeight="1" outlineLevel="1" x14ac:dyDescent="0.25">
      <c r="B110" s="131">
        <f t="shared" si="12"/>
        <v>42978</v>
      </c>
      <c r="C110" s="140">
        <f>'Att(1of6)(JP-Non)'!C112</f>
        <v>4.5882630000000001E-2</v>
      </c>
      <c r="D110" s="117">
        <f t="shared" si="13"/>
        <v>43008</v>
      </c>
      <c r="E110" s="117">
        <f t="shared" ref="E110:E133" si="16">EOMONTH(D110,1)</f>
        <v>43039</v>
      </c>
      <c r="F110" s="121">
        <v>1572.74</v>
      </c>
      <c r="G110" s="117">
        <f t="shared" ref="G110:G133" si="17">E110</f>
        <v>43039</v>
      </c>
      <c r="H110" s="121">
        <f t="shared" si="14"/>
        <v>1572.74</v>
      </c>
      <c r="I110" s="121">
        <f t="shared" si="15"/>
        <v>0</v>
      </c>
    </row>
    <row r="111" spans="2:9" ht="17.100000000000001" hidden="1" customHeight="1" outlineLevel="1" x14ac:dyDescent="0.25">
      <c r="B111" s="131">
        <f t="shared" si="12"/>
        <v>43008</v>
      </c>
      <c r="C111" s="140">
        <f>'Att(1of6)(JP-Non)'!C113</f>
        <v>8.1473870000000004E-2</v>
      </c>
      <c r="D111" s="117">
        <f t="shared" si="13"/>
        <v>43039</v>
      </c>
      <c r="E111" s="117">
        <f t="shared" si="16"/>
        <v>43069</v>
      </c>
      <c r="F111" s="121">
        <v>1997.5</v>
      </c>
      <c r="G111" s="117">
        <f t="shared" si="17"/>
        <v>43069</v>
      </c>
      <c r="H111" s="121">
        <f t="shared" si="14"/>
        <v>1997.5</v>
      </c>
      <c r="I111" s="121">
        <f t="shared" si="15"/>
        <v>0</v>
      </c>
    </row>
    <row r="112" spans="2:9" ht="17.100000000000001" hidden="1" customHeight="1" outlineLevel="1" x14ac:dyDescent="0.25">
      <c r="B112" s="131">
        <f t="shared" si="12"/>
        <v>43039</v>
      </c>
      <c r="C112" s="140">
        <f>'Att(1of6)(JP-Non)'!C114</f>
        <v>8.3922060000000007E-2</v>
      </c>
      <c r="D112" s="117">
        <f t="shared" si="13"/>
        <v>43069</v>
      </c>
      <c r="E112" s="117">
        <f t="shared" si="16"/>
        <v>43100</v>
      </c>
      <c r="F112" s="121">
        <v>2324.15</v>
      </c>
      <c r="G112" s="117">
        <f t="shared" si="17"/>
        <v>43100</v>
      </c>
      <c r="H112" s="121">
        <f t="shared" si="14"/>
        <v>2324.15</v>
      </c>
      <c r="I112" s="121">
        <f t="shared" si="15"/>
        <v>0</v>
      </c>
    </row>
    <row r="113" spans="2:9" ht="17.100000000000001" hidden="1" customHeight="1" outlineLevel="1" x14ac:dyDescent="0.25">
      <c r="B113" s="131">
        <f t="shared" si="12"/>
        <v>43069</v>
      </c>
      <c r="C113" s="140">
        <f>'Att(1of6)(JP-Non)'!C115</f>
        <v>9.3462320000000002E-2</v>
      </c>
      <c r="D113" s="117">
        <f t="shared" si="13"/>
        <v>43100</v>
      </c>
      <c r="E113" s="117">
        <f t="shared" si="16"/>
        <v>43131</v>
      </c>
      <c r="F113" s="121">
        <v>2113.2199999999998</v>
      </c>
      <c r="G113" s="117">
        <f t="shared" si="17"/>
        <v>43131</v>
      </c>
      <c r="H113" s="121">
        <f t="shared" si="14"/>
        <v>2113.2199999999998</v>
      </c>
      <c r="I113" s="121">
        <f t="shared" si="15"/>
        <v>0</v>
      </c>
    </row>
    <row r="114" spans="2:9" ht="17.100000000000001" hidden="1" customHeight="1" outlineLevel="1" x14ac:dyDescent="0.25">
      <c r="B114" s="131">
        <f t="shared" si="12"/>
        <v>43100</v>
      </c>
      <c r="C114" s="140">
        <f>'Att(1of6)(JP-Non)'!C116</f>
        <v>8.6848540000000002E-2</v>
      </c>
      <c r="D114" s="117">
        <f t="shared" si="13"/>
        <v>43131</v>
      </c>
      <c r="E114" s="117">
        <f t="shared" si="16"/>
        <v>43159</v>
      </c>
      <c r="F114" s="121">
        <v>1820.86</v>
      </c>
      <c r="G114" s="117">
        <f t="shared" si="17"/>
        <v>43159</v>
      </c>
      <c r="H114" s="121">
        <f t="shared" si="14"/>
        <v>1820.86</v>
      </c>
      <c r="I114" s="121">
        <f t="shared" si="15"/>
        <v>0</v>
      </c>
    </row>
    <row r="115" spans="2:9" ht="17.100000000000001" hidden="1" customHeight="1" outlineLevel="1" x14ac:dyDescent="0.25">
      <c r="B115" s="131">
        <f t="shared" si="12"/>
        <v>43131</v>
      </c>
      <c r="C115" s="140">
        <f>'Att(1of6)(JP-Non)'!C117</f>
        <v>8.9125689999999994E-2</v>
      </c>
      <c r="D115" s="117">
        <f t="shared" si="13"/>
        <v>43159</v>
      </c>
      <c r="E115" s="117">
        <f t="shared" si="16"/>
        <v>43190</v>
      </c>
      <c r="F115" s="121">
        <v>2071.4299999999998</v>
      </c>
      <c r="G115" s="117">
        <f t="shared" si="17"/>
        <v>43190</v>
      </c>
      <c r="H115" s="121">
        <f t="shared" si="14"/>
        <v>2071.4299999999998</v>
      </c>
      <c r="I115" s="121">
        <f t="shared" si="15"/>
        <v>0</v>
      </c>
    </row>
    <row r="116" spans="2:9" ht="17.100000000000001" hidden="1" customHeight="1" outlineLevel="1" x14ac:dyDescent="0.25">
      <c r="B116" s="131">
        <f t="shared" si="12"/>
        <v>43159</v>
      </c>
      <c r="C116" s="140">
        <f>'Att(1of6)(JP-Non)'!C118</f>
        <v>6.4310989999999998E-2</v>
      </c>
      <c r="D116" s="117">
        <f t="shared" si="13"/>
        <v>43190</v>
      </c>
      <c r="E116" s="117">
        <f t="shared" si="16"/>
        <v>43220</v>
      </c>
      <c r="F116" s="121">
        <v>2020.66</v>
      </c>
      <c r="G116" s="117">
        <f t="shared" si="17"/>
        <v>43220</v>
      </c>
      <c r="H116" s="121">
        <f t="shared" si="14"/>
        <v>2020.66</v>
      </c>
      <c r="I116" s="121">
        <f t="shared" si="15"/>
        <v>0</v>
      </c>
    </row>
    <row r="117" spans="2:9" ht="17.100000000000001" hidden="1" customHeight="1" outlineLevel="1" x14ac:dyDescent="0.25">
      <c r="B117" s="131">
        <f t="shared" si="12"/>
        <v>43190</v>
      </c>
      <c r="C117" s="140">
        <f>'Att(1of6)(JP-Non)'!C119</f>
        <v>8.5307889999999997E-2</v>
      </c>
      <c r="D117" s="117">
        <f t="shared" si="13"/>
        <v>43220</v>
      </c>
      <c r="E117" s="117">
        <f t="shared" si="16"/>
        <v>43251</v>
      </c>
      <c r="F117" s="121">
        <v>2117.08</v>
      </c>
      <c r="G117" s="117">
        <f t="shared" si="17"/>
        <v>43251</v>
      </c>
      <c r="H117" s="121">
        <f t="shared" si="14"/>
        <v>2117.08</v>
      </c>
      <c r="I117" s="121">
        <f t="shared" si="15"/>
        <v>0</v>
      </c>
    </row>
    <row r="118" spans="2:9" ht="17.100000000000001" hidden="1" customHeight="1" outlineLevel="1" x14ac:dyDescent="0.25">
      <c r="B118" s="131">
        <f t="shared" si="12"/>
        <v>43220</v>
      </c>
      <c r="C118" s="140">
        <f>'Att(1of6)(JP-Non)'!C120</f>
        <v>8.1429319999999999E-2</v>
      </c>
      <c r="D118" s="117">
        <f t="shared" si="13"/>
        <v>43251</v>
      </c>
      <c r="E118" s="117">
        <f t="shared" si="16"/>
        <v>43281</v>
      </c>
      <c r="F118" s="121">
        <v>1842.23</v>
      </c>
      <c r="G118" s="117">
        <f t="shared" si="17"/>
        <v>43281</v>
      </c>
      <c r="H118" s="121">
        <f t="shared" si="14"/>
        <v>1842.23</v>
      </c>
      <c r="I118" s="121">
        <f t="shared" si="15"/>
        <v>0</v>
      </c>
    </row>
    <row r="119" spans="2:9" ht="17.100000000000001" hidden="1" customHeight="1" outlineLevel="1" x14ac:dyDescent="0.25">
      <c r="B119" s="131">
        <f t="shared" si="12"/>
        <v>43251</v>
      </c>
      <c r="C119" s="140">
        <f>'Att(1of6)(JP-Non)'!C121</f>
        <v>9.4201789999999994E-2</v>
      </c>
      <c r="D119" s="117">
        <f t="shared" si="13"/>
        <v>43281</v>
      </c>
      <c r="E119" s="117">
        <f t="shared" si="16"/>
        <v>43312</v>
      </c>
      <c r="F119" s="121">
        <v>2100.7199999999998</v>
      </c>
      <c r="G119" s="117">
        <f t="shared" si="17"/>
        <v>43312</v>
      </c>
      <c r="H119" s="121">
        <f t="shared" si="14"/>
        <v>2100.7199999999998</v>
      </c>
      <c r="I119" s="121">
        <f t="shared" si="15"/>
        <v>0</v>
      </c>
    </row>
    <row r="120" spans="2:9" ht="17.100000000000001" hidden="1" customHeight="1" outlineLevel="1" x14ac:dyDescent="0.25">
      <c r="B120" s="131">
        <f t="shared" si="12"/>
        <v>43281</v>
      </c>
      <c r="C120" s="140">
        <f>'Att(1of6)(JP-Non)'!C122</f>
        <v>8.5653030000000005E-2</v>
      </c>
      <c r="D120" s="117">
        <f t="shared" si="13"/>
        <v>43312</v>
      </c>
      <c r="E120" s="117">
        <f t="shared" si="16"/>
        <v>43343</v>
      </c>
      <c r="F120" s="121">
        <v>1743.35</v>
      </c>
      <c r="G120" s="117">
        <f t="shared" si="17"/>
        <v>43343</v>
      </c>
      <c r="H120" s="121">
        <f t="shared" si="14"/>
        <v>1743.35</v>
      </c>
      <c r="I120" s="121">
        <f t="shared" si="15"/>
        <v>0</v>
      </c>
    </row>
    <row r="121" spans="2:9" ht="17.100000000000001" hidden="1" customHeight="1" outlineLevel="1" x14ac:dyDescent="0.25">
      <c r="B121" s="131">
        <f t="shared" si="12"/>
        <v>43312</v>
      </c>
      <c r="C121" s="140">
        <f>'Att(1of6)(JP-Non)'!C123</f>
        <v>9.7209050000000005E-2</v>
      </c>
      <c r="D121" s="117">
        <f t="shared" si="13"/>
        <v>43343</v>
      </c>
      <c r="E121" s="117">
        <f t="shared" si="16"/>
        <v>43373</v>
      </c>
      <c r="F121" s="121">
        <v>1923.48</v>
      </c>
      <c r="G121" s="117">
        <f t="shared" si="17"/>
        <v>43373</v>
      </c>
      <c r="H121" s="121">
        <f t="shared" si="14"/>
        <v>1923.48</v>
      </c>
      <c r="I121" s="121">
        <f t="shared" si="15"/>
        <v>0</v>
      </c>
    </row>
    <row r="122" spans="2:9" ht="17.100000000000001" hidden="1" customHeight="1" outlineLevel="1" x14ac:dyDescent="0.25">
      <c r="B122" s="131">
        <f t="shared" si="12"/>
        <v>43343</v>
      </c>
      <c r="C122" s="140">
        <f>'Att(1of6)(JP-Non)'!C124</f>
        <v>6.773962E-2</v>
      </c>
      <c r="D122" s="117">
        <f t="shared" si="13"/>
        <v>43373</v>
      </c>
      <c r="E122" s="117">
        <f t="shared" si="16"/>
        <v>43404</v>
      </c>
      <c r="F122" s="121">
        <v>100.13</v>
      </c>
      <c r="G122" s="117">
        <f t="shared" si="17"/>
        <v>43404</v>
      </c>
      <c r="H122" s="121">
        <f t="shared" si="14"/>
        <v>100.13</v>
      </c>
      <c r="I122" s="121">
        <f t="shared" si="15"/>
        <v>0</v>
      </c>
    </row>
    <row r="123" spans="2:9" ht="17.100000000000001" hidden="1" customHeight="1" outlineLevel="1" x14ac:dyDescent="0.25">
      <c r="B123" s="131">
        <f t="shared" si="12"/>
        <v>43373</v>
      </c>
      <c r="C123" s="140">
        <f>'Att(1of6)(JP-Non)'!C125</f>
        <v>9.6567710000000001E-2</v>
      </c>
      <c r="D123" s="117">
        <f t="shared" si="13"/>
        <v>43404</v>
      </c>
      <c r="E123" s="117">
        <f t="shared" si="16"/>
        <v>43434</v>
      </c>
      <c r="F123" s="121">
        <v>134.44999999999999</v>
      </c>
      <c r="G123" s="117">
        <f t="shared" si="17"/>
        <v>43434</v>
      </c>
      <c r="H123" s="121">
        <f t="shared" si="14"/>
        <v>134.44999999999999</v>
      </c>
      <c r="I123" s="121">
        <f t="shared" si="15"/>
        <v>0</v>
      </c>
    </row>
    <row r="124" spans="2:9" ht="17.100000000000001" hidden="1" customHeight="1" outlineLevel="1" x14ac:dyDescent="0.25">
      <c r="B124" s="131">
        <f t="shared" si="12"/>
        <v>43404</v>
      </c>
      <c r="C124" s="140">
        <f>'Att(1of6)(JP-Non)'!C126</f>
        <v>9.6868129999999997E-2</v>
      </c>
      <c r="D124" s="117">
        <f t="shared" si="13"/>
        <v>43434</v>
      </c>
      <c r="E124" s="117">
        <f t="shared" si="16"/>
        <v>43465</v>
      </c>
      <c r="F124" s="121">
        <v>145.4</v>
      </c>
      <c r="G124" s="117">
        <f t="shared" si="17"/>
        <v>43465</v>
      </c>
      <c r="H124" s="121">
        <f t="shared" si="14"/>
        <v>145.4</v>
      </c>
      <c r="I124" s="121">
        <f t="shared" si="15"/>
        <v>0</v>
      </c>
    </row>
    <row r="125" spans="2:9" ht="17.100000000000001" hidden="1" customHeight="1" outlineLevel="1" x14ac:dyDescent="0.25">
      <c r="B125" s="131">
        <f t="shared" si="12"/>
        <v>43434</v>
      </c>
      <c r="C125" s="140">
        <f>'Att(1of6)(JP-Non)'!C127</f>
        <v>0.10872047</v>
      </c>
      <c r="D125" s="117">
        <f t="shared" si="13"/>
        <v>43465</v>
      </c>
      <c r="E125" s="117">
        <f t="shared" si="16"/>
        <v>43496</v>
      </c>
      <c r="F125" s="121">
        <v>168.64</v>
      </c>
      <c r="G125" s="117">
        <f t="shared" si="17"/>
        <v>43496</v>
      </c>
      <c r="H125" s="121">
        <f t="shared" si="14"/>
        <v>168.64</v>
      </c>
      <c r="I125" s="121">
        <f t="shared" si="15"/>
        <v>0</v>
      </c>
    </row>
    <row r="126" spans="2:9" ht="17.100000000000001" hidden="1" customHeight="1" outlineLevel="1" x14ac:dyDescent="0.25">
      <c r="B126" s="131">
        <f t="shared" si="12"/>
        <v>43465</v>
      </c>
      <c r="C126" s="140">
        <f>'Att(1of6)(JP-Non)'!C128</f>
        <v>0.10952069</v>
      </c>
      <c r="D126" s="117">
        <f t="shared" si="13"/>
        <v>43496</v>
      </c>
      <c r="E126" s="117">
        <f t="shared" si="16"/>
        <v>43524</v>
      </c>
      <c r="F126" s="121">
        <v>182.24</v>
      </c>
      <c r="G126" s="117">
        <f t="shared" si="17"/>
        <v>43524</v>
      </c>
      <c r="H126" s="121">
        <f t="shared" si="14"/>
        <v>182.24</v>
      </c>
      <c r="I126" s="121">
        <f t="shared" si="15"/>
        <v>0</v>
      </c>
    </row>
    <row r="127" spans="2:9" ht="17.100000000000001" hidden="1" customHeight="1" outlineLevel="1" x14ac:dyDescent="0.25">
      <c r="B127" s="131">
        <f t="shared" si="12"/>
        <v>43496</v>
      </c>
      <c r="C127" s="140">
        <f>'Att(1of6)(JP-Non)'!C129</f>
        <v>9.6100149999999995E-2</v>
      </c>
      <c r="D127" s="117">
        <f t="shared" si="13"/>
        <v>43524</v>
      </c>
      <c r="E127" s="117">
        <f t="shared" si="16"/>
        <v>43555</v>
      </c>
      <c r="F127" s="121">
        <v>141.83000000000001</v>
      </c>
      <c r="G127" s="117">
        <f t="shared" si="17"/>
        <v>43555</v>
      </c>
      <c r="H127" s="121">
        <f t="shared" si="14"/>
        <v>141.83000000000001</v>
      </c>
      <c r="I127" s="121">
        <f t="shared" si="15"/>
        <v>0</v>
      </c>
    </row>
    <row r="128" spans="2:9" ht="17.100000000000001" hidden="1" customHeight="1" outlineLevel="1" x14ac:dyDescent="0.25">
      <c r="B128" s="131">
        <f t="shared" si="12"/>
        <v>43524</v>
      </c>
      <c r="C128" s="140">
        <f>'Att(1of6)(JP-Non)'!C130</f>
        <v>7.8860360000000004E-2</v>
      </c>
      <c r="D128" s="117">
        <f t="shared" si="13"/>
        <v>43555</v>
      </c>
      <c r="E128" s="117">
        <f t="shared" si="16"/>
        <v>43585</v>
      </c>
      <c r="F128" s="121">
        <v>108.19</v>
      </c>
      <c r="G128" s="117">
        <f t="shared" si="17"/>
        <v>43585</v>
      </c>
      <c r="H128" s="121">
        <f t="shared" si="14"/>
        <v>108.19</v>
      </c>
      <c r="I128" s="121">
        <f t="shared" si="15"/>
        <v>0</v>
      </c>
    </row>
    <row r="129" spans="1:9" ht="17.100000000000001" hidden="1" customHeight="1" outlineLevel="1" x14ac:dyDescent="0.25">
      <c r="B129" s="131">
        <f t="shared" si="12"/>
        <v>43555</v>
      </c>
      <c r="C129" s="140">
        <f>'Att(1of6)(JP-Non)'!C131</f>
        <v>8.642946E-2</v>
      </c>
      <c r="D129" s="117">
        <f t="shared" si="13"/>
        <v>43585</v>
      </c>
      <c r="E129" s="117">
        <f t="shared" si="16"/>
        <v>43616</v>
      </c>
      <c r="F129" s="121">
        <v>99.17</v>
      </c>
      <c r="G129" s="117">
        <f t="shared" si="17"/>
        <v>43616</v>
      </c>
      <c r="H129" s="121">
        <f t="shared" si="14"/>
        <v>99.17</v>
      </c>
      <c r="I129" s="121">
        <f t="shared" si="15"/>
        <v>0</v>
      </c>
    </row>
    <row r="130" spans="1:9" ht="17.100000000000001" hidden="1" customHeight="1" outlineLevel="1" x14ac:dyDescent="0.25">
      <c r="B130" s="131">
        <f t="shared" si="12"/>
        <v>43585</v>
      </c>
      <c r="C130" s="140">
        <f>'Att(1of6)(JP-Non)'!C132</f>
        <v>7.4784340000000005E-2</v>
      </c>
      <c r="D130" s="117">
        <f t="shared" si="13"/>
        <v>43616</v>
      </c>
      <c r="E130" s="117">
        <f t="shared" si="16"/>
        <v>43646</v>
      </c>
      <c r="F130" s="121">
        <v>95.16</v>
      </c>
      <c r="G130" s="117">
        <f t="shared" si="17"/>
        <v>43646</v>
      </c>
      <c r="H130" s="121">
        <f>+F130</f>
        <v>95.16</v>
      </c>
      <c r="I130" s="121">
        <f>+F130-H130</f>
        <v>0</v>
      </c>
    </row>
    <row r="131" spans="1:9" ht="17.100000000000001" hidden="1" customHeight="1" outlineLevel="1" x14ac:dyDescent="0.25">
      <c r="B131" s="131">
        <f t="shared" si="12"/>
        <v>43616</v>
      </c>
      <c r="C131" s="140">
        <f>'Att(1of6)(JP-Non)'!C133</f>
        <v>9.9774479999999999E-2</v>
      </c>
      <c r="D131" s="117">
        <f t="shared" si="13"/>
        <v>43646</v>
      </c>
      <c r="E131" s="117">
        <f t="shared" si="16"/>
        <v>43677</v>
      </c>
      <c r="F131" s="121">
        <v>146.84</v>
      </c>
      <c r="G131" s="117">
        <f t="shared" si="17"/>
        <v>43677</v>
      </c>
      <c r="H131" s="121">
        <f>+F131</f>
        <v>146.84</v>
      </c>
      <c r="I131" s="121">
        <f>+F131-H131</f>
        <v>0</v>
      </c>
    </row>
    <row r="132" spans="1:9" ht="17.100000000000001" hidden="1" customHeight="1" outlineLevel="1" x14ac:dyDescent="0.25">
      <c r="B132" s="131">
        <f t="shared" si="12"/>
        <v>43646</v>
      </c>
      <c r="C132" s="140">
        <f>'Att(1of6)(JP-Non)'!C134</f>
        <v>8.8896310000000006E-2</v>
      </c>
      <c r="D132" s="117">
        <f t="shared" si="13"/>
        <v>43677</v>
      </c>
      <c r="E132" s="117">
        <f t="shared" si="16"/>
        <v>43708</v>
      </c>
      <c r="F132" s="121">
        <v>136.07</v>
      </c>
      <c r="G132" s="117">
        <f t="shared" si="17"/>
        <v>43708</v>
      </c>
      <c r="H132" s="121">
        <f>+F132</f>
        <v>136.07</v>
      </c>
      <c r="I132" s="121">
        <f>+F132-H132</f>
        <v>0</v>
      </c>
    </row>
    <row r="133" spans="1:9" ht="17.100000000000001" hidden="1" customHeight="1" outlineLevel="1" x14ac:dyDescent="0.25">
      <c r="B133" s="131">
        <f t="shared" si="12"/>
        <v>43677</v>
      </c>
      <c r="C133" s="140">
        <f>'Att(1of6)(JP-Non)'!C135</f>
        <v>9.3644240000000004E-2</v>
      </c>
      <c r="D133" s="117">
        <f t="shared" si="13"/>
        <v>43708</v>
      </c>
      <c r="E133" s="117">
        <f t="shared" si="16"/>
        <v>43738</v>
      </c>
      <c r="F133" s="121">
        <f>+[137]ES!$I$10</f>
        <v>144.34</v>
      </c>
      <c r="G133" s="117">
        <f t="shared" si="17"/>
        <v>43738</v>
      </c>
      <c r="H133" s="121">
        <f>+F133</f>
        <v>144.34</v>
      </c>
      <c r="I133" s="121">
        <f>+F133-H133</f>
        <v>0</v>
      </c>
    </row>
    <row r="134" spans="1:9" ht="17.100000000000001" hidden="1" customHeight="1" outlineLevel="1" x14ac:dyDescent="0.25">
      <c r="A134" s="108">
        <f>+A11+1</f>
        <v>1</v>
      </c>
      <c r="B134" s="131">
        <f t="shared" si="12"/>
        <v>43708</v>
      </c>
      <c r="C134" s="140">
        <f>'Att(1of6)(JP-Non)'!C136</f>
        <v>6.5542030000000001E-2</v>
      </c>
      <c r="D134" s="117">
        <f t="shared" si="13"/>
        <v>43738</v>
      </c>
      <c r="E134" s="117">
        <f t="shared" ref="E134:E174" si="18">EOMONTH(D134,1)</f>
        <v>43769</v>
      </c>
      <c r="F134" s="121">
        <f>+[138]ES!$I$10</f>
        <v>101.47</v>
      </c>
      <c r="G134" s="117">
        <f t="shared" ref="G134:G174" si="19">E134</f>
        <v>43769</v>
      </c>
      <c r="H134" s="121">
        <f t="shared" ref="H134:H174" si="20">+F134</f>
        <v>101.47</v>
      </c>
      <c r="I134" s="121">
        <f t="shared" ref="I134:I174" si="21">+F134-H134</f>
        <v>0</v>
      </c>
    </row>
    <row r="135" spans="1:9" ht="17.100000000000001" hidden="1" customHeight="1" outlineLevel="1" x14ac:dyDescent="0.25">
      <c r="A135" s="108">
        <f>+A134+1</f>
        <v>2</v>
      </c>
      <c r="B135" s="131">
        <f t="shared" si="12"/>
        <v>43738</v>
      </c>
      <c r="C135" s="140">
        <f>'Att(1of6)(JP-Non)'!C137</f>
        <v>6.2412290000000002E-2</v>
      </c>
      <c r="D135" s="117">
        <f t="shared" si="13"/>
        <v>43769</v>
      </c>
      <c r="E135" s="117">
        <f t="shared" si="18"/>
        <v>43799</v>
      </c>
      <c r="F135" s="121">
        <f>+[139]ES!$I$10</f>
        <v>1649.46</v>
      </c>
      <c r="G135" s="117">
        <f t="shared" si="19"/>
        <v>43799</v>
      </c>
      <c r="H135" s="121">
        <f t="shared" si="20"/>
        <v>1649.46</v>
      </c>
      <c r="I135" s="121">
        <f t="shared" si="21"/>
        <v>0</v>
      </c>
    </row>
    <row r="136" spans="1:9" ht="17.100000000000001" hidden="1" customHeight="1" outlineLevel="1" x14ac:dyDescent="0.25">
      <c r="A136" s="108">
        <f t="shared" ref="A136:A199" si="22">+A135+1</f>
        <v>3</v>
      </c>
      <c r="B136" s="131">
        <f t="shared" si="12"/>
        <v>43769</v>
      </c>
      <c r="C136" s="140">
        <f>'Att(1of6)(JP-Non)'!C138</f>
        <v>5.4750090000000001E-2</v>
      </c>
      <c r="D136" s="117">
        <f t="shared" si="13"/>
        <v>43799</v>
      </c>
      <c r="E136" s="117">
        <f t="shared" si="18"/>
        <v>43830</v>
      </c>
      <c r="F136" s="121">
        <f>+[140]ES!$I$10</f>
        <v>85.01</v>
      </c>
      <c r="G136" s="117">
        <f t="shared" si="19"/>
        <v>43830</v>
      </c>
      <c r="H136" s="121">
        <f t="shared" si="20"/>
        <v>85.01</v>
      </c>
      <c r="I136" s="121">
        <f t="shared" si="21"/>
        <v>0</v>
      </c>
    </row>
    <row r="137" spans="1:9" ht="17.100000000000001" hidden="1" customHeight="1" outlineLevel="1" x14ac:dyDescent="0.25">
      <c r="A137" s="108">
        <f t="shared" si="22"/>
        <v>4</v>
      </c>
      <c r="B137" s="131">
        <f t="shared" si="12"/>
        <v>43799</v>
      </c>
      <c r="C137" s="140">
        <f>'Att(1of6)(JP-Non)'!C139</f>
        <v>7.0155609999999993E-2</v>
      </c>
      <c r="D137" s="117">
        <f t="shared" si="13"/>
        <v>43830</v>
      </c>
      <c r="E137" s="117">
        <f t="shared" si="18"/>
        <v>43861</v>
      </c>
      <c r="F137" s="121">
        <f>+[141]ES!$I$10</f>
        <v>1612.67</v>
      </c>
      <c r="G137" s="117">
        <f t="shared" si="19"/>
        <v>43861</v>
      </c>
      <c r="H137" s="121">
        <f t="shared" si="20"/>
        <v>1612.67</v>
      </c>
      <c r="I137" s="121">
        <f t="shared" si="21"/>
        <v>0</v>
      </c>
    </row>
    <row r="138" spans="1:9" ht="17.100000000000001" hidden="1" customHeight="1" outlineLevel="1" x14ac:dyDescent="0.25">
      <c r="A138" s="108">
        <f t="shared" si="22"/>
        <v>5</v>
      </c>
      <c r="B138" s="131">
        <f t="shared" si="12"/>
        <v>43830</v>
      </c>
      <c r="C138" s="140">
        <f>'Att(1of6)(JP-Non)'!C140</f>
        <v>4.5191549999999997E-2</v>
      </c>
      <c r="D138" s="117">
        <f t="shared" si="13"/>
        <v>43861</v>
      </c>
      <c r="E138" s="117">
        <f t="shared" si="18"/>
        <v>43890</v>
      </c>
      <c r="F138" s="121">
        <f>+[142]ES!$I$10</f>
        <v>70.69</v>
      </c>
      <c r="G138" s="117">
        <f t="shared" si="19"/>
        <v>43890</v>
      </c>
      <c r="H138" s="121">
        <f t="shared" si="20"/>
        <v>70.69</v>
      </c>
      <c r="I138" s="121">
        <f t="shared" si="21"/>
        <v>0</v>
      </c>
    </row>
    <row r="139" spans="1:9" ht="17.100000000000001" hidden="1" customHeight="1" outlineLevel="1" x14ac:dyDescent="0.25">
      <c r="A139" s="108">
        <f t="shared" si="22"/>
        <v>6</v>
      </c>
      <c r="B139" s="131">
        <f t="shared" si="12"/>
        <v>43861</v>
      </c>
      <c r="C139" s="140">
        <f>'Att(1of6)(JP-Non)'!C141</f>
        <v>4.2630380000000002E-2</v>
      </c>
      <c r="D139" s="117">
        <f t="shared" si="13"/>
        <v>43890</v>
      </c>
      <c r="E139" s="117">
        <f t="shared" si="18"/>
        <v>43921</v>
      </c>
      <c r="F139" s="121">
        <f>+[143]ES!$I$10</f>
        <v>56.55</v>
      </c>
      <c r="G139" s="117">
        <f t="shared" si="19"/>
        <v>43921</v>
      </c>
      <c r="H139" s="121">
        <f t="shared" si="20"/>
        <v>56.55</v>
      </c>
      <c r="I139" s="121">
        <f t="shared" si="21"/>
        <v>0</v>
      </c>
    </row>
    <row r="140" spans="1:9" ht="17.100000000000001" hidden="1" customHeight="1" outlineLevel="1" x14ac:dyDescent="0.25">
      <c r="A140" s="108">
        <f t="shared" si="22"/>
        <v>7</v>
      </c>
      <c r="B140" s="131">
        <f t="shared" si="12"/>
        <v>43890</v>
      </c>
      <c r="C140" s="140">
        <f>'Att(1of6)(JP-Non)'!C142</f>
        <v>5.358359E-2</v>
      </c>
      <c r="D140" s="117">
        <f t="shared" si="13"/>
        <v>43921</v>
      </c>
      <c r="E140" s="117">
        <f t="shared" si="18"/>
        <v>43951</v>
      </c>
      <c r="F140" s="121">
        <f>+[144]ES!$I$10</f>
        <v>66.819999999999993</v>
      </c>
      <c r="G140" s="117">
        <f t="shared" si="19"/>
        <v>43951</v>
      </c>
      <c r="H140" s="121">
        <f t="shared" si="20"/>
        <v>66.819999999999993</v>
      </c>
      <c r="I140" s="121">
        <f t="shared" si="21"/>
        <v>0</v>
      </c>
    </row>
    <row r="141" spans="1:9" ht="17.100000000000001" hidden="1" customHeight="1" outlineLevel="1" x14ac:dyDescent="0.25">
      <c r="A141" s="108">
        <f t="shared" si="22"/>
        <v>8</v>
      </c>
      <c r="B141" s="131">
        <f t="shared" si="12"/>
        <v>43921</v>
      </c>
      <c r="C141" s="140">
        <f>'Att(1of6)(JP-Non)'!C143</f>
        <v>4.8569349999999997E-2</v>
      </c>
      <c r="D141" s="117">
        <f t="shared" si="13"/>
        <v>43951</v>
      </c>
      <c r="E141" s="117">
        <f t="shared" si="18"/>
        <v>43982</v>
      </c>
      <c r="F141" s="121">
        <f>+[145]ES!$I$10</f>
        <v>59.11</v>
      </c>
      <c r="G141" s="117">
        <f t="shared" si="19"/>
        <v>43982</v>
      </c>
      <c r="H141" s="121">
        <f t="shared" si="20"/>
        <v>59.11</v>
      </c>
      <c r="I141" s="121">
        <f t="shared" si="21"/>
        <v>0</v>
      </c>
    </row>
    <row r="142" spans="1:9" ht="17.100000000000001" hidden="1" customHeight="1" outlineLevel="1" x14ac:dyDescent="0.25">
      <c r="A142" s="108">
        <f t="shared" si="22"/>
        <v>9</v>
      </c>
      <c r="B142" s="131">
        <f t="shared" si="12"/>
        <v>43951</v>
      </c>
      <c r="C142" s="140">
        <f>'Att(1of6)(JP-Non)'!C144</f>
        <v>4.5622419999999997E-2</v>
      </c>
      <c r="D142" s="117">
        <f t="shared" si="13"/>
        <v>43982</v>
      </c>
      <c r="E142" s="117">
        <f t="shared" si="18"/>
        <v>44012</v>
      </c>
      <c r="F142" s="121">
        <f>+[146]ES!$I$10</f>
        <v>56.28</v>
      </c>
      <c r="G142" s="117">
        <f t="shared" si="19"/>
        <v>44012</v>
      </c>
      <c r="H142" s="121">
        <f t="shared" si="20"/>
        <v>56.28</v>
      </c>
      <c r="I142" s="121">
        <f t="shared" si="21"/>
        <v>0</v>
      </c>
    </row>
    <row r="143" spans="1:9" ht="17.100000000000001" hidden="1" customHeight="1" outlineLevel="1" x14ac:dyDescent="0.25">
      <c r="A143" s="108">
        <f t="shared" si="22"/>
        <v>10</v>
      </c>
      <c r="B143" s="131">
        <f t="shared" si="12"/>
        <v>43982</v>
      </c>
      <c r="C143" s="140">
        <f>'Att(1of6)(JP-Non)'!C145</f>
        <v>5.1122569999999999E-2</v>
      </c>
      <c r="D143" s="117">
        <f t="shared" si="13"/>
        <v>44012</v>
      </c>
      <c r="E143" s="117">
        <f t="shared" si="18"/>
        <v>44043</v>
      </c>
      <c r="F143" s="121">
        <f>+[147]ES!$I$10</f>
        <v>65.430000000000007</v>
      </c>
      <c r="G143" s="117">
        <f t="shared" si="19"/>
        <v>44043</v>
      </c>
      <c r="H143" s="121">
        <f t="shared" si="20"/>
        <v>65.430000000000007</v>
      </c>
      <c r="I143" s="121">
        <f t="shared" si="21"/>
        <v>0</v>
      </c>
    </row>
    <row r="144" spans="1:9" ht="17.100000000000001" hidden="1" customHeight="1" outlineLevel="1" x14ac:dyDescent="0.25">
      <c r="A144" s="108">
        <f t="shared" si="22"/>
        <v>11</v>
      </c>
      <c r="B144" s="131">
        <f t="shared" si="12"/>
        <v>44012</v>
      </c>
      <c r="C144" s="140">
        <f>'Att(1of6)(JP-Non)'!C146</f>
        <v>7.7336489999999994E-2</v>
      </c>
      <c r="D144" s="117">
        <f t="shared" si="13"/>
        <v>44043</v>
      </c>
      <c r="E144" s="117">
        <f t="shared" si="18"/>
        <v>44074</v>
      </c>
      <c r="F144" s="121">
        <f>+[148]ES!$I$10</f>
        <v>34.67</v>
      </c>
      <c r="G144" s="117">
        <f t="shared" si="19"/>
        <v>44074</v>
      </c>
      <c r="H144" s="121">
        <f t="shared" si="20"/>
        <v>34.67</v>
      </c>
      <c r="I144" s="121">
        <f t="shared" si="21"/>
        <v>0</v>
      </c>
    </row>
    <row r="145" spans="1:9" ht="17.100000000000001" hidden="1" customHeight="1" outlineLevel="1" x14ac:dyDescent="0.25">
      <c r="A145" s="108">
        <f t="shared" si="22"/>
        <v>12</v>
      </c>
      <c r="B145" s="131">
        <f t="shared" si="12"/>
        <v>44043</v>
      </c>
      <c r="C145" s="140">
        <f>'Att(1of6)(JP-Non)'!C147</f>
        <v>8.3776569999999995E-2</v>
      </c>
      <c r="D145" s="117">
        <f t="shared" si="13"/>
        <v>44074</v>
      </c>
      <c r="E145" s="117">
        <f t="shared" si="18"/>
        <v>44104</v>
      </c>
      <c r="F145" s="121">
        <f>+[149]ES!$I$10</f>
        <v>35.020000000000003</v>
      </c>
      <c r="G145" s="117">
        <f t="shared" si="19"/>
        <v>44104</v>
      </c>
      <c r="H145" s="121">
        <f t="shared" si="20"/>
        <v>35.020000000000003</v>
      </c>
      <c r="I145" s="121">
        <f t="shared" si="21"/>
        <v>0</v>
      </c>
    </row>
    <row r="146" spans="1:9" ht="17.100000000000001" hidden="1" customHeight="1" outlineLevel="1" x14ac:dyDescent="0.25">
      <c r="A146" s="108">
        <f t="shared" si="22"/>
        <v>13</v>
      </c>
      <c r="B146" s="131">
        <f t="shared" si="12"/>
        <v>44074</v>
      </c>
      <c r="C146" s="140">
        <f>'Att(1of6)(JP-Non)'!C148</f>
        <v>7.4521589999999999E-2</v>
      </c>
      <c r="D146" s="117">
        <f t="shared" si="13"/>
        <v>44104</v>
      </c>
      <c r="E146" s="117">
        <f t="shared" si="18"/>
        <v>44135</v>
      </c>
      <c r="F146" s="121">
        <f>+[150]ES!$I$10</f>
        <v>27.91</v>
      </c>
      <c r="G146" s="117">
        <f t="shared" si="19"/>
        <v>44135</v>
      </c>
      <c r="H146" s="121">
        <f t="shared" si="20"/>
        <v>27.91</v>
      </c>
      <c r="I146" s="121">
        <f t="shared" si="21"/>
        <v>0</v>
      </c>
    </row>
    <row r="147" spans="1:9" ht="17.100000000000001" hidden="1" customHeight="1" outlineLevel="1" x14ac:dyDescent="0.25">
      <c r="A147" s="108">
        <f t="shared" si="22"/>
        <v>14</v>
      </c>
      <c r="B147" s="131">
        <f t="shared" si="12"/>
        <v>44104</v>
      </c>
      <c r="C147" s="140">
        <f>'Att(1of6)(JP-Non)'!C149</f>
        <v>4.0003150000000001E-2</v>
      </c>
      <c r="D147" s="117">
        <f t="shared" si="13"/>
        <v>44135</v>
      </c>
      <c r="E147" s="117">
        <f t="shared" si="18"/>
        <v>44165</v>
      </c>
      <c r="F147" s="121">
        <f>+[151]ES!$I$10</f>
        <v>19.010000000000002</v>
      </c>
      <c r="G147" s="117">
        <f t="shared" si="19"/>
        <v>44165</v>
      </c>
      <c r="H147" s="121">
        <f t="shared" si="20"/>
        <v>19.010000000000002</v>
      </c>
      <c r="I147" s="121">
        <f t="shared" si="21"/>
        <v>0</v>
      </c>
    </row>
    <row r="148" spans="1:9" ht="17.100000000000001" hidden="1" customHeight="1" outlineLevel="1" x14ac:dyDescent="0.25">
      <c r="A148" s="108">
        <f t="shared" si="22"/>
        <v>15</v>
      </c>
      <c r="B148" s="131">
        <f t="shared" si="12"/>
        <v>44135</v>
      </c>
      <c r="C148" s="140">
        <f>'Att(1of6)(JP-Non)'!C150</f>
        <v>5.9319419999999998E-2</v>
      </c>
      <c r="D148" s="117">
        <f t="shared" si="13"/>
        <v>44165</v>
      </c>
      <c r="E148" s="117">
        <f t="shared" si="18"/>
        <v>44196</v>
      </c>
      <c r="F148" s="121">
        <f>+[152]ES!$I$10</f>
        <v>29.16</v>
      </c>
      <c r="G148" s="117">
        <f t="shared" si="19"/>
        <v>44196</v>
      </c>
      <c r="H148" s="121">
        <f t="shared" si="20"/>
        <v>29.16</v>
      </c>
      <c r="I148" s="121">
        <f t="shared" si="21"/>
        <v>0</v>
      </c>
    </row>
    <row r="149" spans="1:9" ht="17.100000000000001" hidden="1" customHeight="1" outlineLevel="1" x14ac:dyDescent="0.25">
      <c r="A149" s="108">
        <f t="shared" si="22"/>
        <v>16</v>
      </c>
      <c r="B149" s="131">
        <f t="shared" si="12"/>
        <v>44165</v>
      </c>
      <c r="C149" s="140">
        <f>'Att(1of6)(JP-Non)'!C151</f>
        <v>6.1659560000000002E-2</v>
      </c>
      <c r="D149" s="117">
        <f t="shared" si="13"/>
        <v>44196</v>
      </c>
      <c r="E149" s="117">
        <f t="shared" si="18"/>
        <v>44227</v>
      </c>
      <c r="F149" s="121">
        <f>+[153]ES!$I$10</f>
        <v>48.19</v>
      </c>
      <c r="G149" s="117">
        <f t="shared" si="19"/>
        <v>44227</v>
      </c>
      <c r="H149" s="121">
        <f t="shared" si="20"/>
        <v>48.19</v>
      </c>
      <c r="I149" s="121">
        <f t="shared" si="21"/>
        <v>0</v>
      </c>
    </row>
    <row r="150" spans="1:9" ht="17.100000000000001" hidden="1" customHeight="1" outlineLevel="1" x14ac:dyDescent="0.25">
      <c r="A150" s="108">
        <f t="shared" si="22"/>
        <v>17</v>
      </c>
      <c r="B150" s="131">
        <f t="shared" si="12"/>
        <v>44196</v>
      </c>
      <c r="C150" s="140">
        <f>'Att(1of6)(JP-Non)'!C152</f>
        <v>8.6877410000000002E-2</v>
      </c>
      <c r="D150" s="117">
        <f t="shared" si="13"/>
        <v>44227</v>
      </c>
      <c r="E150" s="117">
        <f t="shared" si="18"/>
        <v>44255</v>
      </c>
      <c r="F150" s="121">
        <f>+[154]ES!$I$10</f>
        <v>68.430000000000007</v>
      </c>
      <c r="G150" s="117">
        <f t="shared" si="19"/>
        <v>44255</v>
      </c>
      <c r="H150" s="121">
        <f t="shared" si="20"/>
        <v>68.430000000000007</v>
      </c>
      <c r="I150" s="121">
        <f t="shared" si="21"/>
        <v>0</v>
      </c>
    </row>
    <row r="151" spans="1:9" ht="17.100000000000001" hidden="1" customHeight="1" outlineLevel="1" x14ac:dyDescent="0.25">
      <c r="A151" s="108">
        <f t="shared" si="22"/>
        <v>18</v>
      </c>
      <c r="B151" s="131">
        <f t="shared" si="12"/>
        <v>44227</v>
      </c>
      <c r="C151" s="140">
        <f>'Att(1of6)(JP-Non)'!C153</f>
        <v>5.7239890000000002E-2</v>
      </c>
      <c r="D151" s="117">
        <f t="shared" si="13"/>
        <v>44255</v>
      </c>
      <c r="E151" s="117">
        <f t="shared" si="18"/>
        <v>44286</v>
      </c>
      <c r="F151" s="121">
        <f>+[155]ES!$I$10</f>
        <v>55.66</v>
      </c>
      <c r="G151" s="117">
        <f t="shared" si="19"/>
        <v>44286</v>
      </c>
      <c r="H151" s="121">
        <f t="shared" si="20"/>
        <v>55.66</v>
      </c>
      <c r="I151" s="121">
        <f t="shared" si="21"/>
        <v>0</v>
      </c>
    </row>
    <row r="152" spans="1:9" ht="17.100000000000001" hidden="1" customHeight="1" outlineLevel="1" x14ac:dyDescent="0.25">
      <c r="A152" s="108">
        <f t="shared" si="22"/>
        <v>19</v>
      </c>
      <c r="B152" s="131">
        <f t="shared" si="12"/>
        <v>44255</v>
      </c>
      <c r="C152" s="140">
        <f>'Att(1of6)(JP-Non)'!C154</f>
        <v>8.6906159999999996E-2</v>
      </c>
      <c r="D152" s="117">
        <f t="shared" si="13"/>
        <v>44286</v>
      </c>
      <c r="E152" s="117">
        <f t="shared" si="18"/>
        <v>44316</v>
      </c>
      <c r="F152" s="121">
        <f>+[156]ES!$I$10</f>
        <v>53.15</v>
      </c>
      <c r="G152" s="117">
        <f t="shared" si="19"/>
        <v>44316</v>
      </c>
      <c r="H152" s="121">
        <f t="shared" si="20"/>
        <v>53.15</v>
      </c>
      <c r="I152" s="121">
        <f t="shared" si="21"/>
        <v>0</v>
      </c>
    </row>
    <row r="153" spans="1:9" ht="17.100000000000001" hidden="1" customHeight="1" outlineLevel="1" x14ac:dyDescent="0.25">
      <c r="A153" s="108">
        <f t="shared" si="22"/>
        <v>20</v>
      </c>
      <c r="B153" s="131">
        <f t="shared" si="12"/>
        <v>44286</v>
      </c>
      <c r="C153" s="140">
        <f>'Att(1of6)(JP-Non)'!C155</f>
        <v>4.6249430000000001E-2</v>
      </c>
      <c r="D153" s="117">
        <f t="shared" si="13"/>
        <v>44316</v>
      </c>
      <c r="E153" s="117">
        <f t="shared" si="18"/>
        <v>44347</v>
      </c>
      <c r="F153" s="121">
        <f>+[157]ES!$I$10</f>
        <v>30.69</v>
      </c>
      <c r="G153" s="117">
        <f t="shared" si="19"/>
        <v>44347</v>
      </c>
      <c r="H153" s="121">
        <f t="shared" si="20"/>
        <v>30.69</v>
      </c>
      <c r="I153" s="121">
        <f t="shared" si="21"/>
        <v>0</v>
      </c>
    </row>
    <row r="154" spans="1:9" ht="17.100000000000001" hidden="1" customHeight="1" outlineLevel="1" x14ac:dyDescent="0.25">
      <c r="A154" s="108">
        <f t="shared" si="22"/>
        <v>21</v>
      </c>
      <c r="B154" s="131">
        <f t="shared" si="12"/>
        <v>44316</v>
      </c>
      <c r="C154" s="140">
        <f>'Att(1of6)(JP-Non)'!C156</f>
        <v>9.2364520000000006E-2</v>
      </c>
      <c r="D154" s="117">
        <f t="shared" si="13"/>
        <v>44347</v>
      </c>
      <c r="E154" s="117">
        <f t="shared" si="18"/>
        <v>44377</v>
      </c>
      <c r="F154" s="121">
        <f>+[158]ES!$I$10</f>
        <v>55</v>
      </c>
      <c r="G154" s="117">
        <f t="shared" si="19"/>
        <v>44377</v>
      </c>
      <c r="H154" s="121">
        <f t="shared" si="20"/>
        <v>55</v>
      </c>
      <c r="I154" s="121">
        <f t="shared" si="21"/>
        <v>0</v>
      </c>
    </row>
    <row r="155" spans="1:9" ht="17.100000000000001" hidden="1" customHeight="1" outlineLevel="1" x14ac:dyDescent="0.25">
      <c r="A155" s="108">
        <f t="shared" si="22"/>
        <v>22</v>
      </c>
      <c r="B155" s="131">
        <f t="shared" si="12"/>
        <v>44347</v>
      </c>
      <c r="C155" s="140">
        <f>'Att(1of6)(JP-Non)'!C157</f>
        <v>0.11100549</v>
      </c>
      <c r="D155" s="117">
        <f t="shared" si="13"/>
        <v>44377</v>
      </c>
      <c r="E155" s="117">
        <f t="shared" si="18"/>
        <v>44408</v>
      </c>
      <c r="F155" s="121">
        <f>+[159]ES!$I$10</f>
        <v>69.22</v>
      </c>
      <c r="G155" s="117">
        <f t="shared" si="19"/>
        <v>44408</v>
      </c>
      <c r="H155" s="121">
        <f t="shared" si="20"/>
        <v>69.22</v>
      </c>
      <c r="I155" s="121">
        <f t="shared" si="21"/>
        <v>0</v>
      </c>
    </row>
    <row r="156" spans="1:9" ht="17.100000000000001" hidden="1" customHeight="1" outlineLevel="1" x14ac:dyDescent="0.25">
      <c r="A156" s="108">
        <f t="shared" si="22"/>
        <v>23</v>
      </c>
      <c r="B156" s="131">
        <f t="shared" si="12"/>
        <v>44377</v>
      </c>
      <c r="C156" s="140">
        <f>'Att(1of6)(JP-Non)'!C158</f>
        <v>8.88428E-2</v>
      </c>
      <c r="D156" s="117">
        <f t="shared" si="13"/>
        <v>44408</v>
      </c>
      <c r="E156" s="117">
        <f t="shared" si="18"/>
        <v>44439</v>
      </c>
      <c r="F156" s="121">
        <f>+[160]ES!$I$10</f>
        <v>50.22</v>
      </c>
      <c r="G156" s="117">
        <f t="shared" si="19"/>
        <v>44439</v>
      </c>
      <c r="H156" s="121">
        <f t="shared" si="20"/>
        <v>50.22</v>
      </c>
      <c r="I156" s="121">
        <f t="shared" si="21"/>
        <v>0</v>
      </c>
    </row>
    <row r="157" spans="1:9" ht="17.100000000000001" hidden="1" customHeight="1" outlineLevel="1" x14ac:dyDescent="0.25">
      <c r="A157" s="108">
        <f t="shared" si="22"/>
        <v>24</v>
      </c>
      <c r="B157" s="131">
        <f t="shared" si="12"/>
        <v>44408</v>
      </c>
      <c r="C157" s="140">
        <f>'Att(1of6)(JP-Non)'!C159</f>
        <v>8.8505819999999999E-2</v>
      </c>
      <c r="D157" s="117">
        <f t="shared" si="13"/>
        <v>44439</v>
      </c>
      <c r="E157" s="117">
        <f t="shared" si="18"/>
        <v>44469</v>
      </c>
      <c r="F157" s="121">
        <f>+[161]ES!$I$10</f>
        <v>63.72</v>
      </c>
      <c r="G157" s="117">
        <f t="shared" si="19"/>
        <v>44469</v>
      </c>
      <c r="H157" s="121">
        <f t="shared" si="20"/>
        <v>63.72</v>
      </c>
      <c r="I157" s="121">
        <f t="shared" si="21"/>
        <v>0</v>
      </c>
    </row>
    <row r="158" spans="1:9" ht="17.100000000000001" hidden="1" customHeight="1" outlineLevel="1" x14ac:dyDescent="0.25">
      <c r="A158" s="108">
        <f t="shared" si="22"/>
        <v>25</v>
      </c>
      <c r="B158" s="131">
        <f t="shared" si="12"/>
        <v>44439</v>
      </c>
      <c r="C158" s="140">
        <f>'Att(1of6)(JP-Non)'!C160</f>
        <v>0.1058065</v>
      </c>
      <c r="D158" s="117">
        <f t="shared" si="13"/>
        <v>44469</v>
      </c>
      <c r="E158" s="117">
        <f t="shared" si="18"/>
        <v>44500</v>
      </c>
      <c r="F158" s="121">
        <f>+[162]ES!$I$10</f>
        <v>55.04</v>
      </c>
      <c r="G158" s="117">
        <f t="shared" si="19"/>
        <v>44500</v>
      </c>
      <c r="H158" s="121">
        <f t="shared" si="20"/>
        <v>55.04</v>
      </c>
      <c r="I158" s="121">
        <f t="shared" si="21"/>
        <v>0</v>
      </c>
    </row>
    <row r="159" spans="1:9" ht="17.100000000000001" hidden="1" customHeight="1" outlineLevel="1" x14ac:dyDescent="0.25">
      <c r="A159" s="108">
        <f t="shared" si="22"/>
        <v>26</v>
      </c>
      <c r="B159" s="131">
        <f t="shared" si="12"/>
        <v>44469</v>
      </c>
      <c r="C159" s="140">
        <f>'Att(1of6)(JP-Non)'!C161</f>
        <v>5.8713899999999999E-2</v>
      </c>
      <c r="D159" s="117">
        <f t="shared" si="13"/>
        <v>44500</v>
      </c>
      <c r="E159" s="117">
        <f t="shared" si="18"/>
        <v>44530</v>
      </c>
      <c r="F159" s="121">
        <f>+[163]ES!$I$10</f>
        <v>29.68</v>
      </c>
      <c r="G159" s="117">
        <f t="shared" si="19"/>
        <v>44530</v>
      </c>
      <c r="H159" s="121">
        <f t="shared" si="20"/>
        <v>29.68</v>
      </c>
      <c r="I159" s="121">
        <f t="shared" si="21"/>
        <v>0</v>
      </c>
    </row>
    <row r="160" spans="1:9" ht="17.100000000000001" hidden="1" customHeight="1" outlineLevel="1" x14ac:dyDescent="0.25">
      <c r="A160" s="108">
        <f t="shared" si="22"/>
        <v>27</v>
      </c>
      <c r="B160" s="131">
        <f t="shared" si="12"/>
        <v>44500</v>
      </c>
      <c r="C160" s="140">
        <f>'Att(1of6)(JP-Non)'!C162</f>
        <v>8.2686480000000007E-2</v>
      </c>
      <c r="D160" s="117">
        <f t="shared" si="13"/>
        <v>44530</v>
      </c>
      <c r="E160" s="117">
        <f t="shared" si="18"/>
        <v>44561</v>
      </c>
      <c r="F160" s="121">
        <f>+[164]ES!$I$10</f>
        <v>47.6</v>
      </c>
      <c r="G160" s="117">
        <f t="shared" si="19"/>
        <v>44561</v>
      </c>
      <c r="H160" s="121">
        <f t="shared" si="20"/>
        <v>47.6</v>
      </c>
      <c r="I160" s="121">
        <f t="shared" si="21"/>
        <v>0</v>
      </c>
    </row>
    <row r="161" spans="1:9" ht="17.100000000000001" hidden="1" customHeight="1" outlineLevel="1" x14ac:dyDescent="0.25">
      <c r="A161" s="108">
        <f t="shared" si="22"/>
        <v>28</v>
      </c>
      <c r="B161" s="131">
        <f t="shared" si="12"/>
        <v>44530</v>
      </c>
      <c r="C161" s="140">
        <f>'Att(1of6)(JP-Non)'!C163</f>
        <v>0.10017524999999999</v>
      </c>
      <c r="D161" s="117">
        <f t="shared" si="13"/>
        <v>44561</v>
      </c>
      <c r="E161" s="117">
        <f t="shared" si="18"/>
        <v>44592</v>
      </c>
      <c r="F161" s="121">
        <f>+[165]ES!$I$10</f>
        <v>58</v>
      </c>
      <c r="G161" s="117">
        <f t="shared" si="19"/>
        <v>44592</v>
      </c>
      <c r="H161" s="121">
        <f t="shared" si="20"/>
        <v>58</v>
      </c>
      <c r="I161" s="121">
        <f t="shared" si="21"/>
        <v>0</v>
      </c>
    </row>
    <row r="162" spans="1:9" ht="17.100000000000001" hidden="1" customHeight="1" outlineLevel="1" x14ac:dyDescent="0.25">
      <c r="A162" s="108">
        <f t="shared" si="22"/>
        <v>29</v>
      </c>
      <c r="B162" s="131">
        <f t="shared" si="12"/>
        <v>44561</v>
      </c>
      <c r="C162" s="140">
        <f>'Att(1of6)(JP-Non)'!C164</f>
        <v>8.7579480000000001E-2</v>
      </c>
      <c r="D162" s="117">
        <f t="shared" si="13"/>
        <v>44592</v>
      </c>
      <c r="E162" s="117">
        <f t="shared" si="18"/>
        <v>44620</v>
      </c>
      <c r="F162" s="121">
        <f>+[166]ES!$I$10</f>
        <v>80.92</v>
      </c>
      <c r="G162" s="117">
        <f t="shared" si="19"/>
        <v>44620</v>
      </c>
      <c r="H162" s="121">
        <f t="shared" si="20"/>
        <v>80.92</v>
      </c>
      <c r="I162" s="121">
        <f t="shared" si="21"/>
        <v>0</v>
      </c>
    </row>
    <row r="163" spans="1:9" ht="17.100000000000001" hidden="1" customHeight="1" outlineLevel="1" x14ac:dyDescent="0.25">
      <c r="A163" s="108">
        <f t="shared" si="22"/>
        <v>30</v>
      </c>
      <c r="B163" s="131">
        <f t="shared" si="12"/>
        <v>44592</v>
      </c>
      <c r="C163" s="140">
        <f>'Att(1of6)(JP-Non)'!C165</f>
        <v>0.10760119</v>
      </c>
      <c r="D163" s="117">
        <f t="shared" si="13"/>
        <v>44620</v>
      </c>
      <c r="E163" s="117">
        <f t="shared" si="18"/>
        <v>44651</v>
      </c>
      <c r="F163" s="121">
        <f>+[167]ES!$I$10</f>
        <v>4782.03</v>
      </c>
      <c r="G163" s="117">
        <f t="shared" si="19"/>
        <v>44651</v>
      </c>
      <c r="H163" s="121">
        <f t="shared" si="20"/>
        <v>4782.03</v>
      </c>
      <c r="I163" s="121">
        <f t="shared" si="21"/>
        <v>0</v>
      </c>
    </row>
    <row r="164" spans="1:9" ht="17.100000000000001" hidden="1" customHeight="1" outlineLevel="1" x14ac:dyDescent="0.25">
      <c r="A164" s="108">
        <f t="shared" si="22"/>
        <v>31</v>
      </c>
      <c r="B164" s="131">
        <f t="shared" si="12"/>
        <v>44620</v>
      </c>
      <c r="C164" s="140">
        <f>'Att(1of6)(JP-Non)'!C166</f>
        <v>5.359796E-2</v>
      </c>
      <c r="D164" s="117">
        <f t="shared" si="13"/>
        <v>44651</v>
      </c>
      <c r="E164" s="117">
        <f t="shared" si="18"/>
        <v>44681</v>
      </c>
      <c r="F164" s="121">
        <f>+[168]ES!$I$10</f>
        <v>2994.28</v>
      </c>
      <c r="G164" s="117">
        <f t="shared" si="19"/>
        <v>44681</v>
      </c>
      <c r="H164" s="121">
        <f t="shared" si="20"/>
        <v>2994.28</v>
      </c>
      <c r="I164" s="121">
        <f t="shared" si="21"/>
        <v>0</v>
      </c>
    </row>
    <row r="165" spans="1:9" ht="17.100000000000001" hidden="1" customHeight="1" outlineLevel="1" x14ac:dyDescent="0.25">
      <c r="A165" s="108">
        <f t="shared" si="22"/>
        <v>32</v>
      </c>
      <c r="B165" s="131">
        <f t="shared" si="12"/>
        <v>44651</v>
      </c>
      <c r="C165" s="140">
        <f>'Att(1of6)(JP-Non)'!C167</f>
        <v>6.5133720000000006E-2</v>
      </c>
      <c r="D165" s="117">
        <f t="shared" si="13"/>
        <v>44681</v>
      </c>
      <c r="E165" s="117">
        <f t="shared" si="18"/>
        <v>44712</v>
      </c>
      <c r="F165" s="121">
        <f>+[169]ES!$I$10</f>
        <v>3340.75</v>
      </c>
      <c r="G165" s="117">
        <f t="shared" si="19"/>
        <v>44712</v>
      </c>
      <c r="H165" s="121">
        <f t="shared" si="20"/>
        <v>3340.75</v>
      </c>
      <c r="I165" s="121">
        <f t="shared" si="21"/>
        <v>0</v>
      </c>
    </row>
    <row r="166" spans="1:9" ht="17.100000000000001" hidden="1" customHeight="1" outlineLevel="1" x14ac:dyDescent="0.25">
      <c r="A166" s="108">
        <f t="shared" si="22"/>
        <v>33</v>
      </c>
      <c r="B166" s="131">
        <f t="shared" si="12"/>
        <v>44681</v>
      </c>
      <c r="C166" s="140">
        <f>'Att(1of6)(JP-Non)'!C168</f>
        <v>4.3170529999999999E-2</v>
      </c>
      <c r="D166" s="117">
        <f t="shared" si="13"/>
        <v>44712</v>
      </c>
      <c r="E166" s="117">
        <f t="shared" si="18"/>
        <v>44742</v>
      </c>
      <c r="F166" s="121">
        <f>+[170]ES!$I$10</f>
        <v>2370.48</v>
      </c>
      <c r="G166" s="117">
        <f t="shared" si="19"/>
        <v>44742</v>
      </c>
      <c r="H166" s="121">
        <f t="shared" si="20"/>
        <v>2370.48</v>
      </c>
      <c r="I166" s="121">
        <f t="shared" si="21"/>
        <v>0</v>
      </c>
    </row>
    <row r="167" spans="1:9" ht="17.100000000000001" hidden="1" customHeight="1" outlineLevel="1" x14ac:dyDescent="0.25">
      <c r="A167" s="108">
        <f t="shared" si="22"/>
        <v>34</v>
      </c>
      <c r="B167" s="131">
        <f t="shared" si="12"/>
        <v>44712</v>
      </c>
      <c r="C167" s="140">
        <f>'Att(1of6)(JP-Non)'!C169</f>
        <v>6.3858090000000006E-2</v>
      </c>
      <c r="D167" s="117">
        <f t="shared" si="13"/>
        <v>44742</v>
      </c>
      <c r="E167" s="117">
        <f t="shared" si="18"/>
        <v>44773</v>
      </c>
      <c r="F167" s="121">
        <f>+[171]ES!$I$10</f>
        <v>17898.21</v>
      </c>
      <c r="G167" s="117">
        <f t="shared" si="19"/>
        <v>44773</v>
      </c>
      <c r="H167" s="121">
        <f t="shared" si="20"/>
        <v>17898.21</v>
      </c>
      <c r="I167" s="121">
        <f t="shared" si="21"/>
        <v>0</v>
      </c>
    </row>
    <row r="168" spans="1:9" ht="17.100000000000001" hidden="1" customHeight="1" outlineLevel="1" x14ac:dyDescent="0.25">
      <c r="A168" s="108">
        <f t="shared" si="22"/>
        <v>35</v>
      </c>
      <c r="B168" s="131">
        <f t="shared" si="12"/>
        <v>44742</v>
      </c>
      <c r="C168" s="140">
        <f>'Att(1of6)(JP-Non)'!C170</f>
        <v>4.570544E-2</v>
      </c>
      <c r="D168" s="117">
        <f t="shared" si="13"/>
        <v>44773</v>
      </c>
      <c r="E168" s="117">
        <f t="shared" si="18"/>
        <v>44804</v>
      </c>
      <c r="F168" s="121">
        <f>+[172]ES!$I$10</f>
        <v>16830.95</v>
      </c>
      <c r="G168" s="117">
        <f t="shared" si="19"/>
        <v>44804</v>
      </c>
      <c r="H168" s="121">
        <f t="shared" si="20"/>
        <v>16830.95</v>
      </c>
      <c r="I168" s="121">
        <f t="shared" si="21"/>
        <v>0</v>
      </c>
    </row>
    <row r="169" spans="1:9" ht="17.100000000000001" hidden="1" customHeight="1" outlineLevel="1" x14ac:dyDescent="0.25">
      <c r="A169" s="108">
        <f t="shared" si="22"/>
        <v>36</v>
      </c>
      <c r="B169" s="131">
        <f t="shared" si="12"/>
        <v>44773</v>
      </c>
      <c r="C169" s="140">
        <f>'Att(1of6)(JP-Non)'!C171</f>
        <v>4.7493880000000002E-2</v>
      </c>
      <c r="D169" s="117">
        <f t="shared" si="13"/>
        <v>44804</v>
      </c>
      <c r="E169" s="117">
        <f t="shared" si="18"/>
        <v>44834</v>
      </c>
      <c r="F169" s="121">
        <f>+[173]ES!$I$10</f>
        <v>17861.830000000002</v>
      </c>
      <c r="G169" s="117">
        <f t="shared" si="19"/>
        <v>44834</v>
      </c>
      <c r="H169" s="121">
        <f t="shared" si="20"/>
        <v>17861.830000000002</v>
      </c>
      <c r="I169" s="121">
        <f t="shared" si="21"/>
        <v>0</v>
      </c>
    </row>
    <row r="170" spans="1:9" ht="17.100000000000001" hidden="1" customHeight="1" outlineLevel="1" x14ac:dyDescent="0.25">
      <c r="A170" s="108">
        <f t="shared" si="22"/>
        <v>37</v>
      </c>
      <c r="B170" s="131">
        <f t="shared" si="12"/>
        <v>44804</v>
      </c>
      <c r="C170" s="140">
        <f>'Att(1of6)(JP-Non)'!C172</f>
        <v>3.0638189999999999E-2</v>
      </c>
      <c r="D170" s="117">
        <f t="shared" si="13"/>
        <v>44834</v>
      </c>
      <c r="E170" s="117">
        <f t="shared" si="18"/>
        <v>44865</v>
      </c>
      <c r="F170" s="121">
        <f>+[174]ES!$I$10</f>
        <v>13870.43</v>
      </c>
      <c r="G170" s="117">
        <f t="shared" si="19"/>
        <v>44865</v>
      </c>
      <c r="H170" s="121">
        <f t="shared" si="20"/>
        <v>13870.43</v>
      </c>
      <c r="I170" s="121">
        <f t="shared" si="21"/>
        <v>0</v>
      </c>
    </row>
    <row r="171" spans="1:9" ht="17.100000000000001" hidden="1" customHeight="1" outlineLevel="1" x14ac:dyDescent="0.25">
      <c r="A171" s="108">
        <f t="shared" si="22"/>
        <v>38</v>
      </c>
      <c r="B171" s="131">
        <f t="shared" si="12"/>
        <v>44834</v>
      </c>
      <c r="C171" s="140">
        <f>'Att(1of6)(JP-Non)'!C173</f>
        <v>4.1599219999999999E-2</v>
      </c>
      <c r="D171" s="117">
        <f t="shared" si="13"/>
        <v>44865</v>
      </c>
      <c r="E171" s="117">
        <f t="shared" si="18"/>
        <v>44895</v>
      </c>
      <c r="F171" s="121">
        <f>+[175]ES!$I$10</f>
        <v>18269.669999999998</v>
      </c>
      <c r="G171" s="117">
        <f t="shared" si="19"/>
        <v>44895</v>
      </c>
      <c r="H171" s="121">
        <f t="shared" si="20"/>
        <v>18269.669999999998</v>
      </c>
      <c r="I171" s="121">
        <f t="shared" si="21"/>
        <v>0</v>
      </c>
    </row>
    <row r="172" spans="1:9" ht="17.100000000000001" hidden="1" customHeight="1" outlineLevel="1" x14ac:dyDescent="0.25">
      <c r="A172" s="108">
        <f t="shared" si="22"/>
        <v>39</v>
      </c>
      <c r="B172" s="131">
        <f t="shared" si="12"/>
        <v>44865</v>
      </c>
      <c r="C172" s="140">
        <f>'Att(1of6)(JP-Non)'!C174</f>
        <v>3.2982659999999997E-2</v>
      </c>
      <c r="D172" s="117">
        <f t="shared" si="13"/>
        <v>44895</v>
      </c>
      <c r="E172" s="117">
        <f t="shared" si="18"/>
        <v>44926</v>
      </c>
      <c r="F172" s="121">
        <f>+[176]ES!$I$10</f>
        <v>12954.16</v>
      </c>
      <c r="G172" s="117">
        <f t="shared" si="19"/>
        <v>44926</v>
      </c>
      <c r="H172" s="121">
        <f t="shared" si="20"/>
        <v>12954.16</v>
      </c>
      <c r="I172" s="121">
        <f t="shared" si="21"/>
        <v>0</v>
      </c>
    </row>
    <row r="173" spans="1:9" ht="17.100000000000001" hidden="1" customHeight="1" outlineLevel="1" x14ac:dyDescent="0.25">
      <c r="A173" s="108">
        <f t="shared" si="22"/>
        <v>40</v>
      </c>
      <c r="B173" s="131">
        <f t="shared" ref="B173:B182" si="23">EOMONTH(B172,1)</f>
        <v>44895</v>
      </c>
      <c r="C173" s="140">
        <f>'Att(1of6)(JP-Non)'!C175</f>
        <v>4.0698829999999998E-2</v>
      </c>
      <c r="D173" s="117">
        <f t="shared" ref="D173:D182" si="24">EOMONTH(D172,1)</f>
        <v>44926</v>
      </c>
      <c r="E173" s="117">
        <f t="shared" si="18"/>
        <v>44957</v>
      </c>
      <c r="F173" s="121">
        <f>+[177]ES!$I$10</f>
        <v>15700.890000000001</v>
      </c>
      <c r="G173" s="117">
        <f t="shared" si="19"/>
        <v>44957</v>
      </c>
      <c r="H173" s="121">
        <f t="shared" si="20"/>
        <v>15700.890000000001</v>
      </c>
      <c r="I173" s="121">
        <f t="shared" si="21"/>
        <v>0</v>
      </c>
    </row>
    <row r="174" spans="1:9" ht="17.100000000000001" hidden="1" customHeight="1" outlineLevel="1" x14ac:dyDescent="0.25">
      <c r="A174" s="108">
        <f t="shared" si="22"/>
        <v>41</v>
      </c>
      <c r="B174" s="131">
        <f t="shared" si="23"/>
        <v>44926</v>
      </c>
      <c r="C174" s="140">
        <f>'Att(1of6)(JP-Non)'!C176</f>
        <v>0.10631458000000001</v>
      </c>
      <c r="D174" s="117">
        <f t="shared" si="24"/>
        <v>44957</v>
      </c>
      <c r="E174" s="117">
        <f t="shared" si="18"/>
        <v>44985</v>
      </c>
      <c r="F174" s="121">
        <f>+[178]ES!$I$10</f>
        <v>37214.26</v>
      </c>
      <c r="G174" s="117">
        <f t="shared" si="19"/>
        <v>44985</v>
      </c>
      <c r="H174" s="121">
        <f t="shared" si="20"/>
        <v>37214.26</v>
      </c>
      <c r="I174" s="121">
        <f t="shared" si="21"/>
        <v>0</v>
      </c>
    </row>
    <row r="175" spans="1:9" ht="17.100000000000001" hidden="1" customHeight="1" outlineLevel="1" x14ac:dyDescent="0.25">
      <c r="A175" s="108">
        <f t="shared" si="22"/>
        <v>42</v>
      </c>
      <c r="B175" s="131">
        <f t="shared" si="23"/>
        <v>44957</v>
      </c>
      <c r="C175" s="140">
        <f>'Att(1of6)(JP-Non)'!C177</f>
        <v>5.0254630000000002E-2</v>
      </c>
      <c r="D175" s="117">
        <f t="shared" si="24"/>
        <v>44985</v>
      </c>
      <c r="E175" s="117">
        <f t="shared" ref="E175:E182" si="25">EOMONTH(D175,1)</f>
        <v>45016</v>
      </c>
      <c r="F175" s="121">
        <f>+[179]ES!$I$10</f>
        <v>14533.2</v>
      </c>
      <c r="G175" s="117">
        <f t="shared" ref="G175:G182" si="26">E175</f>
        <v>45016</v>
      </c>
      <c r="H175" s="121">
        <f t="shared" ref="H175:H182" si="27">+F175</f>
        <v>14533.2</v>
      </c>
      <c r="I175" s="121">
        <f t="shared" ref="I175:I182" si="28">+F175-H175</f>
        <v>0</v>
      </c>
    </row>
    <row r="176" spans="1:9" ht="17.100000000000001" hidden="1" customHeight="1" outlineLevel="1" x14ac:dyDescent="0.25">
      <c r="A176" s="108">
        <f t="shared" si="22"/>
        <v>43</v>
      </c>
      <c r="B176" s="131">
        <f t="shared" si="23"/>
        <v>44985</v>
      </c>
      <c r="C176" s="140">
        <f>'Att(1of6)(JP-Non)'!C178</f>
        <v>4.6768179999999999E-2</v>
      </c>
      <c r="D176" s="117">
        <f t="shared" si="24"/>
        <v>45016</v>
      </c>
      <c r="E176" s="117">
        <f t="shared" si="25"/>
        <v>45046</v>
      </c>
      <c r="F176" s="121">
        <f>+[180]ES!$I$10</f>
        <v>13101.779999999999</v>
      </c>
      <c r="G176" s="117">
        <f t="shared" si="26"/>
        <v>45046</v>
      </c>
      <c r="H176" s="121">
        <f t="shared" si="27"/>
        <v>13101.779999999999</v>
      </c>
      <c r="I176" s="121">
        <f t="shared" si="28"/>
        <v>0</v>
      </c>
    </row>
    <row r="177" spans="1:9" ht="17.100000000000001" hidden="1" customHeight="1" outlineLevel="1" x14ac:dyDescent="0.25">
      <c r="A177" s="108">
        <f t="shared" si="22"/>
        <v>44</v>
      </c>
      <c r="B177" s="131">
        <f t="shared" si="23"/>
        <v>45016</v>
      </c>
      <c r="C177" s="140">
        <f>'Att(1of6)(JP-Non)'!C179</f>
        <v>6.4901299999999995E-2</v>
      </c>
      <c r="D177" s="117">
        <f t="shared" si="24"/>
        <v>45046</v>
      </c>
      <c r="E177" s="117">
        <f t="shared" si="25"/>
        <v>45077</v>
      </c>
      <c r="F177" s="121">
        <f>+[181]ES!$I$10</f>
        <v>20066.34</v>
      </c>
      <c r="G177" s="117">
        <f t="shared" si="26"/>
        <v>45077</v>
      </c>
      <c r="H177" s="121">
        <f t="shared" si="27"/>
        <v>20066.34</v>
      </c>
      <c r="I177" s="121">
        <f t="shared" si="28"/>
        <v>0</v>
      </c>
    </row>
    <row r="178" spans="1:9" ht="17.100000000000001" hidden="1" customHeight="1" outlineLevel="1" x14ac:dyDescent="0.25">
      <c r="A178" s="108">
        <f t="shared" si="22"/>
        <v>45</v>
      </c>
      <c r="B178" s="131">
        <f t="shared" si="23"/>
        <v>45046</v>
      </c>
      <c r="C178" s="140">
        <f>'Att(1of6)(JP-Non)'!C180</f>
        <v>6.2863630000000004E-2</v>
      </c>
      <c r="D178" s="117">
        <f t="shared" si="24"/>
        <v>45077</v>
      </c>
      <c r="E178" s="117">
        <f t="shared" si="25"/>
        <v>45107</v>
      </c>
      <c r="F178" s="121">
        <f>+[182]ES!$I$10</f>
        <v>20408.43</v>
      </c>
      <c r="G178" s="117">
        <f t="shared" si="26"/>
        <v>45107</v>
      </c>
      <c r="H178" s="121">
        <f t="shared" si="27"/>
        <v>20408.43</v>
      </c>
      <c r="I178" s="121">
        <f t="shared" si="28"/>
        <v>0</v>
      </c>
    </row>
    <row r="179" spans="1:9" ht="17.100000000000001" hidden="1" customHeight="1" outlineLevel="1" x14ac:dyDescent="0.25">
      <c r="A179" s="108">
        <f t="shared" si="22"/>
        <v>46</v>
      </c>
      <c r="B179" s="131">
        <f t="shared" si="23"/>
        <v>45077</v>
      </c>
      <c r="C179" s="140">
        <f>'Att(1of6)(JP-Non)'!C181</f>
        <v>8.1644729999999999E-2</v>
      </c>
      <c r="D179" s="117">
        <f t="shared" si="24"/>
        <v>45107</v>
      </c>
      <c r="E179" s="117">
        <f t="shared" si="25"/>
        <v>45138</v>
      </c>
      <c r="F179" s="121">
        <f>+[183]ES!$I$10</f>
        <v>26357.600000000002</v>
      </c>
      <c r="G179" s="117">
        <f t="shared" si="26"/>
        <v>45138</v>
      </c>
      <c r="H179" s="121">
        <f t="shared" si="27"/>
        <v>26357.600000000002</v>
      </c>
      <c r="I179" s="121">
        <f t="shared" si="28"/>
        <v>0</v>
      </c>
    </row>
    <row r="180" spans="1:9" ht="17.100000000000001" customHeight="1" collapsed="1" x14ac:dyDescent="0.25">
      <c r="A180" s="108">
        <v>1</v>
      </c>
      <c r="B180" s="131">
        <f t="shared" si="23"/>
        <v>45107</v>
      </c>
      <c r="C180" s="140">
        <f>'Att(1of6)(JP-Non)'!C182</f>
        <v>7.4411459999999999E-2</v>
      </c>
      <c r="D180" s="117">
        <f t="shared" si="24"/>
        <v>45138</v>
      </c>
      <c r="E180" s="117">
        <f t="shared" si="25"/>
        <v>45169</v>
      </c>
      <c r="F180" s="121">
        <f>+[184]ES!$I$10</f>
        <v>25546.94</v>
      </c>
      <c r="G180" s="117">
        <f t="shared" si="26"/>
        <v>45169</v>
      </c>
      <c r="H180" s="121">
        <f t="shared" si="27"/>
        <v>25546.94</v>
      </c>
      <c r="I180" s="121">
        <f t="shared" si="28"/>
        <v>0</v>
      </c>
    </row>
    <row r="181" spans="1:9" ht="17.100000000000001" customHeight="1" x14ac:dyDescent="0.25">
      <c r="A181" s="108">
        <f t="shared" si="22"/>
        <v>2</v>
      </c>
      <c r="B181" s="131">
        <f t="shared" si="23"/>
        <v>45138</v>
      </c>
      <c r="C181" s="140">
        <f>'Att(1of6)(JP-Non)'!C183</f>
        <v>7.5493160000000004E-2</v>
      </c>
      <c r="D181" s="117">
        <f t="shared" si="24"/>
        <v>45169</v>
      </c>
      <c r="E181" s="117">
        <f t="shared" si="25"/>
        <v>45199</v>
      </c>
      <c r="F181" s="121">
        <f>+[185]ES!$I$10</f>
        <v>20969.3</v>
      </c>
      <c r="G181" s="117">
        <f t="shared" si="26"/>
        <v>45199</v>
      </c>
      <c r="H181" s="121">
        <f t="shared" si="27"/>
        <v>20969.3</v>
      </c>
      <c r="I181" s="121">
        <f t="shared" si="28"/>
        <v>0</v>
      </c>
    </row>
    <row r="182" spans="1:9" ht="17.100000000000001" customHeight="1" x14ac:dyDescent="0.25">
      <c r="A182" s="108">
        <f t="shared" si="22"/>
        <v>3</v>
      </c>
      <c r="B182" s="131">
        <f t="shared" si="23"/>
        <v>45169</v>
      </c>
      <c r="C182" s="140">
        <f>'Att(1of6)(JP-Non)'!C184</f>
        <v>6.5876210000000004E-2</v>
      </c>
      <c r="D182" s="117">
        <f t="shared" si="24"/>
        <v>45199</v>
      </c>
      <c r="E182" s="117">
        <f t="shared" si="25"/>
        <v>45230</v>
      </c>
      <c r="F182" s="121">
        <f>+[186]ES!$I$10</f>
        <v>26061.51</v>
      </c>
      <c r="G182" s="117">
        <f t="shared" si="26"/>
        <v>45230</v>
      </c>
      <c r="H182" s="121">
        <f t="shared" si="27"/>
        <v>26061.51</v>
      </c>
      <c r="I182" s="121">
        <f t="shared" si="28"/>
        <v>0</v>
      </c>
    </row>
    <row r="183" spans="1:9" ht="17.100000000000001" customHeight="1" x14ac:dyDescent="0.25">
      <c r="A183" s="108">
        <f t="shared" si="22"/>
        <v>4</v>
      </c>
      <c r="B183" s="131">
        <f>EOMONTH(B182,1)</f>
        <v>45199</v>
      </c>
      <c r="C183" s="140">
        <f>'Att(1of6)(JP-Non)'!C185</f>
        <v>6.4929429999999996E-2</v>
      </c>
      <c r="D183" s="117">
        <f>EOMONTH(D182,1)</f>
        <v>45230</v>
      </c>
      <c r="E183" s="117">
        <f>EOMONTH(D183,1)</f>
        <v>45260</v>
      </c>
      <c r="F183" s="121">
        <f>+[187]ES!$I$10</f>
        <v>26052.28</v>
      </c>
      <c r="G183" s="117">
        <f>E183</f>
        <v>45260</v>
      </c>
      <c r="H183" s="121">
        <f>+F183</f>
        <v>26052.28</v>
      </c>
      <c r="I183" s="121">
        <f>+F183-H183</f>
        <v>0</v>
      </c>
    </row>
    <row r="184" spans="1:9" ht="17.100000000000001" customHeight="1" x14ac:dyDescent="0.25">
      <c r="A184" s="108">
        <f t="shared" si="22"/>
        <v>5</v>
      </c>
      <c r="B184" s="131">
        <f t="shared" ref="B184:B201" si="29">EOMONTH(B183,1)</f>
        <v>45230</v>
      </c>
      <c r="C184" s="140">
        <f>'Att(1of6)(JP-Non)'!C186</f>
        <v>7.7310950000000003E-2</v>
      </c>
      <c r="D184" s="117">
        <f t="shared" ref="D184:D201" si="30">EOMONTH(D183,1)</f>
        <v>45260</v>
      </c>
      <c r="E184" s="117">
        <f t="shared" ref="E184:E201" si="31">EOMONTH(D184,1)</f>
        <v>45291</v>
      </c>
      <c r="F184" s="121">
        <f>+[188]ES!$I$10</f>
        <v>36085.659999999996</v>
      </c>
      <c r="G184" s="117">
        <f t="shared" ref="G184:G201" si="32">E184</f>
        <v>45291</v>
      </c>
      <c r="H184" s="121">
        <f t="shared" ref="H184:H201" si="33">+F184</f>
        <v>36085.659999999996</v>
      </c>
      <c r="I184" s="121">
        <f t="shared" ref="I184:I201" si="34">+F184-H184</f>
        <v>0</v>
      </c>
    </row>
    <row r="185" spans="1:9" ht="17.100000000000001" customHeight="1" x14ac:dyDescent="0.25">
      <c r="A185" s="108">
        <f t="shared" si="22"/>
        <v>6</v>
      </c>
      <c r="B185" s="131">
        <f t="shared" si="29"/>
        <v>45260</v>
      </c>
      <c r="C185" s="140">
        <f>'Att(1of6)(JP-Non)'!C187</f>
        <v>7.9029470000000004E-2</v>
      </c>
      <c r="D185" s="117">
        <f t="shared" si="30"/>
        <v>45291</v>
      </c>
      <c r="E185" s="117">
        <f t="shared" si="31"/>
        <v>45322</v>
      </c>
      <c r="F185" s="121">
        <f>+[189]ES!$I$10</f>
        <v>41691.670000000006</v>
      </c>
      <c r="G185" s="117">
        <f t="shared" si="32"/>
        <v>45322</v>
      </c>
      <c r="H185" s="121">
        <f t="shared" si="33"/>
        <v>41691.670000000006</v>
      </c>
      <c r="I185" s="121">
        <f t="shared" si="34"/>
        <v>0</v>
      </c>
    </row>
    <row r="186" spans="1:9" ht="17.100000000000001" customHeight="1" x14ac:dyDescent="0.25">
      <c r="A186" s="108">
        <f t="shared" si="22"/>
        <v>7</v>
      </c>
      <c r="B186" s="131">
        <f t="shared" si="29"/>
        <v>45291</v>
      </c>
      <c r="C186" s="140">
        <f>'Att(1of6)(JP-Non)'!C188</f>
        <v>8.48048E-2</v>
      </c>
      <c r="D186" s="117">
        <f t="shared" si="30"/>
        <v>45322</v>
      </c>
      <c r="E186" s="117">
        <f t="shared" si="31"/>
        <v>45351</v>
      </c>
      <c r="F186" s="121">
        <f>+[190]ES!$I$10</f>
        <v>44322.700000000004</v>
      </c>
      <c r="G186" s="117">
        <f t="shared" si="32"/>
        <v>45351</v>
      </c>
      <c r="H186" s="121">
        <f t="shared" si="33"/>
        <v>44322.700000000004</v>
      </c>
      <c r="I186" s="121">
        <f t="shared" si="34"/>
        <v>0</v>
      </c>
    </row>
    <row r="187" spans="1:9" ht="17.100000000000001" customHeight="1" x14ac:dyDescent="0.25">
      <c r="A187" s="108">
        <f t="shared" si="22"/>
        <v>8</v>
      </c>
      <c r="B187" s="131">
        <f t="shared" si="29"/>
        <v>45322</v>
      </c>
      <c r="C187" s="140">
        <f>'Att(1of6)(JP-Non)'!C189</f>
        <v>7.1640460000000003E-2</v>
      </c>
      <c r="D187" s="117">
        <f t="shared" si="30"/>
        <v>45351</v>
      </c>
      <c r="E187" s="117">
        <f t="shared" si="31"/>
        <v>45382</v>
      </c>
      <c r="F187" s="121">
        <f>+[191]ES!$I$10</f>
        <v>33489.82</v>
      </c>
      <c r="G187" s="117">
        <f t="shared" si="32"/>
        <v>45382</v>
      </c>
      <c r="H187" s="121">
        <f t="shared" si="33"/>
        <v>33489.82</v>
      </c>
      <c r="I187" s="121">
        <f t="shared" si="34"/>
        <v>0</v>
      </c>
    </row>
    <row r="188" spans="1:9" ht="17.100000000000001" customHeight="1" x14ac:dyDescent="0.25">
      <c r="A188" s="108">
        <f t="shared" si="22"/>
        <v>9</v>
      </c>
      <c r="B188" s="131">
        <f t="shared" si="29"/>
        <v>45351</v>
      </c>
      <c r="C188" s="140">
        <f>'Att(1of6)(JP-Non)'!C190</f>
        <v>5.6475690000000002E-2</v>
      </c>
      <c r="D188" s="117">
        <f t="shared" si="30"/>
        <v>45382</v>
      </c>
      <c r="E188" s="117">
        <f t="shared" si="31"/>
        <v>45412</v>
      </c>
      <c r="F188" s="121">
        <f>+[192]ES!$I$10</f>
        <v>28267.89</v>
      </c>
      <c r="G188" s="117">
        <f t="shared" si="32"/>
        <v>45412</v>
      </c>
      <c r="H188" s="121">
        <f t="shared" si="33"/>
        <v>28267.89</v>
      </c>
      <c r="I188" s="121">
        <f t="shared" si="34"/>
        <v>0</v>
      </c>
    </row>
    <row r="189" spans="1:9" ht="17.100000000000001" customHeight="1" x14ac:dyDescent="0.25">
      <c r="A189" s="108">
        <f t="shared" si="22"/>
        <v>10</v>
      </c>
      <c r="B189" s="131">
        <f t="shared" si="29"/>
        <v>45382</v>
      </c>
      <c r="C189" s="140">
        <f>'Att(1of6)(JP-Non)'!C191</f>
        <v>7.6254279999999994E-2</v>
      </c>
      <c r="D189" s="117">
        <f t="shared" si="30"/>
        <v>45412</v>
      </c>
      <c r="E189" s="117">
        <f t="shared" si="31"/>
        <v>45443</v>
      </c>
      <c r="F189" s="121">
        <f>+[193]ES!$I$10</f>
        <v>34404.14</v>
      </c>
      <c r="G189" s="117">
        <f t="shared" si="32"/>
        <v>45443</v>
      </c>
      <c r="H189" s="121">
        <f t="shared" si="33"/>
        <v>34404.14</v>
      </c>
      <c r="I189" s="121">
        <f t="shared" si="34"/>
        <v>0</v>
      </c>
    </row>
    <row r="190" spans="1:9" ht="17.100000000000001" customHeight="1" x14ac:dyDescent="0.25">
      <c r="A190" s="108">
        <f t="shared" si="22"/>
        <v>11</v>
      </c>
      <c r="B190" s="131">
        <f t="shared" si="29"/>
        <v>45412</v>
      </c>
      <c r="C190" s="140">
        <f>'Att(1of6)(JP-Non)'!C192</f>
        <v>7.5138930000000007E-2</v>
      </c>
      <c r="D190" s="117">
        <f t="shared" si="30"/>
        <v>45443</v>
      </c>
      <c r="E190" s="117">
        <f t="shared" si="31"/>
        <v>45473</v>
      </c>
      <c r="F190" s="121">
        <f>+[194]ES!$I$10</f>
        <v>27374.74</v>
      </c>
      <c r="G190" s="117">
        <f t="shared" si="32"/>
        <v>45473</v>
      </c>
      <c r="H190" s="121">
        <f t="shared" si="33"/>
        <v>27374.74</v>
      </c>
      <c r="I190" s="121">
        <f t="shared" si="34"/>
        <v>0</v>
      </c>
    </row>
    <row r="191" spans="1:9" ht="17.100000000000001" customHeight="1" x14ac:dyDescent="0.25">
      <c r="A191" s="108">
        <f t="shared" si="22"/>
        <v>12</v>
      </c>
      <c r="B191" s="131">
        <f t="shared" si="29"/>
        <v>45443</v>
      </c>
      <c r="C191" s="140">
        <f>'Att(1of6)(JP-Non)'!C193</f>
        <v>7.7712069999999994E-2</v>
      </c>
      <c r="D191" s="117">
        <f t="shared" si="30"/>
        <v>45473</v>
      </c>
      <c r="E191" s="117">
        <f t="shared" si="31"/>
        <v>45504</v>
      </c>
      <c r="F191" s="121">
        <f>+[195]ES!$I$10</f>
        <v>27606.43</v>
      </c>
      <c r="G191" s="117">
        <f t="shared" si="32"/>
        <v>45504</v>
      </c>
      <c r="H191" s="121">
        <f t="shared" si="33"/>
        <v>27606.43</v>
      </c>
      <c r="I191" s="121">
        <f t="shared" si="34"/>
        <v>0</v>
      </c>
    </row>
    <row r="192" spans="1:9" ht="17.100000000000001" customHeight="1" x14ac:dyDescent="0.25">
      <c r="A192" s="108">
        <f t="shared" si="22"/>
        <v>13</v>
      </c>
      <c r="B192" s="131">
        <f t="shared" si="29"/>
        <v>45473</v>
      </c>
      <c r="C192" s="140">
        <f>'Att(1of6)(JP-Non)'!C194</f>
        <v>8.6303729999999995E-2</v>
      </c>
      <c r="D192" s="117">
        <f t="shared" si="30"/>
        <v>45504</v>
      </c>
      <c r="E192" s="117">
        <f t="shared" si="31"/>
        <v>45535</v>
      </c>
      <c r="F192" s="121">
        <f>+[196]ES!$I$10</f>
        <v>31898.799999999999</v>
      </c>
      <c r="G192" s="117">
        <f t="shared" si="32"/>
        <v>45535</v>
      </c>
      <c r="H192" s="121">
        <f t="shared" si="33"/>
        <v>31898.799999999999</v>
      </c>
      <c r="I192" s="121">
        <f t="shared" si="34"/>
        <v>0</v>
      </c>
    </row>
    <row r="193" spans="1:16" ht="17.100000000000001" customHeight="1" x14ac:dyDescent="0.25">
      <c r="A193" s="108">
        <f t="shared" si="22"/>
        <v>14</v>
      </c>
      <c r="B193" s="131">
        <f t="shared" si="29"/>
        <v>45504</v>
      </c>
      <c r="C193" s="140">
        <f>'Att(1of6)(JP-Non)'!C195</f>
        <v>7.8004019999999993E-2</v>
      </c>
      <c r="D193" s="117">
        <f t="shared" si="30"/>
        <v>45535</v>
      </c>
      <c r="E193" s="117">
        <f t="shared" si="31"/>
        <v>45565</v>
      </c>
      <c r="F193" s="121">
        <f>+[197]ES!$I$10</f>
        <v>30230.65</v>
      </c>
      <c r="G193" s="117">
        <f t="shared" si="32"/>
        <v>45565</v>
      </c>
      <c r="H193" s="121">
        <f t="shared" si="33"/>
        <v>30230.65</v>
      </c>
      <c r="I193" s="121">
        <f t="shared" si="34"/>
        <v>0</v>
      </c>
    </row>
    <row r="194" spans="1:16" ht="17.100000000000001" customHeight="1" x14ac:dyDescent="0.25">
      <c r="A194" s="108">
        <f t="shared" si="22"/>
        <v>15</v>
      </c>
      <c r="B194" s="131">
        <f t="shared" si="29"/>
        <v>45535</v>
      </c>
      <c r="C194" s="140">
        <f>'Att(1of6)(JP-Non)'!C196</f>
        <v>6.874218E-2</v>
      </c>
      <c r="D194" s="117">
        <f t="shared" si="30"/>
        <v>45565</v>
      </c>
      <c r="E194" s="117">
        <f t="shared" si="31"/>
        <v>45596</v>
      </c>
      <c r="F194" s="121">
        <f>+[198]ES!$I$10</f>
        <v>28230.11</v>
      </c>
      <c r="G194" s="117">
        <f t="shared" si="32"/>
        <v>45596</v>
      </c>
      <c r="H194" s="121">
        <f t="shared" si="33"/>
        <v>28230.11</v>
      </c>
      <c r="I194" s="121">
        <f t="shared" si="34"/>
        <v>0</v>
      </c>
    </row>
    <row r="195" spans="1:16" ht="17.100000000000001" customHeight="1" x14ac:dyDescent="0.25">
      <c r="A195" s="108">
        <f t="shared" si="22"/>
        <v>16</v>
      </c>
      <c r="B195" s="131">
        <f t="shared" si="29"/>
        <v>45565</v>
      </c>
      <c r="C195" s="140">
        <f>'Att(1of6)(JP-Non)'!C197</f>
        <v>6.7934670000000003E-2</v>
      </c>
      <c r="D195" s="117">
        <f t="shared" si="30"/>
        <v>45596</v>
      </c>
      <c r="E195" s="117">
        <f t="shared" si="31"/>
        <v>45626</v>
      </c>
      <c r="F195" s="121">
        <f>+[199]ES!$I$10</f>
        <v>29322.3</v>
      </c>
      <c r="G195" s="117">
        <f t="shared" si="32"/>
        <v>45626</v>
      </c>
      <c r="H195" s="121">
        <f t="shared" si="33"/>
        <v>29322.3</v>
      </c>
      <c r="I195" s="121">
        <f t="shared" si="34"/>
        <v>0</v>
      </c>
    </row>
    <row r="196" spans="1:16" ht="17.100000000000001" customHeight="1" x14ac:dyDescent="0.25">
      <c r="A196" s="108">
        <f t="shared" si="22"/>
        <v>17</v>
      </c>
      <c r="B196" s="131">
        <f t="shared" si="29"/>
        <v>45596</v>
      </c>
      <c r="C196" s="140">
        <f>'Att(1of6)(JP-Non)'!C198</f>
        <v>6.7684969999999997E-2</v>
      </c>
      <c r="D196" s="117">
        <f t="shared" si="30"/>
        <v>45626</v>
      </c>
      <c r="E196" s="117">
        <f t="shared" si="31"/>
        <v>45657</v>
      </c>
      <c r="F196" s="121">
        <f>+[200]ES!$I$10</f>
        <v>28768.29</v>
      </c>
      <c r="G196" s="117">
        <f t="shared" si="32"/>
        <v>45657</v>
      </c>
      <c r="H196" s="121">
        <f t="shared" si="33"/>
        <v>28768.29</v>
      </c>
      <c r="I196" s="121">
        <f t="shared" si="34"/>
        <v>0</v>
      </c>
    </row>
    <row r="197" spans="1:16" ht="17.100000000000001" customHeight="1" x14ac:dyDescent="0.25">
      <c r="A197" s="108">
        <f t="shared" si="22"/>
        <v>18</v>
      </c>
      <c r="B197" s="131">
        <f t="shared" si="29"/>
        <v>45626</v>
      </c>
      <c r="C197" s="140">
        <f>'Att(1of6)(JP-Non)'!C199</f>
        <v>7.9953739999999995E-2</v>
      </c>
      <c r="D197" s="117">
        <f t="shared" si="30"/>
        <v>45657</v>
      </c>
      <c r="E197" s="117">
        <f t="shared" si="31"/>
        <v>45688</v>
      </c>
      <c r="F197" s="121">
        <f>+[201]ES!$I$10</f>
        <v>34028.080000000002</v>
      </c>
      <c r="G197" s="117">
        <f t="shared" si="32"/>
        <v>45688</v>
      </c>
      <c r="H197" s="121">
        <f t="shared" si="33"/>
        <v>34028.080000000002</v>
      </c>
      <c r="I197" s="121">
        <f t="shared" si="34"/>
        <v>0</v>
      </c>
    </row>
    <row r="198" spans="1:16" ht="17.100000000000001" customHeight="1" x14ac:dyDescent="0.25">
      <c r="A198" s="108">
        <f t="shared" si="22"/>
        <v>19</v>
      </c>
      <c r="B198" s="131">
        <f t="shared" si="29"/>
        <v>45657</v>
      </c>
      <c r="C198" s="140">
        <f>'Att(1of6)(JP-Non)'!C200</f>
        <v>7.5819269999999994E-2</v>
      </c>
      <c r="D198" s="117">
        <f t="shared" si="30"/>
        <v>45688</v>
      </c>
      <c r="E198" s="117">
        <f t="shared" si="31"/>
        <v>45716</v>
      </c>
      <c r="F198" s="121">
        <f>+[202]ES!$I$10</f>
        <v>27107.88</v>
      </c>
      <c r="G198" s="117">
        <f t="shared" si="32"/>
        <v>45716</v>
      </c>
      <c r="H198" s="121">
        <f t="shared" si="33"/>
        <v>27107.88</v>
      </c>
      <c r="I198" s="121">
        <f t="shared" si="34"/>
        <v>0</v>
      </c>
    </row>
    <row r="199" spans="1:16" ht="17.100000000000001" customHeight="1" x14ac:dyDescent="0.25">
      <c r="A199" s="108">
        <f t="shared" si="22"/>
        <v>20</v>
      </c>
      <c r="B199" s="131">
        <f t="shared" si="29"/>
        <v>45688</v>
      </c>
      <c r="C199" s="140">
        <f>'Att(1of6)(JP-Non)'!C201</f>
        <v>7.1409169999999994E-2</v>
      </c>
      <c r="D199" s="117">
        <f t="shared" si="30"/>
        <v>45716</v>
      </c>
      <c r="E199" s="117">
        <f t="shared" si="31"/>
        <v>45747</v>
      </c>
      <c r="F199" s="121">
        <f>+[203]ES!$I$10</f>
        <v>28335.360000000001</v>
      </c>
      <c r="G199" s="117">
        <f t="shared" si="32"/>
        <v>45747</v>
      </c>
      <c r="H199" s="121">
        <f t="shared" si="33"/>
        <v>28335.360000000001</v>
      </c>
      <c r="I199" s="121">
        <f t="shared" si="34"/>
        <v>0</v>
      </c>
    </row>
    <row r="200" spans="1:16" ht="17.100000000000001" hidden="1" customHeight="1" x14ac:dyDescent="0.25">
      <c r="A200" s="108">
        <f t="shared" ref="A200:A201" si="35">+A199+1</f>
        <v>21</v>
      </c>
      <c r="B200" s="131">
        <f t="shared" si="29"/>
        <v>45716</v>
      </c>
      <c r="C200" s="140">
        <f>'Att(1of6)(JP-Non)'!C202</f>
        <v>5.6928850000000003E-2</v>
      </c>
      <c r="D200" s="117">
        <f t="shared" si="30"/>
        <v>45747</v>
      </c>
      <c r="E200" s="117">
        <f t="shared" si="31"/>
        <v>45777</v>
      </c>
      <c r="F200" s="121"/>
      <c r="G200" s="117">
        <f t="shared" si="32"/>
        <v>45777</v>
      </c>
      <c r="H200" s="121">
        <f t="shared" si="33"/>
        <v>0</v>
      </c>
      <c r="I200" s="121">
        <f t="shared" si="34"/>
        <v>0</v>
      </c>
    </row>
    <row r="201" spans="1:16" ht="17.100000000000001" hidden="1" customHeight="1" x14ac:dyDescent="0.25">
      <c r="A201" s="108">
        <f t="shared" si="35"/>
        <v>22</v>
      </c>
      <c r="B201" s="131">
        <f t="shared" si="29"/>
        <v>45747</v>
      </c>
      <c r="C201" s="140">
        <f>'Att(1of6)(JP-Non)'!C203</f>
        <v>6.0677380000000003E-2</v>
      </c>
      <c r="D201" s="117">
        <f t="shared" si="30"/>
        <v>45777</v>
      </c>
      <c r="E201" s="117">
        <f t="shared" si="31"/>
        <v>45808</v>
      </c>
      <c r="F201" s="121"/>
      <c r="G201" s="117">
        <f t="shared" si="32"/>
        <v>45808</v>
      </c>
      <c r="H201" s="121">
        <f t="shared" si="33"/>
        <v>0</v>
      </c>
      <c r="I201" s="121">
        <f t="shared" si="34"/>
        <v>0</v>
      </c>
    </row>
    <row r="202" spans="1:16" ht="17.100000000000001" hidden="1" customHeight="1" x14ac:dyDescent="0.25">
      <c r="B202" s="131"/>
      <c r="C202" s="140"/>
      <c r="D202" s="117"/>
      <c r="E202" s="117"/>
      <c r="F202" s="121"/>
      <c r="G202" s="117"/>
      <c r="H202" s="121"/>
      <c r="I202" s="121"/>
    </row>
    <row r="203" spans="1:16" s="120" customFormat="1" ht="6.75" customHeight="1" x14ac:dyDescent="0.25">
      <c r="B203" s="164"/>
      <c r="C203" s="164"/>
      <c r="D203" s="158"/>
      <c r="E203" s="158"/>
      <c r="F203" s="159"/>
      <c r="G203" s="159"/>
      <c r="H203" s="159"/>
      <c r="I203" s="159"/>
      <c r="K203" s="133"/>
      <c r="L203" s="133"/>
      <c r="M203" s="133"/>
      <c r="N203" s="133"/>
      <c r="O203" s="133"/>
      <c r="P203" s="133"/>
    </row>
    <row r="204" spans="1:16" s="120" customFormat="1" x14ac:dyDescent="0.25">
      <c r="A204" s="137"/>
      <c r="B204" s="137"/>
      <c r="C204" s="137"/>
      <c r="D204" s="111"/>
      <c r="E204" s="111"/>
      <c r="F204" s="112"/>
      <c r="G204" s="112"/>
      <c r="H204" s="112"/>
      <c r="I204" s="112"/>
      <c r="K204" s="133"/>
      <c r="L204" s="133"/>
      <c r="M204" s="133"/>
      <c r="N204" s="133"/>
      <c r="O204" s="133"/>
      <c r="P204" s="133"/>
    </row>
    <row r="205" spans="1:16" s="120" customFormat="1" x14ac:dyDescent="0.25">
      <c r="A205" s="137"/>
      <c r="B205" s="137"/>
      <c r="C205" s="137"/>
      <c r="D205" s="111"/>
      <c r="E205" s="111"/>
      <c r="F205" s="112"/>
      <c r="G205" s="112"/>
      <c r="H205" s="112"/>
      <c r="I205" s="112"/>
      <c r="K205" s="133"/>
      <c r="L205" s="133"/>
      <c r="M205" s="133"/>
      <c r="N205" s="133"/>
      <c r="O205" s="133"/>
      <c r="P205" s="133"/>
    </row>
    <row r="206" spans="1:16" s="120" customFormat="1" x14ac:dyDescent="0.25">
      <c r="A206" s="137"/>
      <c r="B206" s="137"/>
      <c r="C206" s="137"/>
      <c r="D206" s="111"/>
      <c r="E206" s="111"/>
      <c r="F206" s="112"/>
      <c r="G206" s="112"/>
      <c r="H206" s="112"/>
      <c r="I206" s="112"/>
      <c r="K206" s="133"/>
      <c r="L206" s="133"/>
      <c r="M206" s="133"/>
      <c r="N206" s="133"/>
      <c r="O206" s="133"/>
      <c r="P206" s="133"/>
    </row>
    <row r="207" spans="1:16" s="120" customFormat="1" x14ac:dyDescent="0.25">
      <c r="A207" s="137"/>
      <c r="B207" s="137"/>
      <c r="C207" s="137"/>
      <c r="D207" s="111"/>
      <c r="E207" s="111"/>
      <c r="F207" s="112"/>
      <c r="G207" s="112"/>
      <c r="H207" s="112"/>
      <c r="I207" s="112"/>
      <c r="K207" s="133"/>
      <c r="L207" s="133"/>
      <c r="M207" s="133"/>
      <c r="N207" s="133"/>
      <c r="O207" s="133"/>
      <c r="P207" s="133"/>
    </row>
    <row r="208" spans="1:16" s="120" customFormat="1" x14ac:dyDescent="0.25">
      <c r="A208" s="137"/>
      <c r="B208" s="137"/>
      <c r="C208" s="137"/>
      <c r="D208" s="111"/>
      <c r="E208" s="111"/>
      <c r="F208" s="112"/>
      <c r="G208" s="112"/>
      <c r="H208" s="112"/>
      <c r="I208" s="112"/>
      <c r="K208" s="133"/>
      <c r="L208" s="133"/>
      <c r="M208" s="133"/>
      <c r="N208" s="133"/>
      <c r="O208" s="133"/>
      <c r="P208" s="133"/>
    </row>
    <row r="209" spans="1:16" s="120" customFormat="1" x14ac:dyDescent="0.25">
      <c r="A209" s="137"/>
      <c r="B209" s="137"/>
      <c r="C209" s="137"/>
      <c r="D209" s="111"/>
      <c r="E209" s="111"/>
      <c r="F209" s="112"/>
      <c r="G209" s="112"/>
      <c r="H209" s="112"/>
      <c r="I209" s="112"/>
      <c r="K209" s="133"/>
      <c r="L209" s="133"/>
      <c r="M209" s="133"/>
      <c r="N209" s="133"/>
      <c r="O209" s="133"/>
      <c r="P209" s="133"/>
    </row>
    <row r="210" spans="1:16" s="120" customFormat="1" x14ac:dyDescent="0.25">
      <c r="A210" s="137"/>
      <c r="B210" s="137"/>
      <c r="C210" s="137"/>
      <c r="D210" s="111"/>
      <c r="E210" s="111"/>
      <c r="F210" s="112"/>
      <c r="G210" s="112"/>
      <c r="H210" s="112"/>
      <c r="I210" s="112"/>
      <c r="K210" s="133"/>
      <c r="L210" s="133"/>
      <c r="M210" s="133"/>
      <c r="N210" s="133"/>
      <c r="O210" s="133"/>
      <c r="P210" s="133"/>
    </row>
    <row r="211" spans="1:16" s="120" customFormat="1" x14ac:dyDescent="0.25">
      <c r="A211" s="137"/>
      <c r="B211" s="137"/>
      <c r="C211" s="137"/>
      <c r="D211" s="111"/>
      <c r="E211" s="111"/>
      <c r="F211" s="112"/>
      <c r="G211" s="112"/>
      <c r="H211" s="112"/>
      <c r="I211" s="112"/>
      <c r="K211" s="133"/>
      <c r="L211" s="133"/>
      <c r="M211" s="133"/>
      <c r="N211" s="133"/>
      <c r="O211" s="133"/>
      <c r="P211" s="133"/>
    </row>
    <row r="212" spans="1:16" s="120" customFormat="1" x14ac:dyDescent="0.25">
      <c r="A212" s="137"/>
      <c r="B212" s="137"/>
      <c r="C212" s="137"/>
      <c r="D212" s="111"/>
      <c r="E212" s="111"/>
      <c r="F212" s="112"/>
      <c r="G212" s="112"/>
      <c r="H212" s="112"/>
      <c r="I212" s="112"/>
      <c r="K212" s="133"/>
      <c r="L212" s="133"/>
      <c r="M212" s="133"/>
      <c r="N212" s="133"/>
      <c r="O212" s="133"/>
      <c r="P212" s="133"/>
    </row>
    <row r="213" spans="1:16" s="120" customFormat="1" x14ac:dyDescent="0.25">
      <c r="A213" s="137"/>
      <c r="B213" s="137"/>
      <c r="C213" s="137"/>
      <c r="D213" s="111"/>
      <c r="E213" s="111"/>
      <c r="F213" s="112"/>
      <c r="G213" s="112"/>
      <c r="H213" s="112"/>
      <c r="I213" s="112"/>
      <c r="K213" s="133"/>
      <c r="L213" s="133"/>
      <c r="M213" s="133"/>
      <c r="N213" s="133"/>
      <c r="O213" s="133"/>
      <c r="P213" s="133"/>
    </row>
    <row r="214" spans="1:16" s="120" customFormat="1" x14ac:dyDescent="0.25">
      <c r="A214" s="137"/>
      <c r="B214" s="137"/>
      <c r="C214" s="137"/>
      <c r="D214" s="111"/>
      <c r="E214" s="111"/>
      <c r="F214" s="112"/>
      <c r="G214" s="112"/>
      <c r="H214" s="112"/>
      <c r="I214" s="112"/>
      <c r="K214" s="133"/>
      <c r="L214" s="133"/>
      <c r="M214" s="133"/>
      <c r="N214" s="133"/>
      <c r="O214" s="133"/>
      <c r="P214" s="133"/>
    </row>
    <row r="215" spans="1:16" s="120" customFormat="1" x14ac:dyDescent="0.25">
      <c r="A215" s="137"/>
      <c r="B215" s="137"/>
      <c r="C215" s="137"/>
      <c r="D215" s="111"/>
      <c r="E215" s="111"/>
      <c r="F215" s="112"/>
      <c r="G215" s="112"/>
      <c r="H215" s="112"/>
      <c r="I215" s="112"/>
      <c r="K215" s="133"/>
      <c r="L215" s="133"/>
      <c r="M215" s="133"/>
      <c r="N215" s="133"/>
      <c r="O215" s="133"/>
      <c r="P215" s="133"/>
    </row>
    <row r="216" spans="1:16" s="120" customFormat="1" x14ac:dyDescent="0.25">
      <c r="A216" s="137"/>
      <c r="B216" s="137"/>
      <c r="C216" s="137"/>
      <c r="D216" s="111"/>
      <c r="E216" s="111"/>
      <c r="F216" s="112"/>
      <c r="G216" s="112"/>
      <c r="H216" s="112"/>
      <c r="I216" s="112"/>
      <c r="K216" s="133"/>
      <c r="L216" s="133"/>
      <c r="M216" s="133"/>
      <c r="N216" s="133"/>
      <c r="O216" s="133"/>
      <c r="P216" s="133"/>
    </row>
    <row r="217" spans="1:16" s="120" customFormat="1" x14ac:dyDescent="0.25">
      <c r="A217" s="137"/>
      <c r="B217" s="137"/>
      <c r="C217" s="137"/>
      <c r="D217" s="111"/>
      <c r="E217" s="111"/>
      <c r="F217" s="112"/>
      <c r="G217" s="112"/>
      <c r="H217" s="112"/>
      <c r="I217" s="112"/>
      <c r="K217" s="133"/>
      <c r="L217" s="133"/>
      <c r="M217" s="133"/>
      <c r="N217" s="133"/>
      <c r="O217" s="133"/>
      <c r="P217" s="133"/>
    </row>
    <row r="218" spans="1:16" s="120" customFormat="1" x14ac:dyDescent="0.25">
      <c r="A218" s="137"/>
      <c r="B218" s="137"/>
      <c r="C218" s="137"/>
      <c r="D218" s="111"/>
      <c r="E218" s="111"/>
      <c r="F218" s="112"/>
      <c r="G218" s="112"/>
      <c r="H218" s="112"/>
      <c r="I218" s="112"/>
      <c r="K218" s="133"/>
      <c r="L218" s="133"/>
      <c r="M218" s="133"/>
      <c r="N218" s="133"/>
      <c r="O218" s="133"/>
      <c r="P218" s="133"/>
    </row>
    <row r="219" spans="1:16" s="120" customFormat="1" x14ac:dyDescent="0.25">
      <c r="A219" s="137"/>
      <c r="B219" s="137"/>
      <c r="C219" s="137"/>
      <c r="D219" s="111"/>
      <c r="E219" s="111"/>
      <c r="F219" s="112"/>
      <c r="G219" s="112"/>
      <c r="H219" s="112"/>
      <c r="I219" s="112"/>
      <c r="K219" s="133"/>
      <c r="L219" s="133"/>
      <c r="M219" s="133"/>
      <c r="N219" s="133"/>
      <c r="O219" s="133"/>
      <c r="P219" s="133"/>
    </row>
    <row r="220" spans="1:16" s="120" customFormat="1" x14ac:dyDescent="0.25">
      <c r="A220" s="137"/>
      <c r="B220" s="137"/>
      <c r="C220" s="137"/>
      <c r="D220" s="111"/>
      <c r="E220" s="111"/>
      <c r="F220" s="112"/>
      <c r="G220" s="112"/>
      <c r="H220" s="112"/>
      <c r="I220" s="112"/>
      <c r="K220" s="133"/>
      <c r="L220" s="133"/>
      <c r="M220" s="133"/>
      <c r="N220" s="133"/>
      <c r="O220" s="133"/>
      <c r="P220" s="133"/>
    </row>
    <row r="221" spans="1:16" s="120" customFormat="1" x14ac:dyDescent="0.25">
      <c r="A221" s="137"/>
      <c r="B221" s="137"/>
      <c r="C221" s="137"/>
      <c r="D221" s="111"/>
      <c r="E221" s="111"/>
      <c r="F221" s="112"/>
      <c r="G221" s="112"/>
      <c r="H221" s="112"/>
      <c r="I221" s="112"/>
      <c r="K221" s="133"/>
      <c r="L221" s="133"/>
      <c r="M221" s="133"/>
      <c r="N221" s="133"/>
      <c r="O221" s="133"/>
      <c r="P221" s="133"/>
    </row>
    <row r="222" spans="1:16" s="120" customFormat="1" x14ac:dyDescent="0.25">
      <c r="A222" s="137"/>
      <c r="B222" s="137"/>
      <c r="C222" s="137"/>
      <c r="D222" s="111"/>
      <c r="E222" s="111"/>
      <c r="F222" s="112"/>
      <c r="G222" s="112"/>
      <c r="H222" s="112"/>
      <c r="I222" s="112"/>
      <c r="K222" s="133"/>
      <c r="L222" s="133"/>
      <c r="M222" s="133"/>
      <c r="N222" s="133"/>
      <c r="O222" s="133"/>
      <c r="P222" s="133"/>
    </row>
    <row r="223" spans="1:16" s="120" customFormat="1" x14ac:dyDescent="0.25">
      <c r="A223" s="137"/>
      <c r="B223" s="137"/>
      <c r="C223" s="137"/>
      <c r="D223" s="111"/>
      <c r="E223" s="111"/>
      <c r="F223" s="112"/>
      <c r="G223" s="112"/>
      <c r="H223" s="112"/>
      <c r="I223" s="112"/>
      <c r="K223" s="133"/>
      <c r="L223" s="133"/>
      <c r="M223" s="133"/>
      <c r="N223" s="133"/>
      <c r="O223" s="133"/>
      <c r="P223" s="133"/>
    </row>
    <row r="224" spans="1:16" s="120" customFormat="1" x14ac:dyDescent="0.25">
      <c r="A224" s="137"/>
      <c r="B224" s="137"/>
      <c r="C224" s="137"/>
      <c r="D224" s="111"/>
      <c r="E224" s="111"/>
      <c r="F224" s="112"/>
      <c r="G224" s="112"/>
      <c r="H224" s="112"/>
      <c r="I224" s="112"/>
      <c r="K224" s="133"/>
      <c r="L224" s="133"/>
      <c r="M224" s="133"/>
      <c r="N224" s="133"/>
      <c r="O224" s="133"/>
      <c r="P224" s="133"/>
    </row>
    <row r="225" spans="1:16" s="120" customFormat="1" x14ac:dyDescent="0.25">
      <c r="A225" s="137"/>
      <c r="B225" s="137"/>
      <c r="C225" s="137"/>
      <c r="D225" s="111"/>
      <c r="E225" s="111"/>
      <c r="F225" s="112"/>
      <c r="G225" s="112"/>
      <c r="H225" s="112"/>
      <c r="I225" s="112"/>
      <c r="K225" s="133"/>
      <c r="L225" s="133"/>
      <c r="M225" s="133"/>
      <c r="N225" s="133"/>
      <c r="O225" s="133"/>
      <c r="P225" s="133"/>
    </row>
    <row r="226" spans="1:16" s="120" customFormat="1" x14ac:dyDescent="0.25">
      <c r="A226" s="137"/>
      <c r="B226" s="137"/>
      <c r="C226" s="137"/>
      <c r="D226" s="111"/>
      <c r="E226" s="111"/>
      <c r="F226" s="112"/>
      <c r="G226" s="112"/>
      <c r="H226" s="112"/>
      <c r="I226" s="112"/>
      <c r="K226" s="133"/>
      <c r="L226" s="133"/>
      <c r="M226" s="133"/>
      <c r="N226" s="133"/>
      <c r="O226" s="133"/>
      <c r="P226" s="133"/>
    </row>
    <row r="227" spans="1:16" s="120" customFormat="1" x14ac:dyDescent="0.25">
      <c r="A227" s="137"/>
      <c r="B227" s="137"/>
      <c r="C227" s="137"/>
      <c r="D227" s="111"/>
      <c r="E227" s="111"/>
      <c r="F227" s="112"/>
      <c r="G227" s="112"/>
      <c r="H227" s="112"/>
      <c r="I227" s="112"/>
      <c r="K227" s="133"/>
      <c r="L227" s="133"/>
      <c r="M227" s="133"/>
      <c r="N227" s="133"/>
      <c r="O227" s="133"/>
      <c r="P227" s="133"/>
    </row>
    <row r="228" spans="1:16" s="120" customFormat="1" x14ac:dyDescent="0.25">
      <c r="A228" s="137"/>
      <c r="B228" s="137"/>
      <c r="C228" s="137"/>
      <c r="D228" s="111"/>
      <c r="E228" s="111"/>
      <c r="F228" s="112"/>
      <c r="G228" s="112"/>
      <c r="H228" s="112"/>
      <c r="I228" s="112"/>
      <c r="K228" s="133"/>
      <c r="L228" s="133"/>
      <c r="M228" s="133"/>
      <c r="N228" s="133"/>
      <c r="O228" s="133"/>
      <c r="P228" s="133"/>
    </row>
    <row r="229" spans="1:16" s="120" customFormat="1" x14ac:dyDescent="0.25">
      <c r="A229" s="137"/>
      <c r="B229" s="137"/>
      <c r="C229" s="137"/>
      <c r="D229" s="111"/>
      <c r="E229" s="111"/>
      <c r="F229" s="112"/>
      <c r="G229" s="112"/>
      <c r="H229" s="112"/>
      <c r="I229" s="112"/>
      <c r="K229" s="133"/>
      <c r="L229" s="133"/>
      <c r="M229" s="133"/>
      <c r="N229" s="133"/>
      <c r="O229" s="133"/>
      <c r="P229" s="133"/>
    </row>
    <row r="230" spans="1:16" s="120" customFormat="1" x14ac:dyDescent="0.25">
      <c r="A230" s="137"/>
      <c r="B230" s="137"/>
      <c r="C230" s="137"/>
      <c r="D230" s="111"/>
      <c r="E230" s="111"/>
      <c r="F230" s="112"/>
      <c r="G230" s="112"/>
      <c r="H230" s="112"/>
      <c r="I230" s="112"/>
      <c r="K230" s="133"/>
      <c r="L230" s="133"/>
      <c r="M230" s="133"/>
      <c r="N230" s="133"/>
      <c r="O230" s="133"/>
      <c r="P230" s="133"/>
    </row>
    <row r="231" spans="1:16" s="120" customFormat="1" x14ac:dyDescent="0.25">
      <c r="A231" s="137"/>
      <c r="B231" s="137"/>
      <c r="C231" s="137"/>
      <c r="D231" s="111"/>
      <c r="E231" s="111"/>
      <c r="F231" s="112"/>
      <c r="G231" s="112"/>
      <c r="H231" s="112"/>
      <c r="I231" s="112"/>
      <c r="K231" s="133"/>
      <c r="L231" s="133"/>
      <c r="M231" s="133"/>
      <c r="N231" s="133"/>
      <c r="O231" s="133"/>
      <c r="P231" s="133"/>
    </row>
    <row r="232" spans="1:16" s="120" customFormat="1" x14ac:dyDescent="0.25">
      <c r="A232" s="137"/>
      <c r="B232" s="137"/>
      <c r="C232" s="137"/>
      <c r="D232" s="111"/>
      <c r="E232" s="111"/>
      <c r="F232" s="112"/>
      <c r="G232" s="112"/>
      <c r="H232" s="112"/>
      <c r="I232" s="112"/>
      <c r="K232" s="133"/>
      <c r="L232" s="133"/>
      <c r="M232" s="133"/>
      <c r="N232" s="133"/>
      <c r="O232" s="133"/>
      <c r="P232" s="133"/>
    </row>
    <row r="233" spans="1:16" s="120" customFormat="1" x14ac:dyDescent="0.25">
      <c r="A233" s="137"/>
      <c r="B233" s="137"/>
      <c r="C233" s="137"/>
      <c r="D233" s="111"/>
      <c r="E233" s="111"/>
      <c r="F233" s="112"/>
      <c r="G233" s="112"/>
      <c r="H233" s="112"/>
      <c r="I233" s="112"/>
      <c r="K233" s="133"/>
      <c r="L233" s="133"/>
      <c r="M233" s="133"/>
      <c r="N233" s="133"/>
      <c r="O233" s="133"/>
      <c r="P233" s="133"/>
    </row>
    <row r="234" spans="1:16" s="120" customFormat="1" x14ac:dyDescent="0.25">
      <c r="A234" s="137"/>
      <c r="B234" s="137"/>
      <c r="C234" s="137"/>
      <c r="D234" s="111"/>
      <c r="E234" s="111"/>
      <c r="F234" s="112"/>
      <c r="G234" s="112"/>
      <c r="H234" s="112"/>
      <c r="I234" s="112"/>
      <c r="K234" s="133"/>
      <c r="L234" s="133"/>
      <c r="M234" s="133"/>
      <c r="N234" s="133"/>
      <c r="O234" s="133"/>
      <c r="P234" s="133"/>
    </row>
    <row r="235" spans="1:16" s="120" customFormat="1" x14ac:dyDescent="0.25">
      <c r="A235" s="137"/>
      <c r="B235" s="137"/>
      <c r="C235" s="137"/>
      <c r="D235" s="111"/>
      <c r="E235" s="111"/>
      <c r="F235" s="112"/>
      <c r="G235" s="112"/>
      <c r="H235" s="112"/>
      <c r="I235" s="112"/>
      <c r="K235" s="133"/>
      <c r="L235" s="133"/>
      <c r="M235" s="133"/>
      <c r="N235" s="133"/>
      <c r="O235" s="133"/>
      <c r="P235" s="133"/>
    </row>
    <row r="236" spans="1:16" s="120" customFormat="1" x14ac:dyDescent="0.25">
      <c r="A236" s="137"/>
      <c r="B236" s="137"/>
      <c r="C236" s="137"/>
      <c r="D236" s="111"/>
      <c r="E236" s="111"/>
      <c r="F236" s="112"/>
      <c r="G236" s="112"/>
      <c r="H236" s="112"/>
      <c r="I236" s="112"/>
      <c r="K236" s="133"/>
      <c r="L236" s="133"/>
      <c r="M236" s="133"/>
      <c r="N236" s="133"/>
      <c r="O236" s="133"/>
      <c r="P236" s="133"/>
    </row>
    <row r="237" spans="1:16" s="120" customFormat="1" x14ac:dyDescent="0.25">
      <c r="A237" s="137"/>
      <c r="B237" s="137"/>
      <c r="C237" s="137"/>
      <c r="D237" s="111"/>
      <c r="E237" s="111"/>
      <c r="F237" s="112"/>
      <c r="G237" s="112"/>
      <c r="H237" s="112"/>
      <c r="I237" s="112"/>
      <c r="K237" s="133"/>
      <c r="L237" s="133"/>
      <c r="M237" s="133"/>
      <c r="N237" s="133"/>
      <c r="O237" s="133"/>
      <c r="P237" s="133"/>
    </row>
    <row r="238" spans="1:16" s="120" customFormat="1" x14ac:dyDescent="0.25">
      <c r="A238" s="137"/>
      <c r="B238" s="137"/>
      <c r="C238" s="137"/>
      <c r="D238" s="111"/>
      <c r="E238" s="111"/>
      <c r="F238" s="112"/>
      <c r="G238" s="112"/>
      <c r="H238" s="112"/>
      <c r="I238" s="112"/>
      <c r="K238" s="133"/>
      <c r="L238" s="133"/>
      <c r="M238" s="133"/>
      <c r="N238" s="133"/>
      <c r="O238" s="133"/>
      <c r="P238" s="133"/>
    </row>
    <row r="239" spans="1:16" s="120" customFormat="1" x14ac:dyDescent="0.25">
      <c r="A239" s="137"/>
      <c r="B239" s="137"/>
      <c r="C239" s="137"/>
      <c r="D239" s="111"/>
      <c r="E239" s="111"/>
      <c r="F239" s="112"/>
      <c r="G239" s="112"/>
      <c r="H239" s="112"/>
      <c r="I239" s="112"/>
      <c r="K239" s="133"/>
      <c r="L239" s="133"/>
      <c r="M239" s="133"/>
      <c r="N239" s="133"/>
      <c r="O239" s="133"/>
      <c r="P239" s="133"/>
    </row>
    <row r="240" spans="1:16" s="120" customFormat="1" x14ac:dyDescent="0.25">
      <c r="A240" s="137"/>
      <c r="B240" s="137"/>
      <c r="C240" s="137"/>
      <c r="D240" s="111"/>
      <c r="E240" s="111"/>
      <c r="F240" s="112"/>
      <c r="G240" s="112"/>
      <c r="H240" s="112"/>
      <c r="I240" s="112"/>
      <c r="K240" s="133"/>
      <c r="L240" s="133"/>
      <c r="M240" s="133"/>
      <c r="N240" s="133"/>
      <c r="O240" s="133"/>
      <c r="P240" s="133"/>
    </row>
    <row r="241" spans="1:16" s="120" customFormat="1" x14ac:dyDescent="0.25">
      <c r="A241" s="137"/>
      <c r="B241" s="137"/>
      <c r="C241" s="137"/>
      <c r="D241" s="111"/>
      <c r="E241" s="111"/>
      <c r="F241" s="112"/>
      <c r="G241" s="112"/>
      <c r="H241" s="112"/>
      <c r="I241" s="112"/>
      <c r="K241" s="133"/>
      <c r="L241" s="133"/>
      <c r="M241" s="133"/>
      <c r="N241" s="133"/>
      <c r="O241" s="133"/>
      <c r="P241" s="133"/>
    </row>
    <row r="242" spans="1:16" s="120" customFormat="1" x14ac:dyDescent="0.25">
      <c r="A242" s="137"/>
      <c r="B242" s="137"/>
      <c r="C242" s="137"/>
      <c r="D242" s="111"/>
      <c r="E242" s="111"/>
      <c r="F242" s="112"/>
      <c r="G242" s="112"/>
      <c r="H242" s="112"/>
      <c r="I242" s="112"/>
      <c r="K242" s="133"/>
      <c r="L242" s="133"/>
      <c r="M242" s="133"/>
      <c r="N242" s="133"/>
      <c r="O242" s="133"/>
      <c r="P242" s="133"/>
    </row>
    <row r="243" spans="1:16" s="120" customFormat="1" x14ac:dyDescent="0.25">
      <c r="A243" s="137"/>
      <c r="B243" s="137"/>
      <c r="C243" s="137"/>
      <c r="D243" s="111"/>
      <c r="E243" s="111"/>
      <c r="F243" s="112"/>
      <c r="G243" s="112"/>
      <c r="H243" s="112"/>
      <c r="I243" s="112"/>
      <c r="K243" s="133"/>
      <c r="L243" s="133"/>
      <c r="M243" s="133"/>
      <c r="N243" s="133"/>
      <c r="O243" s="133"/>
      <c r="P243" s="133"/>
    </row>
    <row r="244" spans="1:16" s="120" customFormat="1" x14ac:dyDescent="0.25">
      <c r="A244" s="137"/>
      <c r="B244" s="137"/>
      <c r="C244" s="137"/>
      <c r="D244" s="111"/>
      <c r="E244" s="111"/>
      <c r="F244" s="112"/>
      <c r="G244" s="112"/>
      <c r="H244" s="112"/>
      <c r="I244" s="112"/>
      <c r="K244" s="133"/>
      <c r="L244" s="133"/>
      <c r="M244" s="133"/>
      <c r="N244" s="133"/>
      <c r="O244" s="133"/>
      <c r="P244" s="133"/>
    </row>
    <row r="245" spans="1:16" s="120" customFormat="1" x14ac:dyDescent="0.25">
      <c r="A245" s="137"/>
      <c r="B245" s="137"/>
      <c r="C245" s="137"/>
      <c r="D245" s="111"/>
      <c r="E245" s="111"/>
      <c r="F245" s="112"/>
      <c r="G245" s="112"/>
      <c r="H245" s="112"/>
      <c r="I245" s="112"/>
      <c r="K245" s="133"/>
      <c r="L245" s="133"/>
      <c r="M245" s="133"/>
      <c r="N245" s="133"/>
      <c r="O245" s="133"/>
      <c r="P245" s="133"/>
    </row>
    <row r="246" spans="1:16" s="120" customFormat="1" x14ac:dyDescent="0.25">
      <c r="A246" s="137"/>
      <c r="B246" s="137"/>
      <c r="C246" s="137"/>
      <c r="D246" s="111"/>
      <c r="E246" s="111"/>
      <c r="F246" s="112"/>
      <c r="G246" s="112"/>
      <c r="H246" s="112"/>
      <c r="I246" s="112"/>
      <c r="K246" s="133"/>
      <c r="L246" s="133"/>
      <c r="M246" s="133"/>
      <c r="N246" s="133"/>
      <c r="O246" s="133"/>
      <c r="P246" s="133"/>
    </row>
    <row r="247" spans="1:16" s="120" customFormat="1" x14ac:dyDescent="0.25">
      <c r="A247" s="137"/>
      <c r="B247" s="137"/>
      <c r="C247" s="137"/>
      <c r="D247" s="111"/>
      <c r="E247" s="111"/>
      <c r="F247" s="112"/>
      <c r="G247" s="112"/>
      <c r="H247" s="112"/>
      <c r="I247" s="112"/>
      <c r="K247" s="133"/>
      <c r="L247" s="133"/>
      <c r="M247" s="133"/>
      <c r="N247" s="133"/>
      <c r="O247" s="133"/>
      <c r="P247" s="133"/>
    </row>
    <row r="248" spans="1:16" s="120" customFormat="1" x14ac:dyDescent="0.25">
      <c r="A248" s="137"/>
      <c r="B248" s="137"/>
      <c r="C248" s="137"/>
      <c r="D248" s="111"/>
      <c r="E248" s="111"/>
      <c r="F248" s="112"/>
      <c r="G248" s="112"/>
      <c r="H248" s="112"/>
      <c r="I248" s="112"/>
      <c r="K248" s="133"/>
      <c r="L248" s="133"/>
      <c r="M248" s="133"/>
      <c r="N248" s="133"/>
      <c r="O248" s="133"/>
      <c r="P248" s="133"/>
    </row>
    <row r="249" spans="1:16" s="120" customFormat="1" x14ac:dyDescent="0.25">
      <c r="A249" s="137"/>
      <c r="B249" s="137"/>
      <c r="C249" s="137"/>
      <c r="D249" s="111"/>
      <c r="E249" s="111"/>
      <c r="F249" s="112"/>
      <c r="G249" s="112"/>
      <c r="H249" s="112"/>
      <c r="I249" s="112"/>
      <c r="K249" s="133"/>
      <c r="L249" s="133"/>
      <c r="M249" s="133"/>
      <c r="N249" s="133"/>
      <c r="O249" s="133"/>
      <c r="P249" s="133"/>
    </row>
    <row r="250" spans="1:16" s="120" customFormat="1" x14ac:dyDescent="0.25">
      <c r="A250" s="137"/>
      <c r="B250" s="137"/>
      <c r="C250" s="137"/>
      <c r="D250" s="111"/>
      <c r="E250" s="111"/>
      <c r="F250" s="112"/>
      <c r="G250" s="112"/>
      <c r="H250" s="112"/>
      <c r="I250" s="112"/>
      <c r="K250" s="133"/>
      <c r="L250" s="133"/>
      <c r="M250" s="133"/>
      <c r="N250" s="133"/>
      <c r="O250" s="133"/>
      <c r="P250" s="133"/>
    </row>
    <row r="251" spans="1:16" s="120" customFormat="1" x14ac:dyDescent="0.25">
      <c r="A251" s="137"/>
      <c r="B251" s="137"/>
      <c r="C251" s="137"/>
      <c r="D251" s="111"/>
      <c r="E251" s="111"/>
      <c r="F251" s="112"/>
      <c r="G251" s="112"/>
      <c r="H251" s="112"/>
      <c r="I251" s="112"/>
      <c r="K251" s="133"/>
      <c r="L251" s="133"/>
      <c r="M251" s="133"/>
      <c r="N251" s="133"/>
      <c r="O251" s="133"/>
      <c r="P251" s="133"/>
    </row>
    <row r="252" spans="1:16" s="120" customFormat="1" x14ac:dyDescent="0.25">
      <c r="A252" s="137"/>
      <c r="B252" s="137"/>
      <c r="C252" s="137"/>
      <c r="D252" s="111"/>
      <c r="E252" s="111"/>
      <c r="F252" s="112"/>
      <c r="G252" s="112"/>
      <c r="H252" s="112"/>
      <c r="I252" s="112"/>
      <c r="K252" s="133"/>
      <c r="L252" s="133"/>
      <c r="M252" s="133"/>
      <c r="N252" s="133"/>
      <c r="O252" s="133"/>
      <c r="P252" s="133"/>
    </row>
    <row r="253" spans="1:16" s="120" customFormat="1" x14ac:dyDescent="0.25">
      <c r="A253" s="137"/>
      <c r="B253" s="137"/>
      <c r="C253" s="137"/>
      <c r="D253" s="111"/>
      <c r="E253" s="111"/>
      <c r="F253" s="112"/>
      <c r="G253" s="112"/>
      <c r="H253" s="112"/>
      <c r="I253" s="112"/>
      <c r="K253" s="133"/>
      <c r="L253" s="133"/>
      <c r="M253" s="133"/>
      <c r="N253" s="133"/>
      <c r="O253" s="133"/>
      <c r="P253" s="133"/>
    </row>
    <row r="254" spans="1:16" s="120" customFormat="1" x14ac:dyDescent="0.25">
      <c r="A254" s="137"/>
      <c r="B254" s="137"/>
      <c r="C254" s="137"/>
      <c r="D254" s="111"/>
      <c r="E254" s="111"/>
      <c r="F254" s="112"/>
      <c r="G254" s="112"/>
      <c r="H254" s="112"/>
      <c r="I254" s="112"/>
      <c r="K254" s="133"/>
      <c r="L254" s="133"/>
      <c r="M254" s="133"/>
      <c r="N254" s="133"/>
      <c r="O254" s="133"/>
      <c r="P254" s="133"/>
    </row>
    <row r="255" spans="1:16" s="120" customFormat="1" x14ac:dyDescent="0.25">
      <c r="A255" s="137"/>
      <c r="B255" s="137"/>
      <c r="C255" s="137"/>
      <c r="D255" s="111"/>
      <c r="E255" s="111"/>
      <c r="F255" s="112"/>
      <c r="G255" s="112"/>
      <c r="H255" s="112"/>
      <c r="I255" s="112"/>
      <c r="K255" s="133"/>
      <c r="L255" s="133"/>
      <c r="M255" s="133"/>
      <c r="N255" s="133"/>
      <c r="O255" s="133"/>
      <c r="P255" s="133"/>
    </row>
    <row r="256" spans="1:16" s="120" customFormat="1" x14ac:dyDescent="0.25">
      <c r="A256" s="137"/>
      <c r="B256" s="137"/>
      <c r="C256" s="137"/>
      <c r="D256" s="111"/>
      <c r="E256" s="111"/>
      <c r="F256" s="112"/>
      <c r="G256" s="112"/>
      <c r="H256" s="112"/>
      <c r="I256" s="112"/>
      <c r="K256" s="133"/>
      <c r="L256" s="133"/>
      <c r="M256" s="133"/>
      <c r="N256" s="133"/>
      <c r="O256" s="133"/>
      <c r="P256" s="133"/>
    </row>
    <row r="257" spans="1:16" s="120" customFormat="1" x14ac:dyDescent="0.25">
      <c r="A257" s="137"/>
      <c r="B257" s="137"/>
      <c r="C257" s="137"/>
      <c r="D257" s="111"/>
      <c r="E257" s="111"/>
      <c r="F257" s="112"/>
      <c r="G257" s="112"/>
      <c r="H257" s="112"/>
      <c r="I257" s="112"/>
      <c r="K257" s="133"/>
      <c r="L257" s="133"/>
      <c r="M257" s="133"/>
      <c r="N257" s="133"/>
      <c r="O257" s="133"/>
      <c r="P257" s="133"/>
    </row>
    <row r="258" spans="1:16" s="120" customFormat="1" x14ac:dyDescent="0.25">
      <c r="A258" s="137"/>
      <c r="B258" s="137"/>
      <c r="C258" s="137"/>
      <c r="D258" s="111"/>
      <c r="E258" s="111"/>
      <c r="F258" s="112"/>
      <c r="G258" s="112"/>
      <c r="H258" s="112"/>
      <c r="I258" s="112"/>
      <c r="K258" s="133"/>
      <c r="L258" s="133"/>
      <c r="M258" s="133"/>
      <c r="N258" s="133"/>
      <c r="O258" s="133"/>
      <c r="P258" s="133"/>
    </row>
    <row r="259" spans="1:16" s="120" customFormat="1" x14ac:dyDescent="0.25">
      <c r="A259" s="137"/>
      <c r="B259" s="137"/>
      <c r="C259" s="137"/>
      <c r="D259" s="111"/>
      <c r="E259" s="111"/>
      <c r="F259" s="112"/>
      <c r="G259" s="112"/>
      <c r="H259" s="112"/>
      <c r="I259" s="112"/>
      <c r="K259" s="133"/>
      <c r="L259" s="133"/>
      <c r="M259" s="133"/>
      <c r="N259" s="133"/>
      <c r="O259" s="133"/>
      <c r="P259" s="133"/>
    </row>
    <row r="260" spans="1:16" s="120" customFormat="1" x14ac:dyDescent="0.25">
      <c r="A260" s="137"/>
      <c r="B260" s="137"/>
      <c r="C260" s="137"/>
      <c r="D260" s="111"/>
      <c r="E260" s="111"/>
      <c r="F260" s="112"/>
      <c r="G260" s="112"/>
      <c r="H260" s="112"/>
      <c r="I260" s="112"/>
      <c r="K260" s="133"/>
      <c r="L260" s="133"/>
      <c r="M260" s="133"/>
      <c r="N260" s="133"/>
      <c r="O260" s="133"/>
      <c r="P260" s="133"/>
    </row>
    <row r="261" spans="1:16" s="120" customFormat="1" x14ac:dyDescent="0.25">
      <c r="A261" s="137"/>
      <c r="B261" s="137"/>
      <c r="C261" s="137"/>
      <c r="D261" s="111"/>
      <c r="E261" s="111"/>
      <c r="F261" s="112"/>
      <c r="G261" s="112"/>
      <c r="H261" s="112"/>
      <c r="I261" s="112"/>
      <c r="K261" s="133"/>
      <c r="L261" s="133"/>
      <c r="M261" s="133"/>
      <c r="N261" s="133"/>
      <c r="O261" s="133"/>
      <c r="P261" s="133"/>
    </row>
    <row r="262" spans="1:16" s="120" customFormat="1" x14ac:dyDescent="0.25">
      <c r="A262" s="137"/>
      <c r="B262" s="137"/>
      <c r="C262" s="137"/>
      <c r="D262" s="111"/>
      <c r="E262" s="111"/>
      <c r="F262" s="112"/>
      <c r="G262" s="112"/>
      <c r="H262" s="112"/>
      <c r="I262" s="112"/>
      <c r="K262" s="133"/>
      <c r="L262" s="133"/>
      <c r="M262" s="133"/>
      <c r="N262" s="133"/>
      <c r="O262" s="133"/>
      <c r="P262" s="133"/>
    </row>
    <row r="263" spans="1:16" s="120" customFormat="1" x14ac:dyDescent="0.25">
      <c r="A263" s="137"/>
      <c r="B263" s="137"/>
      <c r="C263" s="137"/>
      <c r="D263" s="111"/>
      <c r="E263" s="111"/>
      <c r="F263" s="112"/>
      <c r="G263" s="112"/>
      <c r="H263" s="112"/>
      <c r="I263" s="112"/>
      <c r="K263" s="133"/>
      <c r="L263" s="133"/>
      <c r="M263" s="133"/>
      <c r="N263" s="133"/>
      <c r="O263" s="133"/>
      <c r="P263" s="133"/>
    </row>
    <row r="264" spans="1:16" s="120" customFormat="1" x14ac:dyDescent="0.25">
      <c r="A264" s="137"/>
      <c r="B264" s="137"/>
      <c r="C264" s="137"/>
      <c r="D264" s="111"/>
      <c r="E264" s="111"/>
      <c r="F264" s="112"/>
      <c r="G264" s="112"/>
      <c r="H264" s="112"/>
      <c r="I264" s="112"/>
      <c r="K264" s="133"/>
      <c r="L264" s="133"/>
      <c r="M264" s="133"/>
      <c r="N264" s="133"/>
      <c r="O264" s="133"/>
      <c r="P264" s="133"/>
    </row>
    <row r="265" spans="1:16" s="120" customFormat="1" x14ac:dyDescent="0.25">
      <c r="A265" s="137"/>
      <c r="B265" s="137"/>
      <c r="C265" s="137"/>
      <c r="D265" s="111"/>
      <c r="E265" s="111"/>
      <c r="F265" s="112"/>
      <c r="G265" s="112"/>
      <c r="H265" s="112"/>
      <c r="I265" s="112"/>
      <c r="K265" s="133"/>
      <c r="L265" s="133"/>
      <c r="M265" s="133"/>
      <c r="N265" s="133"/>
      <c r="O265" s="133"/>
      <c r="P265" s="133"/>
    </row>
    <row r="266" spans="1:16" s="120" customFormat="1" x14ac:dyDescent="0.25">
      <c r="A266" s="137"/>
      <c r="B266" s="137"/>
      <c r="C266" s="137"/>
      <c r="D266" s="111"/>
      <c r="E266" s="111"/>
      <c r="F266" s="112"/>
      <c r="G266" s="112"/>
      <c r="H266" s="112"/>
      <c r="I266" s="112"/>
      <c r="K266" s="133"/>
      <c r="L266" s="133"/>
      <c r="M266" s="133"/>
      <c r="N266" s="133"/>
      <c r="O266" s="133"/>
      <c r="P266" s="133"/>
    </row>
    <row r="267" spans="1:16" s="120" customFormat="1" x14ac:dyDescent="0.25">
      <c r="A267" s="137"/>
      <c r="B267" s="137"/>
      <c r="C267" s="137"/>
      <c r="D267" s="111"/>
      <c r="E267" s="111"/>
      <c r="F267" s="112"/>
      <c r="G267" s="112"/>
      <c r="H267" s="112"/>
      <c r="I267" s="112"/>
      <c r="K267" s="133"/>
      <c r="L267" s="133"/>
      <c r="M267" s="133"/>
      <c r="N267" s="133"/>
      <c r="O267" s="133"/>
      <c r="P267" s="133"/>
    </row>
    <row r="268" spans="1:16" s="120" customFormat="1" x14ac:dyDescent="0.25">
      <c r="A268" s="137"/>
      <c r="B268" s="137"/>
      <c r="C268" s="137"/>
      <c r="D268" s="111"/>
      <c r="E268" s="111"/>
      <c r="F268" s="112"/>
      <c r="G268" s="112"/>
      <c r="H268" s="112"/>
      <c r="I268" s="112"/>
      <c r="K268" s="133"/>
      <c r="L268" s="133"/>
      <c r="M268" s="133"/>
      <c r="N268" s="133"/>
      <c r="O268" s="133"/>
      <c r="P268" s="133"/>
    </row>
    <row r="269" spans="1:16" s="120" customFormat="1" x14ac:dyDescent="0.25">
      <c r="A269" s="137"/>
      <c r="B269" s="137"/>
      <c r="C269" s="137"/>
      <c r="D269" s="111"/>
      <c r="E269" s="111"/>
      <c r="F269" s="112"/>
      <c r="G269" s="112"/>
      <c r="H269" s="112"/>
      <c r="I269" s="112"/>
      <c r="K269" s="133"/>
      <c r="L269" s="133"/>
      <c r="M269" s="133"/>
      <c r="N269" s="133"/>
      <c r="O269" s="133"/>
      <c r="P269" s="133"/>
    </row>
    <row r="270" spans="1:16" s="120" customFormat="1" x14ac:dyDescent="0.25">
      <c r="A270" s="137"/>
      <c r="B270" s="137"/>
      <c r="C270" s="137"/>
      <c r="D270" s="111"/>
      <c r="E270" s="111"/>
      <c r="F270" s="112"/>
      <c r="G270" s="112"/>
      <c r="H270" s="112"/>
      <c r="I270" s="112"/>
      <c r="K270" s="133"/>
      <c r="L270" s="133"/>
      <c r="M270" s="133"/>
      <c r="N270" s="133"/>
      <c r="O270" s="133"/>
      <c r="P270" s="133"/>
    </row>
    <row r="271" spans="1:16" s="120" customFormat="1" x14ac:dyDescent="0.25">
      <c r="A271" s="137"/>
      <c r="B271" s="137"/>
      <c r="C271" s="137"/>
      <c r="D271" s="111"/>
      <c r="E271" s="111"/>
      <c r="F271" s="112"/>
      <c r="G271" s="112"/>
      <c r="H271" s="112"/>
      <c r="I271" s="112"/>
      <c r="K271" s="133"/>
      <c r="L271" s="133"/>
      <c r="M271" s="133"/>
      <c r="N271" s="133"/>
      <c r="O271" s="133"/>
      <c r="P271" s="133"/>
    </row>
    <row r="272" spans="1:16" s="120" customFormat="1" x14ac:dyDescent="0.25">
      <c r="A272" s="137"/>
      <c r="B272" s="137"/>
      <c r="C272" s="137"/>
      <c r="D272" s="111"/>
      <c r="E272" s="111"/>
      <c r="F272" s="112"/>
      <c r="G272" s="112"/>
      <c r="H272" s="112"/>
      <c r="I272" s="112"/>
      <c r="K272" s="133"/>
      <c r="L272" s="133"/>
      <c r="M272" s="133"/>
      <c r="N272" s="133"/>
      <c r="O272" s="133"/>
      <c r="P272" s="133"/>
    </row>
    <row r="273" spans="1:16" s="120" customFormat="1" x14ac:dyDescent="0.25">
      <c r="A273" s="137"/>
      <c r="B273" s="137"/>
      <c r="C273" s="137"/>
      <c r="D273" s="111"/>
      <c r="E273" s="111"/>
      <c r="F273" s="112"/>
      <c r="G273" s="112"/>
      <c r="H273" s="112"/>
      <c r="I273" s="112"/>
      <c r="K273" s="133"/>
      <c r="L273" s="133"/>
      <c r="M273" s="133"/>
      <c r="N273" s="133"/>
      <c r="O273" s="133"/>
      <c r="P273" s="133"/>
    </row>
    <row r="274" spans="1:16" s="120" customFormat="1" x14ac:dyDescent="0.25">
      <c r="A274" s="137"/>
      <c r="B274" s="137"/>
      <c r="C274" s="137"/>
      <c r="D274" s="111"/>
      <c r="E274" s="111"/>
      <c r="F274" s="112"/>
      <c r="G274" s="112"/>
      <c r="H274" s="112"/>
      <c r="I274" s="112"/>
      <c r="K274" s="133"/>
      <c r="L274" s="133"/>
      <c r="M274" s="133"/>
      <c r="N274" s="133"/>
      <c r="O274" s="133"/>
      <c r="P274" s="133"/>
    </row>
    <row r="275" spans="1:16" s="120" customFormat="1" x14ac:dyDescent="0.25">
      <c r="A275" s="137"/>
      <c r="B275" s="137"/>
      <c r="C275" s="137"/>
      <c r="D275" s="111"/>
      <c r="E275" s="111"/>
      <c r="F275" s="112"/>
      <c r="G275" s="112"/>
      <c r="H275" s="112"/>
      <c r="I275" s="112"/>
      <c r="K275" s="133"/>
      <c r="L275" s="133"/>
      <c r="M275" s="133"/>
      <c r="N275" s="133"/>
      <c r="O275" s="133"/>
      <c r="P275" s="133"/>
    </row>
    <row r="276" spans="1:16" s="120" customFormat="1" x14ac:dyDescent="0.25">
      <c r="A276" s="137"/>
      <c r="B276" s="137"/>
      <c r="C276" s="137"/>
      <c r="D276" s="111"/>
      <c r="E276" s="111"/>
      <c r="F276" s="112"/>
      <c r="G276" s="112"/>
      <c r="H276" s="112"/>
      <c r="I276" s="112"/>
      <c r="K276" s="133"/>
      <c r="L276" s="133"/>
      <c r="M276" s="133"/>
      <c r="N276" s="133"/>
      <c r="O276" s="133"/>
      <c r="P276" s="133"/>
    </row>
    <row r="277" spans="1:16" s="120" customFormat="1" x14ac:dyDescent="0.25">
      <c r="A277" s="137"/>
      <c r="B277" s="137"/>
      <c r="C277" s="137"/>
      <c r="D277" s="111"/>
      <c r="E277" s="111"/>
      <c r="F277" s="112"/>
      <c r="G277" s="112"/>
      <c r="H277" s="112"/>
      <c r="I277" s="112"/>
      <c r="K277" s="133"/>
      <c r="L277" s="133"/>
      <c r="M277" s="133"/>
      <c r="N277" s="133"/>
      <c r="O277" s="133"/>
      <c r="P277" s="133"/>
    </row>
    <row r="278" spans="1:16" s="120" customFormat="1" x14ac:dyDescent="0.25">
      <c r="A278" s="137"/>
      <c r="B278" s="137"/>
      <c r="C278" s="137"/>
      <c r="D278" s="111"/>
      <c r="E278" s="111"/>
      <c r="F278" s="112"/>
      <c r="G278" s="112"/>
      <c r="H278" s="112"/>
      <c r="I278" s="112"/>
      <c r="K278" s="133"/>
      <c r="L278" s="133"/>
      <c r="M278" s="133"/>
      <c r="N278" s="133"/>
      <c r="O278" s="133"/>
      <c r="P278" s="133"/>
    </row>
    <row r="279" spans="1:16" s="120" customFormat="1" x14ac:dyDescent="0.25">
      <c r="A279" s="137"/>
      <c r="B279" s="137"/>
      <c r="C279" s="137"/>
      <c r="D279" s="111"/>
      <c r="E279" s="111"/>
      <c r="F279" s="112"/>
      <c r="G279" s="112"/>
      <c r="H279" s="112"/>
      <c r="I279" s="112"/>
      <c r="K279" s="133"/>
      <c r="L279" s="133"/>
      <c r="M279" s="133"/>
      <c r="N279" s="133"/>
      <c r="O279" s="133"/>
      <c r="P279" s="133"/>
    </row>
    <row r="280" spans="1:16" s="120" customFormat="1" x14ac:dyDescent="0.25">
      <c r="A280" s="137"/>
      <c r="B280" s="137"/>
      <c r="C280" s="137"/>
      <c r="D280" s="111"/>
      <c r="E280" s="111"/>
      <c r="F280" s="112"/>
      <c r="G280" s="112"/>
      <c r="H280" s="112"/>
      <c r="I280" s="112"/>
      <c r="K280" s="133"/>
      <c r="L280" s="133"/>
      <c r="M280" s="133"/>
      <c r="N280" s="133"/>
      <c r="O280" s="133"/>
      <c r="P280" s="133"/>
    </row>
    <row r="281" spans="1:16" s="120" customFormat="1" x14ac:dyDescent="0.25">
      <c r="A281" s="137"/>
      <c r="B281" s="137"/>
      <c r="C281" s="137"/>
      <c r="D281" s="111"/>
      <c r="E281" s="111"/>
      <c r="F281" s="112"/>
      <c r="G281" s="112"/>
      <c r="H281" s="112"/>
      <c r="I281" s="112"/>
      <c r="K281" s="133"/>
      <c r="L281" s="133"/>
      <c r="M281" s="133"/>
      <c r="N281" s="133"/>
      <c r="O281" s="133"/>
      <c r="P281" s="133"/>
    </row>
    <row r="282" spans="1:16" s="120" customFormat="1" x14ac:dyDescent="0.25">
      <c r="A282" s="137"/>
      <c r="B282" s="137"/>
      <c r="C282" s="137"/>
      <c r="D282" s="111"/>
      <c r="E282" s="111"/>
      <c r="F282" s="112"/>
      <c r="G282" s="112"/>
      <c r="H282" s="112"/>
      <c r="I282" s="112"/>
      <c r="K282" s="133"/>
      <c r="L282" s="133"/>
      <c r="M282" s="133"/>
      <c r="N282" s="133"/>
      <c r="O282" s="133"/>
      <c r="P282" s="133"/>
    </row>
    <row r="283" spans="1:16" s="120" customFormat="1" x14ac:dyDescent="0.25">
      <c r="A283" s="137"/>
      <c r="B283" s="137"/>
      <c r="C283" s="137"/>
      <c r="D283" s="111"/>
      <c r="E283" s="111"/>
      <c r="F283" s="112"/>
      <c r="G283" s="112"/>
      <c r="H283" s="112"/>
      <c r="I283" s="112"/>
      <c r="K283" s="133"/>
      <c r="L283" s="133"/>
      <c r="M283" s="133"/>
      <c r="N283" s="133"/>
      <c r="O283" s="133"/>
      <c r="P283" s="133"/>
    </row>
    <row r="284" spans="1:16" s="120" customFormat="1" x14ac:dyDescent="0.25">
      <c r="A284" s="137"/>
      <c r="B284" s="137"/>
      <c r="C284" s="137"/>
      <c r="D284" s="111"/>
      <c r="E284" s="111"/>
      <c r="F284" s="112"/>
      <c r="G284" s="112"/>
      <c r="H284" s="112"/>
      <c r="I284" s="112"/>
      <c r="K284" s="133"/>
      <c r="L284" s="133"/>
      <c r="M284" s="133"/>
      <c r="N284" s="133"/>
      <c r="O284" s="133"/>
      <c r="P284" s="133"/>
    </row>
    <row r="285" spans="1:16" s="120" customFormat="1" x14ac:dyDescent="0.25">
      <c r="A285" s="137"/>
      <c r="B285" s="137"/>
      <c r="C285" s="137"/>
      <c r="D285" s="111"/>
      <c r="E285" s="111"/>
      <c r="F285" s="112"/>
      <c r="G285" s="112"/>
      <c r="H285" s="112"/>
      <c r="I285" s="112"/>
      <c r="K285" s="133"/>
      <c r="L285" s="133"/>
      <c r="M285" s="133"/>
      <c r="N285" s="133"/>
      <c r="O285" s="133"/>
      <c r="P285" s="133"/>
    </row>
    <row r="286" spans="1:16" s="120" customFormat="1" x14ac:dyDescent="0.25">
      <c r="A286" s="137"/>
      <c r="B286" s="137"/>
      <c r="C286" s="137"/>
      <c r="D286" s="111"/>
      <c r="E286" s="111"/>
      <c r="F286" s="112"/>
      <c r="G286" s="112"/>
      <c r="H286" s="112"/>
      <c r="I286" s="112"/>
      <c r="K286" s="133"/>
      <c r="L286" s="133"/>
      <c r="M286" s="133"/>
      <c r="N286" s="133"/>
      <c r="O286" s="133"/>
      <c r="P286" s="133"/>
    </row>
    <row r="287" spans="1:16" s="120" customFormat="1" x14ac:dyDescent="0.25">
      <c r="A287" s="137"/>
      <c r="B287" s="137"/>
      <c r="C287" s="137"/>
      <c r="D287" s="111"/>
      <c r="E287" s="111"/>
      <c r="F287" s="112"/>
      <c r="G287" s="112"/>
      <c r="H287" s="112"/>
      <c r="I287" s="112"/>
      <c r="K287" s="133"/>
      <c r="L287" s="133"/>
      <c r="M287" s="133"/>
      <c r="N287" s="133"/>
      <c r="O287" s="133"/>
      <c r="P287" s="133"/>
    </row>
    <row r="288" spans="1:16" s="120" customFormat="1" x14ac:dyDescent="0.25">
      <c r="A288" s="137"/>
      <c r="B288" s="137"/>
      <c r="C288" s="137"/>
      <c r="D288" s="111"/>
      <c r="E288" s="111"/>
      <c r="F288" s="112"/>
      <c r="G288" s="112"/>
      <c r="H288" s="112"/>
      <c r="I288" s="112"/>
      <c r="K288" s="133"/>
      <c r="L288" s="133"/>
      <c r="M288" s="133"/>
      <c r="N288" s="133"/>
      <c r="O288" s="133"/>
      <c r="P288" s="133"/>
    </row>
    <row r="289" spans="1:16" s="120" customFormat="1" x14ac:dyDescent="0.25">
      <c r="A289" s="137"/>
      <c r="B289" s="137"/>
      <c r="C289" s="137"/>
      <c r="D289" s="111"/>
      <c r="E289" s="111"/>
      <c r="F289" s="112"/>
      <c r="G289" s="112"/>
      <c r="H289" s="112"/>
      <c r="I289" s="112"/>
      <c r="K289" s="133"/>
      <c r="L289" s="133"/>
      <c r="M289" s="133"/>
      <c r="N289" s="133"/>
      <c r="O289" s="133"/>
      <c r="P289" s="133"/>
    </row>
    <row r="290" spans="1:16" s="120" customFormat="1" x14ac:dyDescent="0.25">
      <c r="A290" s="137"/>
      <c r="B290" s="137"/>
      <c r="C290" s="137"/>
      <c r="D290" s="111"/>
      <c r="E290" s="111"/>
      <c r="F290" s="112"/>
      <c r="G290" s="112"/>
      <c r="H290" s="112"/>
      <c r="I290" s="112"/>
      <c r="K290" s="133"/>
      <c r="L290" s="133"/>
      <c r="M290" s="133"/>
      <c r="N290" s="133"/>
      <c r="O290" s="133"/>
      <c r="P290" s="133"/>
    </row>
    <row r="291" spans="1:16" s="120" customFormat="1" x14ac:dyDescent="0.25">
      <c r="A291" s="137"/>
      <c r="B291" s="137"/>
      <c r="C291" s="137"/>
      <c r="D291" s="111"/>
      <c r="E291" s="111"/>
      <c r="F291" s="112"/>
      <c r="G291" s="112"/>
      <c r="H291" s="112"/>
      <c r="I291" s="112"/>
      <c r="K291" s="133"/>
      <c r="L291" s="133"/>
      <c r="M291" s="133"/>
      <c r="N291" s="133"/>
      <c r="O291" s="133"/>
      <c r="P291" s="133"/>
    </row>
    <row r="292" spans="1:16" s="120" customFormat="1" x14ac:dyDescent="0.25">
      <c r="A292" s="137"/>
      <c r="B292" s="137"/>
      <c r="C292" s="137"/>
      <c r="D292" s="111"/>
      <c r="E292" s="111"/>
      <c r="F292" s="112"/>
      <c r="G292" s="112"/>
      <c r="H292" s="112"/>
      <c r="I292" s="112"/>
      <c r="K292" s="133"/>
      <c r="L292" s="133"/>
      <c r="M292" s="133"/>
      <c r="N292" s="133"/>
      <c r="O292" s="133"/>
      <c r="P292" s="133"/>
    </row>
    <row r="293" spans="1:16" s="120" customFormat="1" x14ac:dyDescent="0.25">
      <c r="A293" s="137"/>
      <c r="B293" s="137"/>
      <c r="C293" s="137"/>
      <c r="D293" s="111"/>
      <c r="E293" s="111"/>
      <c r="F293" s="112"/>
      <c r="G293" s="112"/>
      <c r="H293" s="112"/>
      <c r="I293" s="112"/>
      <c r="K293" s="133"/>
      <c r="L293" s="133"/>
      <c r="M293" s="133"/>
      <c r="N293" s="133"/>
      <c r="O293" s="133"/>
      <c r="P293" s="133"/>
    </row>
    <row r="294" spans="1:16" s="120" customFormat="1" x14ac:dyDescent="0.25">
      <c r="A294" s="137"/>
      <c r="B294" s="137"/>
      <c r="C294" s="137"/>
      <c r="D294" s="111"/>
      <c r="E294" s="111"/>
      <c r="F294" s="112"/>
      <c r="G294" s="112"/>
      <c r="H294" s="112"/>
      <c r="I294" s="112"/>
      <c r="K294" s="133"/>
      <c r="L294" s="133"/>
      <c r="M294" s="133"/>
      <c r="N294" s="133"/>
      <c r="O294" s="133"/>
      <c r="P294" s="133"/>
    </row>
    <row r="295" spans="1:16" s="120" customFormat="1" x14ac:dyDescent="0.25">
      <c r="A295" s="137"/>
      <c r="B295" s="137"/>
      <c r="C295" s="137"/>
      <c r="D295" s="111"/>
      <c r="E295" s="111"/>
      <c r="F295" s="112"/>
      <c r="G295" s="112"/>
      <c r="H295" s="112"/>
      <c r="I295" s="112"/>
      <c r="K295" s="133"/>
      <c r="L295" s="133"/>
      <c r="M295" s="133"/>
      <c r="N295" s="133"/>
      <c r="O295" s="133"/>
      <c r="P295" s="133"/>
    </row>
    <row r="296" spans="1:16" s="120" customFormat="1" x14ac:dyDescent="0.25">
      <c r="A296" s="137"/>
      <c r="B296" s="137"/>
      <c r="C296" s="137"/>
      <c r="D296" s="111"/>
      <c r="E296" s="111"/>
      <c r="F296" s="112"/>
      <c r="G296" s="112"/>
      <c r="H296" s="112"/>
      <c r="I296" s="112"/>
      <c r="K296" s="133"/>
      <c r="L296" s="133"/>
      <c r="M296" s="133"/>
      <c r="N296" s="133"/>
      <c r="O296" s="133"/>
      <c r="P296" s="133"/>
    </row>
    <row r="297" spans="1:16" s="120" customFormat="1" x14ac:dyDescent="0.25">
      <c r="A297" s="137"/>
      <c r="B297" s="137"/>
      <c r="C297" s="137"/>
      <c r="D297" s="111"/>
      <c r="E297" s="111"/>
      <c r="F297" s="112"/>
      <c r="G297" s="112"/>
      <c r="H297" s="112"/>
      <c r="I297" s="112"/>
      <c r="K297" s="133"/>
      <c r="L297" s="133"/>
      <c r="M297" s="133"/>
      <c r="N297" s="133"/>
      <c r="O297" s="133"/>
      <c r="P297" s="133"/>
    </row>
    <row r="298" spans="1:16" s="120" customFormat="1" x14ac:dyDescent="0.25">
      <c r="A298" s="137"/>
      <c r="B298" s="137"/>
      <c r="C298" s="137"/>
      <c r="D298" s="111"/>
      <c r="E298" s="111"/>
      <c r="F298" s="112"/>
      <c r="G298" s="112"/>
      <c r="H298" s="112"/>
      <c r="I298" s="112"/>
      <c r="K298" s="133"/>
      <c r="L298" s="133"/>
      <c r="M298" s="133"/>
      <c r="N298" s="133"/>
      <c r="O298" s="133"/>
      <c r="P298" s="133"/>
    </row>
  </sheetData>
  <mergeCells count="14">
    <mergeCell ref="A1:J1"/>
    <mergeCell ref="A2:J2"/>
    <mergeCell ref="A3:J3"/>
    <mergeCell ref="A4:J4"/>
    <mergeCell ref="B9:B11"/>
    <mergeCell ref="C9:C11"/>
    <mergeCell ref="E9:E11"/>
    <mergeCell ref="G9:G11"/>
    <mergeCell ref="B6:I6"/>
    <mergeCell ref="B7:I7"/>
    <mergeCell ref="H9:H11"/>
    <mergeCell ref="D9:D11"/>
    <mergeCell ref="F9:F11"/>
    <mergeCell ref="I9:I11"/>
  </mergeCells>
  <phoneticPr fontId="2" type="noConversion"/>
  <pageMargins left="0.5" right="0.5" top="1" bottom="1.05" header="0.375" footer="0.25"/>
  <pageSetup scale="80" orientation="landscape" r:id="rId1"/>
  <headerFooter alignWithMargins="0">
    <oddFooter>&amp;L&amp;"Century Schoolbook,Bold"&amp;12Case No. 2025-00052
Attachment (4 of 6) for Response to Staff's First Request Item 2
Witness: Rebecca L. (Becky) Shelton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pageSetUpPr fitToPage="1"/>
  </sheetPr>
  <dimension ref="A1:P206"/>
  <sheetViews>
    <sheetView zoomScaleNormal="100" workbookViewId="0">
      <pane xSplit="4" ySplit="11" topLeftCell="E12" activePane="bottomRight" state="frozen"/>
      <selection sqref="A1:L1"/>
      <selection pane="topRight" sqref="A1:L1"/>
      <selection pane="bottomLeft" sqref="A1:L1"/>
      <selection pane="bottomRight" activeCell="D192" sqref="D192"/>
    </sheetView>
  </sheetViews>
  <sheetFormatPr defaultColWidth="9.140625" defaultRowHeight="15.75" outlineLevelRow="1" x14ac:dyDescent="0.25"/>
  <cols>
    <col min="1" max="1" width="5.140625" style="108" customWidth="1"/>
    <col min="2" max="2" width="14.140625" style="108" customWidth="1"/>
    <col min="3" max="3" width="18.28515625" style="108" customWidth="1"/>
    <col min="4" max="5" width="14.42578125" style="126" customWidth="1"/>
    <col min="6" max="6" width="23.7109375" style="115" customWidth="1"/>
    <col min="7" max="7" width="16.28515625" style="115" customWidth="1"/>
    <col min="8" max="8" width="23.7109375" style="115" customWidth="1"/>
    <col min="9" max="9" width="27" style="115" customWidth="1"/>
    <col min="10" max="10" width="1.7109375" style="107" customWidth="1"/>
    <col min="11" max="11" width="14" style="110" bestFit="1" customWidth="1"/>
    <col min="12" max="12" width="12.140625" style="110" bestFit="1" customWidth="1"/>
    <col min="13" max="13" width="11.5703125" style="110" bestFit="1" customWidth="1"/>
    <col min="14" max="16" width="9.140625" style="110"/>
    <col min="17" max="16384" width="9.140625" style="107"/>
  </cols>
  <sheetData>
    <row r="1" spans="1:16" ht="16.899999999999999" customHeight="1" x14ac:dyDescent="0.25">
      <c r="A1" s="213" t="str">
        <f>'Att(1of6)(JP-Non)'!A1:L1</f>
        <v>BIG RIVERS ELECTRIC CORPORATION</v>
      </c>
      <c r="B1" s="227"/>
      <c r="C1" s="227"/>
      <c r="D1" s="227"/>
      <c r="E1" s="227"/>
      <c r="F1" s="227"/>
      <c r="G1" s="227"/>
      <c r="H1" s="227"/>
      <c r="I1" s="227"/>
      <c r="J1" s="227"/>
      <c r="K1" s="107"/>
      <c r="L1" s="109"/>
      <c r="M1" s="109"/>
      <c r="N1" s="109"/>
      <c r="O1" s="107"/>
      <c r="P1" s="107"/>
    </row>
    <row r="2" spans="1:16" ht="16.899999999999999" customHeight="1" x14ac:dyDescent="0.25">
      <c r="A2" s="213" t="str">
        <f>'Att(1of6)(JP-Non)'!A2:L2</f>
        <v>Six-Month Environmental Surcharge Review (Case No. 2025-00052)</v>
      </c>
      <c r="B2" s="227"/>
      <c r="C2" s="227"/>
      <c r="D2" s="227"/>
      <c r="E2" s="227"/>
      <c r="F2" s="227"/>
      <c r="G2" s="227"/>
      <c r="H2" s="227"/>
      <c r="I2" s="227"/>
      <c r="J2" s="227"/>
      <c r="K2" s="107"/>
      <c r="L2" s="109"/>
      <c r="M2" s="109"/>
      <c r="N2" s="109"/>
      <c r="O2" s="107"/>
      <c r="P2" s="107"/>
    </row>
    <row r="3" spans="1:16" ht="16.899999999999999" customHeight="1" x14ac:dyDescent="0.25">
      <c r="A3" s="213" t="str">
        <f>'Att(1of6)(JP-Non)'!A3:L3</f>
        <v>Response to Commission Staff's First Request for Information dated April 3, 2025</v>
      </c>
      <c r="B3" s="227"/>
      <c r="C3" s="227"/>
      <c r="D3" s="227"/>
      <c r="E3" s="227"/>
      <c r="F3" s="227"/>
      <c r="G3" s="227"/>
      <c r="H3" s="227"/>
      <c r="I3" s="227"/>
      <c r="J3" s="227"/>
      <c r="K3" s="107"/>
      <c r="L3" s="109"/>
      <c r="M3" s="109"/>
      <c r="N3" s="109"/>
      <c r="O3" s="107"/>
      <c r="P3" s="107"/>
    </row>
    <row r="4" spans="1:16" ht="16.899999999999999" customHeight="1" x14ac:dyDescent="0.25">
      <c r="A4" s="213" t="s">
        <v>150</v>
      </c>
      <c r="B4" s="227"/>
      <c r="C4" s="227"/>
      <c r="D4" s="227"/>
      <c r="E4" s="227"/>
      <c r="F4" s="227"/>
      <c r="G4" s="227"/>
      <c r="H4" s="227"/>
      <c r="I4" s="227"/>
      <c r="J4" s="227"/>
      <c r="K4" s="107"/>
      <c r="L4" s="109"/>
      <c r="M4" s="109"/>
      <c r="N4" s="109"/>
      <c r="O4" s="107"/>
      <c r="P4" s="107"/>
    </row>
    <row r="5" spans="1:16" s="120" customFormat="1" ht="9" customHeight="1" x14ac:dyDescent="0.25">
      <c r="A5" s="108"/>
      <c r="B5" s="108"/>
      <c r="C5" s="108"/>
      <c r="D5" s="130"/>
      <c r="E5" s="130"/>
      <c r="F5" s="112"/>
      <c r="G5" s="112"/>
      <c r="H5" s="112"/>
      <c r="I5" s="112"/>
      <c r="K5" s="133"/>
      <c r="L5" s="133"/>
      <c r="M5" s="133"/>
      <c r="N5" s="133"/>
      <c r="O5" s="133"/>
      <c r="P5" s="133"/>
    </row>
    <row r="6" spans="1:16" ht="17.100000000000001" customHeight="1" x14ac:dyDescent="0.25">
      <c r="B6" s="228" t="s">
        <v>101</v>
      </c>
      <c r="C6" s="229"/>
      <c r="D6" s="229"/>
      <c r="E6" s="229"/>
      <c r="F6" s="229"/>
      <c r="G6" s="229"/>
      <c r="H6" s="229"/>
      <c r="I6" s="230"/>
    </row>
    <row r="7" spans="1:16" ht="17.100000000000001" customHeight="1" x14ac:dyDescent="0.25">
      <c r="B7" s="231" t="s">
        <v>106</v>
      </c>
      <c r="C7" s="232"/>
      <c r="D7" s="232"/>
      <c r="E7" s="232"/>
      <c r="F7" s="232"/>
      <c r="G7" s="232"/>
      <c r="H7" s="232"/>
      <c r="I7" s="233"/>
    </row>
    <row r="8" spans="1:16" ht="17.100000000000001" customHeight="1" x14ac:dyDescent="0.25">
      <c r="B8" s="108" t="s">
        <v>1</v>
      </c>
      <c r="C8" s="108" t="s">
        <v>2</v>
      </c>
      <c r="D8" s="113" t="s">
        <v>3</v>
      </c>
      <c r="E8" s="113" t="s">
        <v>4</v>
      </c>
      <c r="F8" s="114" t="s">
        <v>5</v>
      </c>
      <c r="G8" s="114" t="s">
        <v>6</v>
      </c>
      <c r="H8" s="136" t="s">
        <v>94</v>
      </c>
      <c r="I8" s="136" t="s">
        <v>95</v>
      </c>
    </row>
    <row r="9" spans="1:16" ht="17.100000000000001" customHeight="1" x14ac:dyDescent="0.25">
      <c r="B9" s="211" t="s">
        <v>103</v>
      </c>
      <c r="C9" s="211" t="s">
        <v>105</v>
      </c>
      <c r="D9" s="211" t="s">
        <v>92</v>
      </c>
      <c r="E9" s="211" t="s">
        <v>93</v>
      </c>
      <c r="F9" s="211" t="s">
        <v>112</v>
      </c>
      <c r="G9" s="211" t="s">
        <v>108</v>
      </c>
      <c r="H9" s="211" t="s">
        <v>131</v>
      </c>
      <c r="I9" s="211" t="s">
        <v>110</v>
      </c>
    </row>
    <row r="10" spans="1:16" ht="17.100000000000001" customHeight="1" x14ac:dyDescent="0.25">
      <c r="B10" s="211"/>
      <c r="C10" s="211"/>
      <c r="D10" s="211"/>
      <c r="E10" s="211"/>
      <c r="F10" s="211"/>
      <c r="G10" s="211"/>
      <c r="H10" s="211"/>
      <c r="I10" s="211"/>
    </row>
    <row r="11" spans="1:16" ht="17.100000000000001" customHeight="1" x14ac:dyDescent="0.25">
      <c r="B11" s="211"/>
      <c r="C11" s="211"/>
      <c r="D11" s="211"/>
      <c r="E11" s="211"/>
      <c r="F11" s="211"/>
      <c r="G11" s="211"/>
      <c r="H11" s="211"/>
      <c r="I11" s="211"/>
    </row>
    <row r="12" spans="1:16" ht="17.100000000000001" hidden="1" customHeight="1" outlineLevel="1" x14ac:dyDescent="0.25">
      <c r="B12" s="156"/>
      <c r="C12" s="155"/>
      <c r="D12" s="117">
        <v>39995</v>
      </c>
      <c r="E12" s="163"/>
      <c r="F12" s="121">
        <v>857385</v>
      </c>
      <c r="G12" s="163"/>
      <c r="H12" s="121">
        <f>+F12</f>
        <v>857385</v>
      </c>
      <c r="I12" s="121">
        <f>+F12-H12</f>
        <v>0</v>
      </c>
    </row>
    <row r="13" spans="1:16" ht="17.100000000000001" hidden="1" customHeight="1" outlineLevel="1" x14ac:dyDescent="0.25">
      <c r="B13" s="156"/>
      <c r="C13" s="155"/>
      <c r="D13" s="117">
        <f t="shared" ref="D13:D49" si="0">EOMONTH(D12,1)</f>
        <v>40056</v>
      </c>
      <c r="E13" s="163"/>
      <c r="F13" s="121">
        <v>1518125</v>
      </c>
      <c r="G13" s="163"/>
      <c r="H13" s="121">
        <f>+F13</f>
        <v>1518125</v>
      </c>
      <c r="I13" s="121">
        <f t="shared" ref="I13:I76" si="1">+F13-H13</f>
        <v>0</v>
      </c>
    </row>
    <row r="14" spans="1:16" ht="17.100000000000001" hidden="1" customHeight="1" outlineLevel="1" x14ac:dyDescent="0.25">
      <c r="B14" s="156"/>
      <c r="C14" s="155"/>
      <c r="D14" s="117">
        <f t="shared" si="0"/>
        <v>40086</v>
      </c>
      <c r="E14" s="163"/>
      <c r="F14" s="121">
        <v>1343562</v>
      </c>
      <c r="G14" s="163"/>
      <c r="H14" s="121">
        <f t="shared" ref="H14:H77" si="2">+F14</f>
        <v>1343562</v>
      </c>
      <c r="I14" s="121">
        <f t="shared" si="1"/>
        <v>0</v>
      </c>
    </row>
    <row r="15" spans="1:16" ht="17.100000000000001" hidden="1" customHeight="1" outlineLevel="1" x14ac:dyDescent="0.25">
      <c r="B15" s="156"/>
      <c r="C15" s="155"/>
      <c r="D15" s="117">
        <f t="shared" si="0"/>
        <v>40117</v>
      </c>
      <c r="E15" s="163"/>
      <c r="F15" s="121">
        <v>1587061</v>
      </c>
      <c r="G15" s="163"/>
      <c r="H15" s="121">
        <f t="shared" si="2"/>
        <v>1587061</v>
      </c>
      <c r="I15" s="121">
        <f t="shared" si="1"/>
        <v>0</v>
      </c>
    </row>
    <row r="16" spans="1:16" ht="17.100000000000001" hidden="1" customHeight="1" outlineLevel="1" x14ac:dyDescent="0.25">
      <c r="B16" s="156"/>
      <c r="C16" s="155"/>
      <c r="D16" s="117">
        <f t="shared" si="0"/>
        <v>40147</v>
      </c>
      <c r="E16" s="163"/>
      <c r="F16" s="121">
        <v>1272585</v>
      </c>
      <c r="G16" s="163"/>
      <c r="H16" s="121">
        <f t="shared" si="2"/>
        <v>1272585</v>
      </c>
      <c r="I16" s="121">
        <f t="shared" si="1"/>
        <v>0</v>
      </c>
    </row>
    <row r="17" spans="2:9" ht="17.100000000000001" hidden="1" customHeight="1" outlineLevel="1" x14ac:dyDescent="0.25">
      <c r="B17" s="156"/>
      <c r="C17" s="155"/>
      <c r="D17" s="117">
        <f t="shared" si="0"/>
        <v>40178</v>
      </c>
      <c r="E17" s="163"/>
      <c r="F17" s="121">
        <v>1464196</v>
      </c>
      <c r="G17" s="163"/>
      <c r="H17" s="121">
        <f t="shared" si="2"/>
        <v>1464196</v>
      </c>
      <c r="I17" s="121">
        <f t="shared" si="1"/>
        <v>0</v>
      </c>
    </row>
    <row r="18" spans="2:9" ht="17.100000000000001" hidden="1" customHeight="1" outlineLevel="1" x14ac:dyDescent="0.25">
      <c r="B18" s="156"/>
      <c r="C18" s="155"/>
      <c r="D18" s="117">
        <f t="shared" si="0"/>
        <v>40209</v>
      </c>
      <c r="E18" s="163"/>
      <c r="F18" s="121">
        <v>1347962</v>
      </c>
      <c r="G18" s="163"/>
      <c r="H18" s="121">
        <f t="shared" si="2"/>
        <v>1347962</v>
      </c>
      <c r="I18" s="121">
        <f t="shared" si="1"/>
        <v>0</v>
      </c>
    </row>
    <row r="19" spans="2:9" ht="17.100000000000001" hidden="1" customHeight="1" outlineLevel="1" x14ac:dyDescent="0.25">
      <c r="B19" s="156"/>
      <c r="C19" s="155"/>
      <c r="D19" s="117">
        <f t="shared" si="0"/>
        <v>40237</v>
      </c>
      <c r="E19" s="163"/>
      <c r="F19" s="121">
        <v>1140552</v>
      </c>
      <c r="G19" s="163"/>
      <c r="H19" s="121">
        <f t="shared" si="2"/>
        <v>1140552</v>
      </c>
      <c r="I19" s="121">
        <f t="shared" si="1"/>
        <v>0</v>
      </c>
    </row>
    <row r="20" spans="2:9" ht="17.100000000000001" hidden="1" customHeight="1" outlineLevel="1" x14ac:dyDescent="0.25">
      <c r="B20" s="156"/>
      <c r="C20" s="155"/>
      <c r="D20" s="117">
        <f t="shared" si="0"/>
        <v>40268</v>
      </c>
      <c r="E20" s="163"/>
      <c r="F20" s="121">
        <v>1440039</v>
      </c>
      <c r="G20" s="163"/>
      <c r="H20" s="121">
        <f t="shared" si="2"/>
        <v>1440039</v>
      </c>
      <c r="I20" s="121">
        <f t="shared" si="1"/>
        <v>0</v>
      </c>
    </row>
    <row r="21" spans="2:9" ht="17.100000000000001" hidden="1" customHeight="1" outlineLevel="1" x14ac:dyDescent="0.25">
      <c r="B21" s="156"/>
      <c r="C21" s="155"/>
      <c r="D21" s="117">
        <f t="shared" si="0"/>
        <v>40298</v>
      </c>
      <c r="E21" s="163"/>
      <c r="F21" s="121">
        <v>1541331</v>
      </c>
      <c r="G21" s="163"/>
      <c r="H21" s="121">
        <f t="shared" si="2"/>
        <v>1541331</v>
      </c>
      <c r="I21" s="121">
        <f t="shared" si="1"/>
        <v>0</v>
      </c>
    </row>
    <row r="22" spans="2:9" ht="17.100000000000001" hidden="1" customHeight="1" outlineLevel="1" x14ac:dyDescent="0.25">
      <c r="B22" s="156"/>
      <c r="C22" s="155"/>
      <c r="D22" s="117">
        <f t="shared" si="0"/>
        <v>40329</v>
      </c>
      <c r="E22" s="163"/>
      <c r="F22" s="121">
        <v>1506722</v>
      </c>
      <c r="G22" s="163"/>
      <c r="H22" s="121">
        <f t="shared" si="2"/>
        <v>1506722</v>
      </c>
      <c r="I22" s="121">
        <f t="shared" si="1"/>
        <v>0</v>
      </c>
    </row>
    <row r="23" spans="2:9" ht="17.100000000000001" hidden="1" customHeight="1" outlineLevel="1" x14ac:dyDescent="0.25">
      <c r="B23" s="156"/>
      <c r="C23" s="155"/>
      <c r="D23" s="117">
        <f t="shared" si="0"/>
        <v>40359</v>
      </c>
      <c r="E23" s="163"/>
      <c r="F23" s="121">
        <v>1482852</v>
      </c>
      <c r="G23" s="163"/>
      <c r="H23" s="121">
        <f t="shared" si="2"/>
        <v>1482852</v>
      </c>
      <c r="I23" s="121">
        <f t="shared" si="1"/>
        <v>0</v>
      </c>
    </row>
    <row r="24" spans="2:9" ht="17.100000000000001" hidden="1" customHeight="1" outlineLevel="1" x14ac:dyDescent="0.25">
      <c r="B24" s="156"/>
      <c r="C24" s="155"/>
      <c r="D24" s="117">
        <f t="shared" si="0"/>
        <v>40390</v>
      </c>
      <c r="E24" s="163"/>
      <c r="F24" s="121">
        <v>1654242</v>
      </c>
      <c r="G24" s="163"/>
      <c r="H24" s="121">
        <f t="shared" si="2"/>
        <v>1654242</v>
      </c>
      <c r="I24" s="121">
        <f t="shared" si="1"/>
        <v>0</v>
      </c>
    </row>
    <row r="25" spans="2:9" ht="17.100000000000001" hidden="1" customHeight="1" outlineLevel="1" x14ac:dyDescent="0.25">
      <c r="B25" s="156"/>
      <c r="C25" s="155"/>
      <c r="D25" s="117">
        <f t="shared" si="0"/>
        <v>40421</v>
      </c>
      <c r="E25" s="163"/>
      <c r="F25" s="121">
        <v>1596061</v>
      </c>
      <c r="G25" s="163"/>
      <c r="H25" s="121">
        <f t="shared" si="2"/>
        <v>1596061</v>
      </c>
      <c r="I25" s="121">
        <f t="shared" si="1"/>
        <v>0</v>
      </c>
    </row>
    <row r="26" spans="2:9" ht="17.100000000000001" hidden="1" customHeight="1" outlineLevel="1" x14ac:dyDescent="0.25">
      <c r="B26" s="156"/>
      <c r="C26" s="155"/>
      <c r="D26" s="117">
        <f t="shared" si="0"/>
        <v>40451</v>
      </c>
      <c r="E26" s="163"/>
      <c r="F26" s="121">
        <v>1460359</v>
      </c>
      <c r="G26" s="163"/>
      <c r="H26" s="121">
        <f t="shared" si="2"/>
        <v>1460359</v>
      </c>
      <c r="I26" s="121">
        <f t="shared" si="1"/>
        <v>0</v>
      </c>
    </row>
    <row r="27" spans="2:9" ht="17.100000000000001" hidden="1" customHeight="1" outlineLevel="1" x14ac:dyDescent="0.25">
      <c r="B27" s="156"/>
      <c r="C27" s="155"/>
      <c r="D27" s="117">
        <f t="shared" si="0"/>
        <v>40482</v>
      </c>
      <c r="E27" s="163"/>
      <c r="F27" s="121">
        <v>1578935</v>
      </c>
      <c r="G27" s="163"/>
      <c r="H27" s="121">
        <f t="shared" si="2"/>
        <v>1578935</v>
      </c>
      <c r="I27" s="121">
        <f t="shared" si="1"/>
        <v>0</v>
      </c>
    </row>
    <row r="28" spans="2:9" ht="17.100000000000001" hidden="1" customHeight="1" outlineLevel="1" x14ac:dyDescent="0.25">
      <c r="B28" s="156"/>
      <c r="C28" s="155"/>
      <c r="D28" s="117">
        <f t="shared" si="0"/>
        <v>40512</v>
      </c>
      <c r="E28" s="163"/>
      <c r="F28" s="121">
        <v>1804942</v>
      </c>
      <c r="G28" s="163"/>
      <c r="H28" s="121">
        <f t="shared" si="2"/>
        <v>1804942</v>
      </c>
      <c r="I28" s="121">
        <f t="shared" si="1"/>
        <v>0</v>
      </c>
    </row>
    <row r="29" spans="2:9" ht="17.100000000000001" hidden="1" customHeight="1" outlineLevel="1" x14ac:dyDescent="0.25">
      <c r="B29" s="156"/>
      <c r="C29" s="155"/>
      <c r="D29" s="117">
        <f t="shared" si="0"/>
        <v>40543</v>
      </c>
      <c r="E29" s="163"/>
      <c r="F29" s="121">
        <v>1593085</v>
      </c>
      <c r="G29" s="163"/>
      <c r="H29" s="121">
        <f t="shared" si="2"/>
        <v>1593085</v>
      </c>
      <c r="I29" s="121">
        <f t="shared" si="1"/>
        <v>0</v>
      </c>
    </row>
    <row r="30" spans="2:9" ht="17.100000000000001" hidden="1" customHeight="1" outlineLevel="1" x14ac:dyDescent="0.25">
      <c r="B30" s="156"/>
      <c r="C30" s="155"/>
      <c r="D30" s="117">
        <f t="shared" si="0"/>
        <v>40574</v>
      </c>
      <c r="E30" s="163"/>
      <c r="F30" s="121">
        <v>1443240</v>
      </c>
      <c r="G30" s="163"/>
      <c r="H30" s="121">
        <f t="shared" si="2"/>
        <v>1443240</v>
      </c>
      <c r="I30" s="121">
        <f t="shared" si="1"/>
        <v>0</v>
      </c>
    </row>
    <row r="31" spans="2:9" ht="17.100000000000001" hidden="1" customHeight="1" outlineLevel="1" x14ac:dyDescent="0.25">
      <c r="B31" s="156"/>
      <c r="C31" s="155"/>
      <c r="D31" s="117">
        <f t="shared" si="0"/>
        <v>40602</v>
      </c>
      <c r="E31" s="163"/>
      <c r="F31" s="121">
        <v>1156760</v>
      </c>
      <c r="G31" s="163"/>
      <c r="H31" s="121">
        <f t="shared" si="2"/>
        <v>1156760</v>
      </c>
      <c r="I31" s="121">
        <f t="shared" si="1"/>
        <v>0</v>
      </c>
    </row>
    <row r="32" spans="2:9" ht="17.100000000000001" hidden="1" customHeight="1" outlineLevel="1" x14ac:dyDescent="0.25">
      <c r="B32" s="156"/>
      <c r="C32" s="155"/>
      <c r="D32" s="117">
        <f t="shared" si="0"/>
        <v>40633</v>
      </c>
      <c r="E32" s="163"/>
      <c r="F32" s="121">
        <v>1398782</v>
      </c>
      <c r="G32" s="163"/>
      <c r="H32" s="121">
        <f t="shared" si="2"/>
        <v>1398782</v>
      </c>
      <c r="I32" s="121">
        <f t="shared" si="1"/>
        <v>0</v>
      </c>
    </row>
    <row r="33" spans="2:9" ht="17.100000000000001" hidden="1" customHeight="1" outlineLevel="1" x14ac:dyDescent="0.25">
      <c r="B33" s="156"/>
      <c r="C33" s="155"/>
      <c r="D33" s="117">
        <f t="shared" si="0"/>
        <v>40663</v>
      </c>
      <c r="E33" s="163"/>
      <c r="F33" s="121">
        <v>1589795</v>
      </c>
      <c r="G33" s="163"/>
      <c r="H33" s="121">
        <f t="shared" si="2"/>
        <v>1589795</v>
      </c>
      <c r="I33" s="121">
        <f t="shared" si="1"/>
        <v>0</v>
      </c>
    </row>
    <row r="34" spans="2:9" ht="17.100000000000001" hidden="1" customHeight="1" outlineLevel="1" x14ac:dyDescent="0.25">
      <c r="B34" s="156"/>
      <c r="C34" s="155"/>
      <c r="D34" s="117">
        <f t="shared" si="0"/>
        <v>40694</v>
      </c>
      <c r="E34" s="163"/>
      <c r="F34" s="121">
        <v>1217867</v>
      </c>
      <c r="G34" s="163"/>
      <c r="H34" s="121">
        <f t="shared" si="2"/>
        <v>1217867</v>
      </c>
      <c r="I34" s="121">
        <f t="shared" si="1"/>
        <v>0</v>
      </c>
    </row>
    <row r="35" spans="2:9" ht="17.100000000000001" hidden="1" customHeight="1" outlineLevel="1" x14ac:dyDescent="0.25">
      <c r="B35" s="156"/>
      <c r="C35" s="155"/>
      <c r="D35" s="117">
        <f t="shared" si="0"/>
        <v>40724</v>
      </c>
      <c r="E35" s="163"/>
      <c r="F35" s="121">
        <v>1530732</v>
      </c>
      <c r="G35" s="163"/>
      <c r="H35" s="121">
        <f t="shared" si="2"/>
        <v>1530732</v>
      </c>
      <c r="I35" s="121">
        <f t="shared" si="1"/>
        <v>0</v>
      </c>
    </row>
    <row r="36" spans="2:9" ht="17.100000000000001" hidden="1" customHeight="1" outlineLevel="1" x14ac:dyDescent="0.25">
      <c r="B36" s="156"/>
      <c r="C36" s="155"/>
      <c r="D36" s="117">
        <f t="shared" si="0"/>
        <v>40755</v>
      </c>
      <c r="E36" s="163"/>
      <c r="F36" s="121">
        <v>1462904</v>
      </c>
      <c r="G36" s="163"/>
      <c r="H36" s="121">
        <f t="shared" si="2"/>
        <v>1462904</v>
      </c>
      <c r="I36" s="121">
        <f t="shared" si="1"/>
        <v>0</v>
      </c>
    </row>
    <row r="37" spans="2:9" ht="17.100000000000001" hidden="1" customHeight="1" outlineLevel="1" x14ac:dyDescent="0.25">
      <c r="B37" s="156"/>
      <c r="C37" s="155"/>
      <c r="D37" s="117">
        <f t="shared" si="0"/>
        <v>40786</v>
      </c>
      <c r="E37" s="163"/>
      <c r="F37" s="121">
        <v>1523959</v>
      </c>
      <c r="G37" s="163"/>
      <c r="H37" s="121">
        <f t="shared" si="2"/>
        <v>1523959</v>
      </c>
      <c r="I37" s="121">
        <f t="shared" si="1"/>
        <v>0</v>
      </c>
    </row>
    <row r="38" spans="2:9" ht="17.100000000000001" hidden="1" customHeight="1" outlineLevel="1" x14ac:dyDescent="0.25">
      <c r="B38" s="156"/>
      <c r="C38" s="155"/>
      <c r="D38" s="117">
        <f t="shared" si="0"/>
        <v>40816</v>
      </c>
      <c r="E38" s="163"/>
      <c r="F38" s="121">
        <v>1294421</v>
      </c>
      <c r="G38" s="163"/>
      <c r="H38" s="121">
        <f t="shared" si="2"/>
        <v>1294421</v>
      </c>
      <c r="I38" s="121">
        <f t="shared" si="1"/>
        <v>0</v>
      </c>
    </row>
    <row r="39" spans="2:9" ht="17.100000000000001" hidden="1" customHeight="1" outlineLevel="1" x14ac:dyDescent="0.25">
      <c r="B39" s="156"/>
      <c r="C39" s="155"/>
      <c r="D39" s="117">
        <f t="shared" si="0"/>
        <v>40847</v>
      </c>
      <c r="E39" s="163"/>
      <c r="F39" s="121">
        <v>1693436</v>
      </c>
      <c r="G39" s="163"/>
      <c r="H39" s="121">
        <f t="shared" si="2"/>
        <v>1693436</v>
      </c>
      <c r="I39" s="121">
        <f t="shared" si="1"/>
        <v>0</v>
      </c>
    </row>
    <row r="40" spans="2:9" ht="17.100000000000001" hidden="1" customHeight="1" outlineLevel="1" x14ac:dyDescent="0.25">
      <c r="B40" s="156"/>
      <c r="C40" s="155"/>
      <c r="D40" s="117">
        <f t="shared" si="0"/>
        <v>40877</v>
      </c>
      <c r="E40" s="163"/>
      <c r="F40" s="121">
        <v>1875153</v>
      </c>
      <c r="G40" s="163"/>
      <c r="H40" s="121">
        <f t="shared" si="2"/>
        <v>1875153</v>
      </c>
      <c r="I40" s="121">
        <f t="shared" si="1"/>
        <v>0</v>
      </c>
    </row>
    <row r="41" spans="2:9" ht="17.100000000000001" hidden="1" customHeight="1" outlineLevel="1" x14ac:dyDescent="0.25">
      <c r="B41" s="156"/>
      <c r="C41" s="155"/>
      <c r="D41" s="117">
        <f t="shared" si="0"/>
        <v>40908</v>
      </c>
      <c r="E41" s="163"/>
      <c r="F41" s="121">
        <v>1601460</v>
      </c>
      <c r="G41" s="163"/>
      <c r="H41" s="121">
        <f t="shared" si="2"/>
        <v>1601460</v>
      </c>
      <c r="I41" s="121">
        <f t="shared" si="1"/>
        <v>0</v>
      </c>
    </row>
    <row r="42" spans="2:9" ht="17.100000000000001" hidden="1" customHeight="1" outlineLevel="1" x14ac:dyDescent="0.25">
      <c r="B42" s="156"/>
      <c r="C42" s="155"/>
      <c r="D42" s="117">
        <f t="shared" si="0"/>
        <v>40939</v>
      </c>
      <c r="E42" s="163"/>
      <c r="F42" s="121">
        <v>1645740</v>
      </c>
      <c r="G42" s="163"/>
      <c r="H42" s="121">
        <f t="shared" si="2"/>
        <v>1645740</v>
      </c>
      <c r="I42" s="121">
        <f t="shared" si="1"/>
        <v>0</v>
      </c>
    </row>
    <row r="43" spans="2:9" ht="17.100000000000001" hidden="1" customHeight="1" outlineLevel="1" x14ac:dyDescent="0.25">
      <c r="B43" s="156"/>
      <c r="C43" s="155"/>
      <c r="D43" s="117">
        <f t="shared" si="0"/>
        <v>40968</v>
      </c>
      <c r="E43" s="163"/>
      <c r="F43" s="121">
        <v>1279677.3400000001</v>
      </c>
      <c r="G43" s="163"/>
      <c r="H43" s="121">
        <f t="shared" si="2"/>
        <v>1279677.3400000001</v>
      </c>
      <c r="I43" s="121">
        <f t="shared" si="1"/>
        <v>0</v>
      </c>
    </row>
    <row r="44" spans="2:9" ht="17.100000000000001" hidden="1" customHeight="1" outlineLevel="1" x14ac:dyDescent="0.25">
      <c r="B44" s="156"/>
      <c r="C44" s="155"/>
      <c r="D44" s="117">
        <f t="shared" si="0"/>
        <v>40999</v>
      </c>
      <c r="E44" s="163"/>
      <c r="F44" s="121">
        <v>1406362</v>
      </c>
      <c r="G44" s="163"/>
      <c r="H44" s="121">
        <f t="shared" si="2"/>
        <v>1406362</v>
      </c>
      <c r="I44" s="121">
        <f t="shared" si="1"/>
        <v>0</v>
      </c>
    </row>
    <row r="45" spans="2:9" ht="17.100000000000001" hidden="1" customHeight="1" outlineLevel="1" x14ac:dyDescent="0.25">
      <c r="B45" s="156"/>
      <c r="C45" s="155"/>
      <c r="D45" s="117">
        <f t="shared" si="0"/>
        <v>41029</v>
      </c>
      <c r="E45" s="163"/>
      <c r="F45" s="121">
        <v>1586599</v>
      </c>
      <c r="G45" s="163"/>
      <c r="H45" s="121">
        <f t="shared" si="2"/>
        <v>1586599</v>
      </c>
      <c r="I45" s="121">
        <f t="shared" si="1"/>
        <v>0</v>
      </c>
    </row>
    <row r="46" spans="2:9" ht="17.100000000000001" hidden="1" customHeight="1" outlineLevel="1" x14ac:dyDescent="0.25">
      <c r="B46" s="156"/>
      <c r="C46" s="155"/>
      <c r="D46" s="117">
        <f t="shared" si="0"/>
        <v>41060</v>
      </c>
      <c r="E46" s="163"/>
      <c r="F46" s="121">
        <v>1362914</v>
      </c>
      <c r="G46" s="163"/>
      <c r="H46" s="121">
        <f t="shared" si="2"/>
        <v>1362914</v>
      </c>
      <c r="I46" s="121">
        <f t="shared" si="1"/>
        <v>0</v>
      </c>
    </row>
    <row r="47" spans="2:9" ht="17.100000000000001" hidden="1" customHeight="1" outlineLevel="1" x14ac:dyDescent="0.25">
      <c r="B47" s="156"/>
      <c r="C47" s="155"/>
      <c r="D47" s="117">
        <f t="shared" si="0"/>
        <v>41090</v>
      </c>
      <c r="E47" s="163"/>
      <c r="F47" s="121">
        <v>1523700</v>
      </c>
      <c r="G47" s="163"/>
      <c r="H47" s="121">
        <f t="shared" si="2"/>
        <v>1523700</v>
      </c>
      <c r="I47" s="121">
        <f t="shared" si="1"/>
        <v>0</v>
      </c>
    </row>
    <row r="48" spans="2:9" ht="17.100000000000001" hidden="1" customHeight="1" outlineLevel="1" x14ac:dyDescent="0.25">
      <c r="B48" s="156"/>
      <c r="C48" s="155"/>
      <c r="D48" s="117">
        <f t="shared" si="0"/>
        <v>41121</v>
      </c>
      <c r="E48" s="163"/>
      <c r="F48" s="121">
        <v>1460830</v>
      </c>
      <c r="G48" s="163"/>
      <c r="H48" s="121">
        <f t="shared" si="2"/>
        <v>1460830</v>
      </c>
      <c r="I48" s="121">
        <f t="shared" si="1"/>
        <v>0</v>
      </c>
    </row>
    <row r="49" spans="2:9" ht="17.100000000000001" hidden="1" customHeight="1" outlineLevel="1" x14ac:dyDescent="0.25">
      <c r="B49" s="156"/>
      <c r="C49" s="155"/>
      <c r="D49" s="117">
        <f t="shared" si="0"/>
        <v>41152</v>
      </c>
      <c r="E49" s="163"/>
      <c r="F49" s="121">
        <v>1588815</v>
      </c>
      <c r="G49" s="163"/>
      <c r="H49" s="121">
        <f t="shared" si="2"/>
        <v>1588815</v>
      </c>
      <c r="I49" s="121">
        <f t="shared" si="1"/>
        <v>0</v>
      </c>
    </row>
    <row r="50" spans="2:9" ht="17.100000000000001" hidden="1" customHeight="1" outlineLevel="1" x14ac:dyDescent="0.25">
      <c r="B50" s="156"/>
      <c r="C50" s="155"/>
      <c r="D50" s="117">
        <f t="shared" ref="D50:D90" si="3">EDATE(D49,1)</f>
        <v>41182</v>
      </c>
      <c r="E50" s="163"/>
      <c r="F50" s="121">
        <v>1413790</v>
      </c>
      <c r="G50" s="163"/>
      <c r="H50" s="121">
        <f t="shared" si="2"/>
        <v>1413790</v>
      </c>
      <c r="I50" s="121">
        <f t="shared" si="1"/>
        <v>0</v>
      </c>
    </row>
    <row r="51" spans="2:9" ht="17.100000000000001" hidden="1" customHeight="1" outlineLevel="1" x14ac:dyDescent="0.25">
      <c r="B51" s="156"/>
      <c r="C51" s="155"/>
      <c r="D51" s="117">
        <f t="shared" si="3"/>
        <v>41212</v>
      </c>
      <c r="E51" s="163"/>
      <c r="F51" s="121">
        <v>1655330</v>
      </c>
      <c r="G51" s="163"/>
      <c r="H51" s="121">
        <f t="shared" si="2"/>
        <v>1655330</v>
      </c>
      <c r="I51" s="121">
        <f t="shared" si="1"/>
        <v>0</v>
      </c>
    </row>
    <row r="52" spans="2:9" ht="17.100000000000001" hidden="1" customHeight="1" outlineLevel="1" x14ac:dyDescent="0.25">
      <c r="B52" s="156"/>
      <c r="C52" s="155"/>
      <c r="D52" s="117">
        <f t="shared" si="3"/>
        <v>41243</v>
      </c>
      <c r="E52" s="163"/>
      <c r="F52" s="121">
        <v>1458159</v>
      </c>
      <c r="G52" s="163"/>
      <c r="H52" s="121">
        <f t="shared" si="2"/>
        <v>1458159</v>
      </c>
      <c r="I52" s="121">
        <f t="shared" si="1"/>
        <v>0</v>
      </c>
    </row>
    <row r="53" spans="2:9" ht="17.100000000000001" hidden="1" customHeight="1" outlineLevel="1" x14ac:dyDescent="0.25">
      <c r="B53" s="156"/>
      <c r="C53" s="155"/>
      <c r="D53" s="117">
        <f t="shared" si="3"/>
        <v>41273</v>
      </c>
      <c r="E53" s="163"/>
      <c r="F53" s="121">
        <v>1543807</v>
      </c>
      <c r="G53" s="163"/>
      <c r="H53" s="121">
        <f t="shared" si="2"/>
        <v>1543807</v>
      </c>
      <c r="I53" s="121">
        <f t="shared" si="1"/>
        <v>0</v>
      </c>
    </row>
    <row r="54" spans="2:9" ht="17.100000000000001" hidden="1" customHeight="1" outlineLevel="1" x14ac:dyDescent="0.25">
      <c r="B54" s="156"/>
      <c r="C54" s="155"/>
      <c r="D54" s="117">
        <f t="shared" si="3"/>
        <v>41304</v>
      </c>
      <c r="E54" s="163"/>
      <c r="F54" s="121">
        <v>1596109.21</v>
      </c>
      <c r="G54" s="163"/>
      <c r="H54" s="121">
        <f t="shared" si="2"/>
        <v>1596109.21</v>
      </c>
      <c r="I54" s="121">
        <f t="shared" si="1"/>
        <v>0</v>
      </c>
    </row>
    <row r="55" spans="2:9" ht="17.100000000000001" hidden="1" customHeight="1" outlineLevel="1" x14ac:dyDescent="0.25">
      <c r="B55" s="156"/>
      <c r="C55" s="155"/>
      <c r="D55" s="117">
        <f t="shared" si="3"/>
        <v>41333</v>
      </c>
      <c r="E55" s="163"/>
      <c r="F55" s="121">
        <v>1484855.75</v>
      </c>
      <c r="G55" s="163"/>
      <c r="H55" s="121">
        <f t="shared" si="2"/>
        <v>1484855.75</v>
      </c>
      <c r="I55" s="121">
        <f t="shared" si="1"/>
        <v>0</v>
      </c>
    </row>
    <row r="56" spans="2:9" ht="17.100000000000001" hidden="1" customHeight="1" outlineLevel="1" x14ac:dyDescent="0.25">
      <c r="B56" s="156"/>
      <c r="C56" s="155"/>
      <c r="D56" s="117">
        <f t="shared" si="3"/>
        <v>41361</v>
      </c>
      <c r="E56" s="163"/>
      <c r="F56" s="121">
        <v>1468925.58</v>
      </c>
      <c r="G56" s="163"/>
      <c r="H56" s="121">
        <f t="shared" si="2"/>
        <v>1468925.58</v>
      </c>
      <c r="I56" s="121">
        <f t="shared" si="1"/>
        <v>0</v>
      </c>
    </row>
    <row r="57" spans="2:9" ht="17.100000000000001" hidden="1" customHeight="1" outlineLevel="1" x14ac:dyDescent="0.25">
      <c r="B57" s="156"/>
      <c r="C57" s="155"/>
      <c r="D57" s="117">
        <f t="shared" si="3"/>
        <v>41392</v>
      </c>
      <c r="E57" s="163"/>
      <c r="F57" s="121">
        <v>1516934.59</v>
      </c>
      <c r="G57" s="163"/>
      <c r="H57" s="121">
        <f t="shared" si="2"/>
        <v>1516934.59</v>
      </c>
      <c r="I57" s="121">
        <f t="shared" si="1"/>
        <v>0</v>
      </c>
    </row>
    <row r="58" spans="2:9" ht="17.100000000000001" hidden="1" customHeight="1" outlineLevel="1" x14ac:dyDescent="0.25">
      <c r="B58" s="156"/>
      <c r="C58" s="155"/>
      <c r="D58" s="117">
        <f t="shared" si="3"/>
        <v>41422</v>
      </c>
      <c r="E58" s="163"/>
      <c r="F58" s="121">
        <v>1516859.37</v>
      </c>
      <c r="G58" s="163"/>
      <c r="H58" s="121">
        <f t="shared" si="2"/>
        <v>1516859.37</v>
      </c>
      <c r="I58" s="121">
        <f t="shared" si="1"/>
        <v>0</v>
      </c>
    </row>
    <row r="59" spans="2:9" ht="17.100000000000001" hidden="1" customHeight="1" outlineLevel="1" x14ac:dyDescent="0.25">
      <c r="B59" s="156"/>
      <c r="C59" s="155"/>
      <c r="D59" s="117">
        <f t="shared" si="3"/>
        <v>41453</v>
      </c>
      <c r="E59" s="163"/>
      <c r="F59" s="121">
        <v>1578190.28</v>
      </c>
      <c r="G59" s="163"/>
      <c r="H59" s="121">
        <f t="shared" si="2"/>
        <v>1578190.28</v>
      </c>
      <c r="I59" s="121">
        <f t="shared" si="1"/>
        <v>0</v>
      </c>
    </row>
    <row r="60" spans="2:9" ht="17.100000000000001" hidden="1" customHeight="1" outlineLevel="1" x14ac:dyDescent="0.25">
      <c r="B60" s="156"/>
      <c r="C60" s="155"/>
      <c r="D60" s="117">
        <f t="shared" si="3"/>
        <v>41483</v>
      </c>
      <c r="E60" s="163"/>
      <c r="F60" s="121">
        <v>1580127.78</v>
      </c>
      <c r="G60" s="163"/>
      <c r="H60" s="121">
        <f t="shared" si="2"/>
        <v>1580127.78</v>
      </c>
      <c r="I60" s="121">
        <f t="shared" si="1"/>
        <v>0</v>
      </c>
    </row>
    <row r="61" spans="2:9" ht="17.100000000000001" hidden="1" customHeight="1" outlineLevel="1" x14ac:dyDescent="0.25">
      <c r="B61" s="156"/>
      <c r="C61" s="155"/>
      <c r="D61" s="117">
        <f t="shared" si="3"/>
        <v>41514</v>
      </c>
      <c r="E61" s="163"/>
      <c r="F61" s="121">
        <v>1370776.16</v>
      </c>
      <c r="G61" s="163"/>
      <c r="H61" s="121">
        <f t="shared" si="2"/>
        <v>1370776.16</v>
      </c>
      <c r="I61" s="121">
        <f t="shared" si="1"/>
        <v>0</v>
      </c>
    </row>
    <row r="62" spans="2:9" ht="17.100000000000001" hidden="1" customHeight="1" outlineLevel="1" x14ac:dyDescent="0.25">
      <c r="B62" s="156"/>
      <c r="C62" s="155"/>
      <c r="D62" s="117">
        <f t="shared" si="3"/>
        <v>41545</v>
      </c>
      <c r="E62" s="163"/>
      <c r="F62" s="121">
        <v>814725.8</v>
      </c>
      <c r="G62" s="163"/>
      <c r="H62" s="121">
        <f t="shared" si="2"/>
        <v>814725.8</v>
      </c>
      <c r="I62" s="121">
        <f t="shared" si="1"/>
        <v>0</v>
      </c>
    </row>
    <row r="63" spans="2:9" ht="17.100000000000001" hidden="1" customHeight="1" outlineLevel="1" x14ac:dyDescent="0.25">
      <c r="B63" s="156"/>
      <c r="C63" s="155"/>
      <c r="D63" s="117">
        <f t="shared" si="3"/>
        <v>41575</v>
      </c>
      <c r="E63" s="163"/>
      <c r="F63" s="121">
        <v>817684.61</v>
      </c>
      <c r="G63" s="163"/>
      <c r="H63" s="121">
        <f t="shared" si="2"/>
        <v>817684.61</v>
      </c>
      <c r="I63" s="121">
        <f t="shared" si="1"/>
        <v>0</v>
      </c>
    </row>
    <row r="64" spans="2:9" ht="17.100000000000001" hidden="1" customHeight="1" outlineLevel="1" x14ac:dyDescent="0.25">
      <c r="B64" s="156"/>
      <c r="C64" s="155"/>
      <c r="D64" s="117">
        <f t="shared" si="3"/>
        <v>41606</v>
      </c>
      <c r="E64" s="163"/>
      <c r="F64" s="121">
        <v>1053080.3500000001</v>
      </c>
      <c r="G64" s="163"/>
      <c r="H64" s="121">
        <f t="shared" si="2"/>
        <v>1053080.3500000001</v>
      </c>
      <c r="I64" s="121">
        <f t="shared" si="1"/>
        <v>0</v>
      </c>
    </row>
    <row r="65" spans="2:9" ht="17.100000000000001" hidden="1" customHeight="1" outlineLevel="1" x14ac:dyDescent="0.25">
      <c r="B65" s="156"/>
      <c r="C65" s="155"/>
      <c r="D65" s="117">
        <f t="shared" si="3"/>
        <v>41636</v>
      </c>
      <c r="E65" s="163"/>
      <c r="F65" s="121">
        <v>1024147.6</v>
      </c>
      <c r="G65" s="163"/>
      <c r="H65" s="121">
        <f t="shared" si="2"/>
        <v>1024147.6</v>
      </c>
      <c r="I65" s="121">
        <f t="shared" si="1"/>
        <v>0</v>
      </c>
    </row>
    <row r="66" spans="2:9" ht="17.100000000000001" hidden="1" customHeight="1" outlineLevel="1" x14ac:dyDescent="0.25">
      <c r="B66" s="156"/>
      <c r="C66" s="155"/>
      <c r="D66" s="117">
        <f t="shared" si="3"/>
        <v>41667</v>
      </c>
      <c r="E66" s="163"/>
      <c r="F66" s="121">
        <v>1130297.3</v>
      </c>
      <c r="G66" s="163"/>
      <c r="H66" s="121">
        <f t="shared" si="2"/>
        <v>1130297.3</v>
      </c>
      <c r="I66" s="121">
        <f t="shared" si="1"/>
        <v>0</v>
      </c>
    </row>
    <row r="67" spans="2:9" ht="17.100000000000001" hidden="1" customHeight="1" outlineLevel="1" x14ac:dyDescent="0.25">
      <c r="B67" s="156"/>
      <c r="C67" s="155"/>
      <c r="D67" s="117">
        <f t="shared" si="3"/>
        <v>41698</v>
      </c>
      <c r="E67" s="163"/>
      <c r="F67" s="121">
        <v>249785.02</v>
      </c>
      <c r="G67" s="163"/>
      <c r="H67" s="121">
        <f t="shared" si="2"/>
        <v>249785.02</v>
      </c>
      <c r="I67" s="121">
        <f t="shared" si="1"/>
        <v>0</v>
      </c>
    </row>
    <row r="68" spans="2:9" ht="17.100000000000001" hidden="1" customHeight="1" outlineLevel="1" x14ac:dyDescent="0.25">
      <c r="B68" s="156"/>
      <c r="C68" s="155"/>
      <c r="D68" s="117">
        <f t="shared" si="3"/>
        <v>41726</v>
      </c>
      <c r="E68" s="163"/>
      <c r="F68" s="121">
        <v>141504.07999999999</v>
      </c>
      <c r="G68" s="163"/>
      <c r="H68" s="121">
        <f t="shared" si="2"/>
        <v>141504.07999999999</v>
      </c>
      <c r="I68" s="121">
        <f t="shared" si="1"/>
        <v>0</v>
      </c>
    </row>
    <row r="69" spans="2:9" ht="17.100000000000001" hidden="1" customHeight="1" outlineLevel="1" x14ac:dyDescent="0.25">
      <c r="B69" s="156"/>
      <c r="C69" s="155"/>
      <c r="D69" s="117">
        <f t="shared" si="3"/>
        <v>41757</v>
      </c>
      <c r="E69" s="163"/>
      <c r="F69" s="121">
        <v>224176.66</v>
      </c>
      <c r="G69" s="163"/>
      <c r="H69" s="121">
        <f t="shared" si="2"/>
        <v>224176.66</v>
      </c>
      <c r="I69" s="121">
        <f t="shared" si="1"/>
        <v>0</v>
      </c>
    </row>
    <row r="70" spans="2:9" ht="17.100000000000001" hidden="1" customHeight="1" outlineLevel="1" x14ac:dyDescent="0.25">
      <c r="B70" s="156"/>
      <c r="C70" s="155"/>
      <c r="D70" s="117">
        <f t="shared" si="3"/>
        <v>41787</v>
      </c>
      <c r="E70" s="163"/>
      <c r="F70" s="121">
        <v>182793.68</v>
      </c>
      <c r="G70" s="163"/>
      <c r="H70" s="121">
        <f t="shared" si="2"/>
        <v>182793.68</v>
      </c>
      <c r="I70" s="121">
        <f t="shared" si="1"/>
        <v>0</v>
      </c>
    </row>
    <row r="71" spans="2:9" ht="17.100000000000001" hidden="1" customHeight="1" outlineLevel="1" x14ac:dyDescent="0.25">
      <c r="B71" s="156"/>
      <c r="C71" s="155"/>
      <c r="D71" s="117">
        <f t="shared" si="3"/>
        <v>41818</v>
      </c>
      <c r="E71" s="163"/>
      <c r="F71" s="121">
        <v>283172.86</v>
      </c>
      <c r="G71" s="163"/>
      <c r="H71" s="121">
        <f t="shared" si="2"/>
        <v>283172.86</v>
      </c>
      <c r="I71" s="121">
        <f t="shared" si="1"/>
        <v>0</v>
      </c>
    </row>
    <row r="72" spans="2:9" ht="17.100000000000001" hidden="1" customHeight="1" outlineLevel="1" x14ac:dyDescent="0.25">
      <c r="B72" s="156"/>
      <c r="C72" s="155"/>
      <c r="D72" s="117">
        <f t="shared" si="3"/>
        <v>41848</v>
      </c>
      <c r="E72" s="163"/>
      <c r="F72" s="121">
        <v>281738.7</v>
      </c>
      <c r="G72" s="163"/>
      <c r="H72" s="121">
        <f t="shared" si="2"/>
        <v>281738.7</v>
      </c>
      <c r="I72" s="121">
        <f t="shared" si="1"/>
        <v>0</v>
      </c>
    </row>
    <row r="73" spans="2:9" ht="17.100000000000001" hidden="1" customHeight="1" outlineLevel="1" x14ac:dyDescent="0.25">
      <c r="B73" s="156"/>
      <c r="C73" s="155"/>
      <c r="D73" s="117">
        <f t="shared" si="3"/>
        <v>41879</v>
      </c>
      <c r="E73" s="163"/>
      <c r="F73" s="121">
        <v>350957.18</v>
      </c>
      <c r="G73" s="163"/>
      <c r="H73" s="121">
        <f t="shared" si="2"/>
        <v>350957.18</v>
      </c>
      <c r="I73" s="121">
        <f t="shared" si="1"/>
        <v>0</v>
      </c>
    </row>
    <row r="74" spans="2:9" ht="17.100000000000001" hidden="1" customHeight="1" outlineLevel="1" x14ac:dyDescent="0.25">
      <c r="B74" s="156"/>
      <c r="C74" s="155"/>
      <c r="D74" s="117">
        <f t="shared" si="3"/>
        <v>41910</v>
      </c>
      <c r="E74" s="163"/>
      <c r="F74" s="121">
        <v>322796.03999999998</v>
      </c>
      <c r="G74" s="163"/>
      <c r="H74" s="121">
        <f t="shared" si="2"/>
        <v>322796.03999999998</v>
      </c>
      <c r="I74" s="121">
        <f t="shared" si="1"/>
        <v>0</v>
      </c>
    </row>
    <row r="75" spans="2:9" ht="17.100000000000001" hidden="1" customHeight="1" outlineLevel="1" x14ac:dyDescent="0.25">
      <c r="B75" s="156"/>
      <c r="C75" s="155"/>
      <c r="D75" s="117">
        <f t="shared" si="3"/>
        <v>41940</v>
      </c>
      <c r="E75" s="163"/>
      <c r="F75" s="121">
        <v>287419.69</v>
      </c>
      <c r="G75" s="163"/>
      <c r="H75" s="121">
        <f t="shared" si="2"/>
        <v>287419.69</v>
      </c>
      <c r="I75" s="121">
        <f t="shared" si="1"/>
        <v>0</v>
      </c>
    </row>
    <row r="76" spans="2:9" ht="17.100000000000001" hidden="1" customHeight="1" outlineLevel="1" x14ac:dyDescent="0.25">
      <c r="B76" s="156"/>
      <c r="C76" s="155"/>
      <c r="D76" s="117">
        <f t="shared" si="3"/>
        <v>41971</v>
      </c>
      <c r="E76" s="163"/>
      <c r="F76" s="121">
        <v>285636.49</v>
      </c>
      <c r="G76" s="163"/>
      <c r="H76" s="121">
        <f t="shared" si="2"/>
        <v>285636.49</v>
      </c>
      <c r="I76" s="121">
        <f t="shared" si="1"/>
        <v>0</v>
      </c>
    </row>
    <row r="77" spans="2:9" ht="17.100000000000001" hidden="1" customHeight="1" outlineLevel="1" x14ac:dyDescent="0.25">
      <c r="B77" s="156"/>
      <c r="C77" s="155"/>
      <c r="D77" s="117">
        <f t="shared" si="3"/>
        <v>42001</v>
      </c>
      <c r="E77" s="163"/>
      <c r="F77" s="121">
        <v>310670.18</v>
      </c>
      <c r="G77" s="163"/>
      <c r="H77" s="121">
        <f t="shared" si="2"/>
        <v>310670.18</v>
      </c>
      <c r="I77" s="121">
        <f t="shared" ref="I77:I97" si="4">+F77-H77</f>
        <v>0</v>
      </c>
    </row>
    <row r="78" spans="2:9" ht="17.100000000000001" hidden="1" customHeight="1" outlineLevel="1" x14ac:dyDescent="0.25">
      <c r="B78" s="156"/>
      <c r="C78" s="155"/>
      <c r="D78" s="117">
        <f t="shared" si="3"/>
        <v>42032</v>
      </c>
      <c r="E78" s="163"/>
      <c r="F78" s="121">
        <v>311735.17</v>
      </c>
      <c r="G78" s="163"/>
      <c r="H78" s="121">
        <f t="shared" ref="H78:H97" si="5">+F78</f>
        <v>311735.17</v>
      </c>
      <c r="I78" s="121">
        <f t="shared" si="4"/>
        <v>0</v>
      </c>
    </row>
    <row r="79" spans="2:9" ht="17.100000000000001" hidden="1" customHeight="1" outlineLevel="1" x14ac:dyDescent="0.25">
      <c r="B79" s="156"/>
      <c r="C79" s="155"/>
      <c r="D79" s="117">
        <f t="shared" si="3"/>
        <v>42063</v>
      </c>
      <c r="E79" s="163"/>
      <c r="F79" s="121">
        <v>303063.71000000002</v>
      </c>
      <c r="G79" s="163"/>
      <c r="H79" s="121">
        <f t="shared" si="5"/>
        <v>303063.71000000002</v>
      </c>
      <c r="I79" s="121">
        <f t="shared" si="4"/>
        <v>0</v>
      </c>
    </row>
    <row r="80" spans="2:9" ht="17.100000000000001" hidden="1" customHeight="1" outlineLevel="1" x14ac:dyDescent="0.25">
      <c r="B80" s="156"/>
      <c r="C80" s="155"/>
      <c r="D80" s="117">
        <f t="shared" si="3"/>
        <v>42091</v>
      </c>
      <c r="E80" s="163"/>
      <c r="F80" s="121">
        <v>209059.94</v>
      </c>
      <c r="G80" s="163"/>
      <c r="H80" s="121">
        <f t="shared" si="5"/>
        <v>209059.94</v>
      </c>
      <c r="I80" s="121">
        <f t="shared" si="4"/>
        <v>0</v>
      </c>
    </row>
    <row r="81" spans="2:9" ht="17.100000000000001" hidden="1" customHeight="1" outlineLevel="1" x14ac:dyDescent="0.25">
      <c r="B81" s="156"/>
      <c r="C81" s="155"/>
      <c r="D81" s="117">
        <f t="shared" si="3"/>
        <v>42122</v>
      </c>
      <c r="E81" s="163"/>
      <c r="F81" s="121">
        <v>157861.82999999999</v>
      </c>
      <c r="G81" s="163"/>
      <c r="H81" s="121">
        <f t="shared" si="5"/>
        <v>157861.82999999999</v>
      </c>
      <c r="I81" s="121">
        <f t="shared" si="4"/>
        <v>0</v>
      </c>
    </row>
    <row r="82" spans="2:9" ht="17.100000000000001" hidden="1" customHeight="1" outlineLevel="1" x14ac:dyDescent="0.25">
      <c r="B82" s="156"/>
      <c r="C82" s="155"/>
      <c r="D82" s="117">
        <f t="shared" si="3"/>
        <v>42152</v>
      </c>
      <c r="E82" s="163"/>
      <c r="F82" s="121">
        <v>158051.64000000001</v>
      </c>
      <c r="G82" s="163"/>
      <c r="H82" s="121">
        <f t="shared" si="5"/>
        <v>158051.64000000001</v>
      </c>
      <c r="I82" s="121">
        <f t="shared" si="4"/>
        <v>0</v>
      </c>
    </row>
    <row r="83" spans="2:9" ht="17.100000000000001" hidden="1" customHeight="1" outlineLevel="1" x14ac:dyDescent="0.25">
      <c r="B83" s="156"/>
      <c r="C83" s="155"/>
      <c r="D83" s="117">
        <f t="shared" si="3"/>
        <v>42183</v>
      </c>
      <c r="E83" s="163"/>
      <c r="F83" s="121">
        <v>334648.58</v>
      </c>
      <c r="G83" s="163"/>
      <c r="H83" s="121">
        <f t="shared" si="5"/>
        <v>334648.58</v>
      </c>
      <c r="I83" s="121">
        <f t="shared" si="4"/>
        <v>0</v>
      </c>
    </row>
    <row r="84" spans="2:9" ht="17.100000000000001" hidden="1" customHeight="1" outlineLevel="1" x14ac:dyDescent="0.25">
      <c r="B84" s="156"/>
      <c r="C84" s="155"/>
      <c r="D84" s="117">
        <f t="shared" si="3"/>
        <v>42213</v>
      </c>
      <c r="E84" s="163"/>
      <c r="F84" s="121">
        <v>227719.26</v>
      </c>
      <c r="G84" s="163"/>
      <c r="H84" s="121">
        <f t="shared" si="5"/>
        <v>227719.26</v>
      </c>
      <c r="I84" s="121">
        <f t="shared" si="4"/>
        <v>0</v>
      </c>
    </row>
    <row r="85" spans="2:9" ht="17.100000000000001" hidden="1" customHeight="1" outlineLevel="1" x14ac:dyDescent="0.25">
      <c r="B85" s="156"/>
      <c r="C85" s="155"/>
      <c r="D85" s="117">
        <f t="shared" si="3"/>
        <v>42244</v>
      </c>
      <c r="E85" s="163"/>
      <c r="F85" s="121">
        <v>280924.26</v>
      </c>
      <c r="G85" s="163"/>
      <c r="H85" s="121">
        <f t="shared" si="5"/>
        <v>280924.26</v>
      </c>
      <c r="I85" s="121">
        <f t="shared" si="4"/>
        <v>0</v>
      </c>
    </row>
    <row r="86" spans="2:9" ht="17.100000000000001" hidden="1" customHeight="1" outlineLevel="1" x14ac:dyDescent="0.25">
      <c r="B86" s="156"/>
      <c r="C86" s="155"/>
      <c r="D86" s="117">
        <f t="shared" si="3"/>
        <v>42275</v>
      </c>
      <c r="E86" s="163"/>
      <c r="F86" s="121">
        <v>221312.77</v>
      </c>
      <c r="G86" s="163"/>
      <c r="H86" s="121">
        <f t="shared" si="5"/>
        <v>221312.77</v>
      </c>
      <c r="I86" s="121">
        <f t="shared" si="4"/>
        <v>0</v>
      </c>
    </row>
    <row r="87" spans="2:9" ht="17.100000000000001" hidden="1" customHeight="1" outlineLevel="1" x14ac:dyDescent="0.25">
      <c r="B87" s="156"/>
      <c r="C87" s="155"/>
      <c r="D87" s="117">
        <f t="shared" si="3"/>
        <v>42305</v>
      </c>
      <c r="E87" s="163"/>
      <c r="F87" s="121">
        <v>255325.14</v>
      </c>
      <c r="G87" s="163"/>
      <c r="H87" s="121">
        <f t="shared" si="5"/>
        <v>255325.14</v>
      </c>
      <c r="I87" s="121">
        <f t="shared" si="4"/>
        <v>0</v>
      </c>
    </row>
    <row r="88" spans="2:9" ht="17.100000000000001" hidden="1" customHeight="1" outlineLevel="1" x14ac:dyDescent="0.25">
      <c r="B88" s="156"/>
      <c r="C88" s="155"/>
      <c r="D88" s="117">
        <f t="shared" si="3"/>
        <v>42336</v>
      </c>
      <c r="E88" s="163"/>
      <c r="F88" s="121">
        <v>190572.94</v>
      </c>
      <c r="G88" s="163"/>
      <c r="H88" s="121">
        <f t="shared" si="5"/>
        <v>190572.94</v>
      </c>
      <c r="I88" s="121">
        <f t="shared" si="4"/>
        <v>0</v>
      </c>
    </row>
    <row r="89" spans="2:9" ht="17.100000000000001" hidden="1" customHeight="1" outlineLevel="1" x14ac:dyDescent="0.25">
      <c r="B89" s="156"/>
      <c r="C89" s="155"/>
      <c r="D89" s="117">
        <f t="shared" si="3"/>
        <v>42366</v>
      </c>
      <c r="E89" s="163"/>
      <c r="F89" s="121">
        <v>281279.40000000002</v>
      </c>
      <c r="G89" s="163"/>
      <c r="H89" s="121">
        <f t="shared" si="5"/>
        <v>281279.40000000002</v>
      </c>
      <c r="I89" s="121">
        <f t="shared" si="4"/>
        <v>0</v>
      </c>
    </row>
    <row r="90" spans="2:9" ht="17.100000000000001" hidden="1" customHeight="1" outlineLevel="1" x14ac:dyDescent="0.25">
      <c r="B90" s="156"/>
      <c r="C90" s="155"/>
      <c r="D90" s="117">
        <f t="shared" si="3"/>
        <v>42397</v>
      </c>
      <c r="E90" s="163"/>
      <c r="F90" s="121">
        <v>326366.40000000002</v>
      </c>
      <c r="G90" s="163"/>
      <c r="H90" s="121">
        <f t="shared" si="5"/>
        <v>326366.40000000002</v>
      </c>
      <c r="I90" s="121">
        <f t="shared" si="4"/>
        <v>0</v>
      </c>
    </row>
    <row r="91" spans="2:9" ht="17.100000000000001" hidden="1" customHeight="1" outlineLevel="1" x14ac:dyDescent="0.25">
      <c r="B91" s="156"/>
      <c r="C91" s="155"/>
      <c r="D91" s="117">
        <f>EDATE(D90,1)</f>
        <v>42428</v>
      </c>
      <c r="E91" s="163"/>
      <c r="F91" s="121">
        <v>293358.46999999997</v>
      </c>
      <c r="G91" s="163"/>
      <c r="H91" s="121">
        <f t="shared" si="5"/>
        <v>293358.46999999997</v>
      </c>
      <c r="I91" s="121">
        <f t="shared" si="4"/>
        <v>0</v>
      </c>
    </row>
    <row r="92" spans="2:9" ht="17.100000000000001" hidden="1" customHeight="1" outlineLevel="1" x14ac:dyDescent="0.25">
      <c r="B92" s="156"/>
      <c r="C92" s="155"/>
      <c r="D92" s="117">
        <f t="shared" ref="D92:D155" si="6">EDATE(D91,1)</f>
        <v>42457</v>
      </c>
      <c r="E92" s="163"/>
      <c r="F92" s="121">
        <v>258890.38</v>
      </c>
      <c r="G92" s="163"/>
      <c r="H92" s="121">
        <f t="shared" si="5"/>
        <v>258890.38</v>
      </c>
      <c r="I92" s="121">
        <f t="shared" si="4"/>
        <v>0</v>
      </c>
    </row>
    <row r="93" spans="2:9" ht="17.100000000000001" hidden="1" customHeight="1" outlineLevel="1" x14ac:dyDescent="0.25">
      <c r="B93" s="156"/>
      <c r="C93" s="155"/>
      <c r="D93" s="117">
        <f t="shared" si="6"/>
        <v>42488</v>
      </c>
      <c r="E93" s="163"/>
      <c r="F93" s="121">
        <v>314704.05</v>
      </c>
      <c r="G93" s="163"/>
      <c r="H93" s="121">
        <f t="shared" si="5"/>
        <v>314704.05</v>
      </c>
      <c r="I93" s="121">
        <f t="shared" si="4"/>
        <v>0</v>
      </c>
    </row>
    <row r="94" spans="2:9" ht="17.100000000000001" hidden="1" customHeight="1" outlineLevel="1" x14ac:dyDescent="0.25">
      <c r="B94" s="156"/>
      <c r="C94" s="155"/>
      <c r="D94" s="117">
        <f t="shared" si="6"/>
        <v>42518</v>
      </c>
      <c r="E94" s="163"/>
      <c r="F94" s="121">
        <v>351371.11</v>
      </c>
      <c r="G94" s="163"/>
      <c r="H94" s="121">
        <f t="shared" si="5"/>
        <v>351371.11</v>
      </c>
      <c r="I94" s="121">
        <f t="shared" si="4"/>
        <v>0</v>
      </c>
    </row>
    <row r="95" spans="2:9" ht="17.100000000000001" hidden="1" customHeight="1" outlineLevel="1" x14ac:dyDescent="0.25">
      <c r="B95" s="156"/>
      <c r="C95" s="155"/>
      <c r="D95" s="117">
        <f t="shared" si="6"/>
        <v>42549</v>
      </c>
      <c r="E95" s="163"/>
      <c r="F95" s="121">
        <v>354669.33</v>
      </c>
      <c r="G95" s="163"/>
      <c r="H95" s="121">
        <f t="shared" si="5"/>
        <v>354669.33</v>
      </c>
      <c r="I95" s="121">
        <f t="shared" si="4"/>
        <v>0</v>
      </c>
    </row>
    <row r="96" spans="2:9" ht="17.100000000000001" hidden="1" customHeight="1" outlineLevel="1" x14ac:dyDescent="0.25">
      <c r="B96" s="156"/>
      <c r="C96" s="155"/>
      <c r="D96" s="117">
        <f t="shared" si="6"/>
        <v>42579</v>
      </c>
      <c r="E96" s="163"/>
      <c r="F96" s="121">
        <v>463673.76</v>
      </c>
      <c r="G96" s="163"/>
      <c r="H96" s="121">
        <f t="shared" si="5"/>
        <v>463673.76</v>
      </c>
      <c r="I96" s="121">
        <f t="shared" si="4"/>
        <v>0</v>
      </c>
    </row>
    <row r="97" spans="1:9" ht="17.100000000000001" hidden="1" customHeight="1" outlineLevel="1" x14ac:dyDescent="0.25">
      <c r="B97" s="156"/>
      <c r="C97" s="155"/>
      <c r="D97" s="117">
        <f t="shared" si="6"/>
        <v>42610</v>
      </c>
      <c r="E97" s="163"/>
      <c r="F97" s="121">
        <v>375745.12</v>
      </c>
      <c r="G97" s="163"/>
      <c r="H97" s="121">
        <f t="shared" si="5"/>
        <v>375745.12</v>
      </c>
      <c r="I97" s="121">
        <f t="shared" si="4"/>
        <v>0</v>
      </c>
    </row>
    <row r="98" spans="1:9" ht="17.100000000000001" hidden="1" customHeight="1" outlineLevel="1" x14ac:dyDescent="0.25">
      <c r="B98" s="156"/>
      <c r="C98" s="155"/>
      <c r="D98" s="117">
        <f t="shared" si="6"/>
        <v>42641</v>
      </c>
      <c r="E98" s="163"/>
      <c r="F98" s="121">
        <v>332121.49</v>
      </c>
      <c r="G98" s="163"/>
      <c r="H98" s="121">
        <f>+F98</f>
        <v>332121.49</v>
      </c>
      <c r="I98" s="121">
        <f>+F98-H98</f>
        <v>0</v>
      </c>
    </row>
    <row r="99" spans="1:9" ht="17.100000000000001" hidden="1" customHeight="1" outlineLevel="1" x14ac:dyDescent="0.25">
      <c r="B99" s="156"/>
      <c r="C99" s="155"/>
      <c r="D99" s="117">
        <f t="shared" si="6"/>
        <v>42671</v>
      </c>
      <c r="E99" s="163"/>
      <c r="F99" s="121">
        <v>289670.13</v>
      </c>
      <c r="G99" s="163"/>
      <c r="H99" s="121">
        <f t="shared" ref="H99:H133" si="7">+F99</f>
        <v>289670.13</v>
      </c>
      <c r="I99" s="121">
        <f t="shared" ref="I99:I133" si="8">+F99-H99</f>
        <v>0</v>
      </c>
    </row>
    <row r="100" spans="1:9" ht="17.100000000000001" hidden="1" customHeight="1" outlineLevel="1" x14ac:dyDescent="0.25">
      <c r="B100" s="156"/>
      <c r="C100" s="155"/>
      <c r="D100" s="117">
        <f t="shared" si="6"/>
        <v>42702</v>
      </c>
      <c r="E100" s="163"/>
      <c r="F100" s="121">
        <v>369264.38</v>
      </c>
      <c r="G100" s="163"/>
      <c r="H100" s="121">
        <f t="shared" si="7"/>
        <v>369264.38</v>
      </c>
      <c r="I100" s="121">
        <f t="shared" si="8"/>
        <v>0</v>
      </c>
    </row>
    <row r="101" spans="1:9" ht="17.100000000000001" hidden="1" customHeight="1" outlineLevel="1" x14ac:dyDescent="0.25">
      <c r="B101" s="156"/>
      <c r="C101" s="155"/>
      <c r="D101" s="117">
        <f t="shared" si="6"/>
        <v>42732</v>
      </c>
      <c r="E101" s="163"/>
      <c r="F101" s="121">
        <v>487769.33</v>
      </c>
      <c r="G101" s="163"/>
      <c r="H101" s="121">
        <f t="shared" si="7"/>
        <v>487769.33</v>
      </c>
      <c r="I101" s="121">
        <f t="shared" si="8"/>
        <v>0</v>
      </c>
    </row>
    <row r="102" spans="1:9" ht="17.100000000000001" hidden="1" customHeight="1" outlineLevel="1" x14ac:dyDescent="0.25">
      <c r="B102" s="156"/>
      <c r="C102" s="155"/>
      <c r="D102" s="117">
        <f t="shared" si="6"/>
        <v>42763</v>
      </c>
      <c r="E102" s="163"/>
      <c r="F102" s="121">
        <v>493657.45</v>
      </c>
      <c r="G102" s="163"/>
      <c r="H102" s="121">
        <f t="shared" si="7"/>
        <v>493657.45</v>
      </c>
      <c r="I102" s="121">
        <f t="shared" si="8"/>
        <v>0</v>
      </c>
    </row>
    <row r="103" spans="1:9" ht="17.100000000000001" hidden="1" customHeight="1" outlineLevel="1" x14ac:dyDescent="0.25">
      <c r="B103" s="156"/>
      <c r="C103" s="155"/>
      <c r="D103" s="117">
        <f t="shared" si="6"/>
        <v>42794</v>
      </c>
      <c r="E103" s="163"/>
      <c r="F103" s="121">
        <v>367067</v>
      </c>
      <c r="G103" s="163"/>
      <c r="H103" s="121">
        <f t="shared" si="7"/>
        <v>367067</v>
      </c>
      <c r="I103" s="121">
        <f t="shared" si="8"/>
        <v>0</v>
      </c>
    </row>
    <row r="104" spans="1:9" ht="17.100000000000001" hidden="1" customHeight="1" outlineLevel="1" x14ac:dyDescent="0.25">
      <c r="B104" s="156"/>
      <c r="C104" s="155"/>
      <c r="D104" s="117">
        <f t="shared" si="6"/>
        <v>42822</v>
      </c>
      <c r="E104" s="163"/>
      <c r="F104" s="121">
        <v>282333.21999999997</v>
      </c>
      <c r="G104" s="163"/>
      <c r="H104" s="121">
        <f t="shared" si="7"/>
        <v>282333.21999999997</v>
      </c>
      <c r="I104" s="121">
        <f t="shared" si="8"/>
        <v>0</v>
      </c>
    </row>
    <row r="105" spans="1:9" ht="17.100000000000001" hidden="1" customHeight="1" outlineLevel="1" x14ac:dyDescent="0.25">
      <c r="B105" s="156"/>
      <c r="C105" s="155"/>
      <c r="D105" s="117">
        <f t="shared" si="6"/>
        <v>42853</v>
      </c>
      <c r="E105" s="163"/>
      <c r="F105" s="121">
        <v>323257.68</v>
      </c>
      <c r="G105" s="163"/>
      <c r="H105" s="121">
        <f t="shared" si="7"/>
        <v>323257.68</v>
      </c>
      <c r="I105" s="121">
        <f t="shared" si="8"/>
        <v>0</v>
      </c>
    </row>
    <row r="106" spans="1:9" ht="17.100000000000001" hidden="1" customHeight="1" outlineLevel="1" x14ac:dyDescent="0.25">
      <c r="B106" s="156"/>
      <c r="C106" s="155"/>
      <c r="D106" s="117">
        <f t="shared" si="6"/>
        <v>42883</v>
      </c>
      <c r="E106" s="163"/>
      <c r="F106" s="121">
        <v>349128.48</v>
      </c>
      <c r="G106" s="163"/>
      <c r="H106" s="121">
        <f t="shared" si="7"/>
        <v>349128.48</v>
      </c>
      <c r="I106" s="121">
        <f t="shared" si="8"/>
        <v>0</v>
      </c>
    </row>
    <row r="107" spans="1:9" ht="17.100000000000001" hidden="1" customHeight="1" outlineLevel="1" x14ac:dyDescent="0.25">
      <c r="B107" s="156"/>
      <c r="C107" s="155"/>
      <c r="D107" s="117">
        <f t="shared" si="6"/>
        <v>42914</v>
      </c>
      <c r="E107" s="163"/>
      <c r="F107" s="121">
        <v>447392.52</v>
      </c>
      <c r="G107" s="163"/>
      <c r="H107" s="121">
        <f t="shared" si="7"/>
        <v>447392.52</v>
      </c>
      <c r="I107" s="121">
        <f t="shared" si="8"/>
        <v>0</v>
      </c>
    </row>
    <row r="108" spans="1:9" ht="17.100000000000001" hidden="1" customHeight="1" outlineLevel="1" x14ac:dyDescent="0.25">
      <c r="A108" s="108">
        <v>7</v>
      </c>
      <c r="B108" s="131">
        <v>42887</v>
      </c>
      <c r="C108" s="140">
        <v>0.10875093</v>
      </c>
      <c r="D108" s="117">
        <v>42917</v>
      </c>
      <c r="E108" s="117">
        <v>42948</v>
      </c>
      <c r="F108" s="121">
        <v>480548.29</v>
      </c>
      <c r="G108" s="117">
        <f t="shared" ref="G108:G133" si="9">E108</f>
        <v>42948</v>
      </c>
      <c r="H108" s="121">
        <f t="shared" si="7"/>
        <v>480548.29</v>
      </c>
      <c r="I108" s="121">
        <f t="shared" si="8"/>
        <v>0</v>
      </c>
    </row>
    <row r="109" spans="1:9" ht="17.100000000000001" hidden="1" customHeight="1" outlineLevel="1" x14ac:dyDescent="0.25">
      <c r="A109" s="108">
        <v>8</v>
      </c>
      <c r="B109" s="131">
        <f t="shared" ref="B109:B172" si="10">EOMONTH(B108,1)</f>
        <v>42947</v>
      </c>
      <c r="C109" s="140">
        <v>8.6012889999999995E-2</v>
      </c>
      <c r="D109" s="117">
        <f t="shared" si="6"/>
        <v>42948</v>
      </c>
      <c r="E109" s="117">
        <f>EOMONTH(D109,1)</f>
        <v>43008</v>
      </c>
      <c r="F109" s="121">
        <v>398519.51</v>
      </c>
      <c r="G109" s="117">
        <f t="shared" si="9"/>
        <v>43008</v>
      </c>
      <c r="H109" s="121">
        <f t="shared" si="7"/>
        <v>398519.51</v>
      </c>
      <c r="I109" s="121">
        <f t="shared" si="8"/>
        <v>0</v>
      </c>
    </row>
    <row r="110" spans="1:9" ht="17.100000000000001" hidden="1" customHeight="1" outlineLevel="1" x14ac:dyDescent="0.25">
      <c r="A110" s="108">
        <v>9</v>
      </c>
      <c r="B110" s="131">
        <f t="shared" si="10"/>
        <v>42978</v>
      </c>
      <c r="C110" s="140">
        <f>'Att(1of6)(JP-Non)'!C112</f>
        <v>4.5882630000000001E-2</v>
      </c>
      <c r="D110" s="117">
        <f t="shared" si="6"/>
        <v>42979</v>
      </c>
      <c r="E110" s="117">
        <f t="shared" ref="E110:E133" si="11">EOMONTH(D110,1)</f>
        <v>43039</v>
      </c>
      <c r="F110" s="121">
        <v>211785.15</v>
      </c>
      <c r="G110" s="117">
        <f t="shared" si="9"/>
        <v>43039</v>
      </c>
      <c r="H110" s="121">
        <f t="shared" si="7"/>
        <v>211785.15</v>
      </c>
      <c r="I110" s="121">
        <f t="shared" si="8"/>
        <v>0</v>
      </c>
    </row>
    <row r="111" spans="1:9" ht="17.100000000000001" hidden="1" customHeight="1" outlineLevel="1" x14ac:dyDescent="0.25">
      <c r="A111" s="108">
        <v>10</v>
      </c>
      <c r="B111" s="131">
        <f t="shared" si="10"/>
        <v>43008</v>
      </c>
      <c r="C111" s="140">
        <f>'Att(1of6)(JP-Non)'!C113</f>
        <v>8.1473870000000004E-2</v>
      </c>
      <c r="D111" s="117">
        <f t="shared" si="6"/>
        <v>43009</v>
      </c>
      <c r="E111" s="117">
        <f t="shared" si="11"/>
        <v>43069</v>
      </c>
      <c r="F111" s="121">
        <v>384397.79</v>
      </c>
      <c r="G111" s="117">
        <f t="shared" si="9"/>
        <v>43069</v>
      </c>
      <c r="H111" s="121">
        <f t="shared" si="7"/>
        <v>384397.79</v>
      </c>
      <c r="I111" s="121">
        <f t="shared" si="8"/>
        <v>0</v>
      </c>
    </row>
    <row r="112" spans="1:9" ht="17.100000000000001" hidden="1" customHeight="1" outlineLevel="1" x14ac:dyDescent="0.25">
      <c r="A112" s="108">
        <v>11</v>
      </c>
      <c r="B112" s="131">
        <f t="shared" si="10"/>
        <v>43039</v>
      </c>
      <c r="C112" s="140">
        <f>'Att(1of6)(JP-Non)'!C114</f>
        <v>8.3922060000000007E-2</v>
      </c>
      <c r="D112" s="117">
        <f t="shared" si="6"/>
        <v>43040</v>
      </c>
      <c r="E112" s="117">
        <f t="shared" si="11"/>
        <v>43100</v>
      </c>
      <c r="F112" s="121">
        <v>389465.55</v>
      </c>
      <c r="G112" s="117">
        <f t="shared" si="9"/>
        <v>43100</v>
      </c>
      <c r="H112" s="121">
        <f t="shared" si="7"/>
        <v>389465.55</v>
      </c>
      <c r="I112" s="121">
        <f t="shared" si="8"/>
        <v>0</v>
      </c>
    </row>
    <row r="113" spans="1:9" ht="17.100000000000001" hidden="1" customHeight="1" outlineLevel="1" x14ac:dyDescent="0.25">
      <c r="A113" s="108">
        <v>12</v>
      </c>
      <c r="B113" s="131">
        <f t="shared" si="10"/>
        <v>43069</v>
      </c>
      <c r="C113" s="140">
        <f>'Att(1of6)(JP-Non)'!C115</f>
        <v>9.3462320000000002E-2</v>
      </c>
      <c r="D113" s="117">
        <f t="shared" si="6"/>
        <v>43070</v>
      </c>
      <c r="E113" s="117">
        <f t="shared" si="11"/>
        <v>43131</v>
      </c>
      <c r="F113" s="121">
        <v>416982.07</v>
      </c>
      <c r="G113" s="117">
        <f t="shared" si="9"/>
        <v>43131</v>
      </c>
      <c r="H113" s="121">
        <f t="shared" si="7"/>
        <v>416982.07</v>
      </c>
      <c r="I113" s="121">
        <f t="shared" si="8"/>
        <v>0</v>
      </c>
    </row>
    <row r="114" spans="1:9" ht="17.100000000000001" hidden="1" customHeight="1" outlineLevel="1" x14ac:dyDescent="0.25">
      <c r="A114" s="108">
        <v>13</v>
      </c>
      <c r="B114" s="131">
        <f t="shared" si="10"/>
        <v>43100</v>
      </c>
      <c r="C114" s="140">
        <f>'Att(1of6)(JP-Non)'!C116</f>
        <v>8.6848540000000002E-2</v>
      </c>
      <c r="D114" s="117">
        <f t="shared" si="6"/>
        <v>43101</v>
      </c>
      <c r="E114" s="117">
        <f t="shared" si="11"/>
        <v>43159</v>
      </c>
      <c r="F114" s="121">
        <v>395529.86</v>
      </c>
      <c r="G114" s="117">
        <f t="shared" si="9"/>
        <v>43159</v>
      </c>
      <c r="H114" s="121">
        <f t="shared" si="7"/>
        <v>395529.86</v>
      </c>
      <c r="I114" s="121">
        <f t="shared" si="8"/>
        <v>0</v>
      </c>
    </row>
    <row r="115" spans="1:9" ht="17.100000000000001" hidden="1" customHeight="1" outlineLevel="1" x14ac:dyDescent="0.25">
      <c r="A115" s="108">
        <v>14</v>
      </c>
      <c r="B115" s="131">
        <f t="shared" si="10"/>
        <v>43131</v>
      </c>
      <c r="C115" s="140">
        <f>'Att(1of6)(JP-Non)'!C117</f>
        <v>8.9125689999999994E-2</v>
      </c>
      <c r="D115" s="117">
        <f t="shared" si="6"/>
        <v>43132</v>
      </c>
      <c r="E115" s="117">
        <f t="shared" si="11"/>
        <v>43190</v>
      </c>
      <c r="F115" s="121">
        <v>396303.25</v>
      </c>
      <c r="G115" s="117">
        <f t="shared" si="9"/>
        <v>43190</v>
      </c>
      <c r="H115" s="121">
        <f t="shared" si="7"/>
        <v>396303.25</v>
      </c>
      <c r="I115" s="121">
        <f t="shared" si="8"/>
        <v>0</v>
      </c>
    </row>
    <row r="116" spans="1:9" ht="17.100000000000001" hidden="1" customHeight="1" outlineLevel="1" x14ac:dyDescent="0.25">
      <c r="A116" s="108">
        <v>15</v>
      </c>
      <c r="B116" s="131">
        <f t="shared" si="10"/>
        <v>43159</v>
      </c>
      <c r="C116" s="140">
        <f>'Att(1of6)(JP-Non)'!C118</f>
        <v>6.4310989999999998E-2</v>
      </c>
      <c r="D116" s="117">
        <f t="shared" si="6"/>
        <v>43160</v>
      </c>
      <c r="E116" s="117">
        <f t="shared" si="11"/>
        <v>43220</v>
      </c>
      <c r="F116" s="121">
        <v>315318.28999999998</v>
      </c>
      <c r="G116" s="117">
        <f t="shared" si="9"/>
        <v>43220</v>
      </c>
      <c r="H116" s="121">
        <f t="shared" si="7"/>
        <v>315318.28999999998</v>
      </c>
      <c r="I116" s="121">
        <f t="shared" si="8"/>
        <v>0</v>
      </c>
    </row>
    <row r="117" spans="1:9" ht="17.100000000000001" hidden="1" customHeight="1" outlineLevel="1" x14ac:dyDescent="0.25">
      <c r="A117" s="108">
        <v>16</v>
      </c>
      <c r="B117" s="131">
        <f t="shared" si="10"/>
        <v>43190</v>
      </c>
      <c r="C117" s="140">
        <f>'Att(1of6)(JP-Non)'!C119</f>
        <v>8.5307889999999997E-2</v>
      </c>
      <c r="D117" s="117">
        <f t="shared" si="6"/>
        <v>43191</v>
      </c>
      <c r="E117" s="117">
        <f t="shared" si="11"/>
        <v>43251</v>
      </c>
      <c r="F117" s="121">
        <v>398295.69</v>
      </c>
      <c r="G117" s="117">
        <f t="shared" si="9"/>
        <v>43251</v>
      </c>
      <c r="H117" s="121">
        <f t="shared" si="7"/>
        <v>398295.69</v>
      </c>
      <c r="I117" s="121">
        <f t="shared" si="8"/>
        <v>0</v>
      </c>
    </row>
    <row r="118" spans="1:9" ht="17.100000000000001" hidden="1" customHeight="1" outlineLevel="1" x14ac:dyDescent="0.25">
      <c r="A118" s="108">
        <v>17</v>
      </c>
      <c r="B118" s="131">
        <f t="shared" si="10"/>
        <v>43220</v>
      </c>
      <c r="C118" s="140">
        <f>'Att(1of6)(JP-Non)'!C120</f>
        <v>8.1429319999999999E-2</v>
      </c>
      <c r="D118" s="117">
        <f t="shared" si="6"/>
        <v>43221</v>
      </c>
      <c r="E118" s="117">
        <f t="shared" si="11"/>
        <v>43281</v>
      </c>
      <c r="F118" s="121">
        <v>384790.47</v>
      </c>
      <c r="G118" s="117">
        <f t="shared" si="9"/>
        <v>43281</v>
      </c>
      <c r="H118" s="121">
        <f t="shared" si="7"/>
        <v>384790.47</v>
      </c>
      <c r="I118" s="121">
        <f t="shared" si="8"/>
        <v>0</v>
      </c>
    </row>
    <row r="119" spans="1:9" ht="17.100000000000001" hidden="1" customHeight="1" outlineLevel="1" x14ac:dyDescent="0.25">
      <c r="A119" s="108">
        <v>18</v>
      </c>
      <c r="B119" s="131">
        <f t="shared" si="10"/>
        <v>43251</v>
      </c>
      <c r="C119" s="140">
        <f>'Att(1of6)(JP-Non)'!C121</f>
        <v>9.4201789999999994E-2</v>
      </c>
      <c r="D119" s="117">
        <f t="shared" si="6"/>
        <v>43252</v>
      </c>
      <c r="E119" s="117">
        <f t="shared" si="11"/>
        <v>43312</v>
      </c>
      <c r="F119" s="121">
        <v>440778.64</v>
      </c>
      <c r="G119" s="117">
        <f t="shared" si="9"/>
        <v>43312</v>
      </c>
      <c r="H119" s="121">
        <f t="shared" si="7"/>
        <v>440778.64</v>
      </c>
      <c r="I119" s="121">
        <f t="shared" si="8"/>
        <v>0</v>
      </c>
    </row>
    <row r="120" spans="1:9" ht="17.100000000000001" hidden="1" customHeight="1" outlineLevel="1" x14ac:dyDescent="0.25">
      <c r="A120" s="108">
        <v>19</v>
      </c>
      <c r="B120" s="131">
        <f t="shared" si="10"/>
        <v>43281</v>
      </c>
      <c r="C120" s="140">
        <f>'Att(1of6)(JP-Non)'!C122</f>
        <v>8.5653030000000005E-2</v>
      </c>
      <c r="D120" s="117">
        <f t="shared" si="6"/>
        <v>43282</v>
      </c>
      <c r="E120" s="117">
        <f t="shared" si="11"/>
        <v>43343</v>
      </c>
      <c r="F120" s="121">
        <v>401209.06</v>
      </c>
      <c r="G120" s="117">
        <f t="shared" si="9"/>
        <v>43343</v>
      </c>
      <c r="H120" s="121">
        <f t="shared" si="7"/>
        <v>401209.06</v>
      </c>
      <c r="I120" s="121">
        <f t="shared" si="8"/>
        <v>0</v>
      </c>
    </row>
    <row r="121" spans="1:9" ht="17.100000000000001" hidden="1" customHeight="1" outlineLevel="1" x14ac:dyDescent="0.25">
      <c r="A121" s="108">
        <v>20</v>
      </c>
      <c r="B121" s="131">
        <f t="shared" si="10"/>
        <v>43312</v>
      </c>
      <c r="C121" s="140">
        <f>'Att(1of6)(JP-Non)'!C123</f>
        <v>9.7209050000000005E-2</v>
      </c>
      <c r="D121" s="117">
        <f t="shared" si="6"/>
        <v>43313</v>
      </c>
      <c r="E121" s="117">
        <f t="shared" si="11"/>
        <v>43373</v>
      </c>
      <c r="F121" s="121">
        <v>474835.84</v>
      </c>
      <c r="G121" s="117">
        <f t="shared" si="9"/>
        <v>43373</v>
      </c>
      <c r="H121" s="121">
        <f t="shared" si="7"/>
        <v>474835.84</v>
      </c>
      <c r="I121" s="121">
        <f t="shared" si="8"/>
        <v>0</v>
      </c>
    </row>
    <row r="122" spans="1:9" ht="17.100000000000001" hidden="1" customHeight="1" outlineLevel="1" x14ac:dyDescent="0.25">
      <c r="A122" s="108">
        <v>21</v>
      </c>
      <c r="B122" s="131">
        <f t="shared" si="10"/>
        <v>43343</v>
      </c>
      <c r="C122" s="140">
        <f>'Att(1of6)(JP-Non)'!C124</f>
        <v>6.773962E-2</v>
      </c>
      <c r="D122" s="117">
        <f t="shared" si="6"/>
        <v>43344</v>
      </c>
      <c r="E122" s="117">
        <f t="shared" si="11"/>
        <v>43404</v>
      </c>
      <c r="F122" s="121">
        <v>318326.46999999997</v>
      </c>
      <c r="G122" s="117">
        <f t="shared" si="9"/>
        <v>43404</v>
      </c>
      <c r="H122" s="121">
        <f t="shared" si="7"/>
        <v>318326.46999999997</v>
      </c>
      <c r="I122" s="121">
        <f t="shared" si="8"/>
        <v>0</v>
      </c>
    </row>
    <row r="123" spans="1:9" ht="17.100000000000001" hidden="1" customHeight="1" outlineLevel="1" x14ac:dyDescent="0.25">
      <c r="A123" s="108">
        <v>22</v>
      </c>
      <c r="B123" s="131">
        <f t="shared" si="10"/>
        <v>43373</v>
      </c>
      <c r="C123" s="140">
        <f>'Att(1of6)(JP-Non)'!C125</f>
        <v>9.6567710000000001E-2</v>
      </c>
      <c r="D123" s="117">
        <f t="shared" si="6"/>
        <v>43374</v>
      </c>
      <c r="E123" s="117">
        <f t="shared" si="11"/>
        <v>43434</v>
      </c>
      <c r="F123" s="121">
        <v>467350.19</v>
      </c>
      <c r="G123" s="117">
        <f t="shared" si="9"/>
        <v>43434</v>
      </c>
      <c r="H123" s="121">
        <f t="shared" si="7"/>
        <v>467350.19</v>
      </c>
      <c r="I123" s="121">
        <f t="shared" si="8"/>
        <v>0</v>
      </c>
    </row>
    <row r="124" spans="1:9" ht="17.100000000000001" hidden="1" customHeight="1" outlineLevel="1" x14ac:dyDescent="0.25">
      <c r="A124" s="108">
        <v>23</v>
      </c>
      <c r="B124" s="131">
        <f t="shared" si="10"/>
        <v>43404</v>
      </c>
      <c r="C124" s="140">
        <f>'Att(1of6)(JP-Non)'!C126</f>
        <v>9.6868129999999997E-2</v>
      </c>
      <c r="D124" s="117">
        <f t="shared" si="6"/>
        <v>43405</v>
      </c>
      <c r="E124" s="117">
        <f t="shared" si="11"/>
        <v>43465</v>
      </c>
      <c r="F124" s="121">
        <v>467183.92</v>
      </c>
      <c r="G124" s="117">
        <f t="shared" si="9"/>
        <v>43465</v>
      </c>
      <c r="H124" s="121">
        <f t="shared" si="7"/>
        <v>467183.92</v>
      </c>
      <c r="I124" s="121">
        <f t="shared" si="8"/>
        <v>0</v>
      </c>
    </row>
    <row r="125" spans="1:9" ht="17.100000000000001" hidden="1" customHeight="1" outlineLevel="1" x14ac:dyDescent="0.25">
      <c r="A125" s="108">
        <v>24</v>
      </c>
      <c r="B125" s="131">
        <f t="shared" si="10"/>
        <v>43434</v>
      </c>
      <c r="C125" s="140">
        <f>'Att(1of6)(JP-Non)'!C127</f>
        <v>0.10872047</v>
      </c>
      <c r="D125" s="117">
        <f t="shared" si="6"/>
        <v>43435</v>
      </c>
      <c r="E125" s="117">
        <f t="shared" si="11"/>
        <v>43496</v>
      </c>
      <c r="F125" s="121">
        <v>512226.13</v>
      </c>
      <c r="G125" s="117">
        <f t="shared" si="9"/>
        <v>43496</v>
      </c>
      <c r="H125" s="121">
        <f t="shared" si="7"/>
        <v>512226.13</v>
      </c>
      <c r="I125" s="121">
        <f t="shared" si="8"/>
        <v>0</v>
      </c>
    </row>
    <row r="126" spans="1:9" ht="17.100000000000001" hidden="1" customHeight="1" outlineLevel="1" x14ac:dyDescent="0.25">
      <c r="A126" s="108">
        <v>25</v>
      </c>
      <c r="B126" s="131">
        <f t="shared" si="10"/>
        <v>43465</v>
      </c>
      <c r="C126" s="140">
        <f>'Att(1of6)(JP-Non)'!C128</f>
        <v>0.10952069</v>
      </c>
      <c r="D126" s="117">
        <f t="shared" si="6"/>
        <v>43466</v>
      </c>
      <c r="E126" s="117">
        <f t="shared" si="11"/>
        <v>43524</v>
      </c>
      <c r="F126" s="121">
        <v>534863.18999999994</v>
      </c>
      <c r="G126" s="117">
        <f t="shared" si="9"/>
        <v>43524</v>
      </c>
      <c r="H126" s="121">
        <f t="shared" si="7"/>
        <v>534863.18999999994</v>
      </c>
      <c r="I126" s="121">
        <f t="shared" si="8"/>
        <v>0</v>
      </c>
    </row>
    <row r="127" spans="1:9" ht="17.100000000000001" hidden="1" customHeight="1" outlineLevel="1" x14ac:dyDescent="0.25">
      <c r="A127" s="108">
        <v>26</v>
      </c>
      <c r="B127" s="131">
        <f t="shared" si="10"/>
        <v>43496</v>
      </c>
      <c r="C127" s="140">
        <f>'Att(1of6)(JP-Non)'!C129</f>
        <v>9.6100149999999995E-2</v>
      </c>
      <c r="D127" s="117">
        <f t="shared" si="6"/>
        <v>43497</v>
      </c>
      <c r="E127" s="117">
        <f t="shared" si="11"/>
        <v>43555</v>
      </c>
      <c r="F127" s="121">
        <v>439392</v>
      </c>
      <c r="G127" s="117">
        <f t="shared" si="9"/>
        <v>43555</v>
      </c>
      <c r="H127" s="121">
        <f t="shared" si="7"/>
        <v>439392</v>
      </c>
      <c r="I127" s="121">
        <f t="shared" si="8"/>
        <v>0</v>
      </c>
    </row>
    <row r="128" spans="1:9" ht="17.100000000000001" hidden="1" customHeight="1" outlineLevel="1" x14ac:dyDescent="0.25">
      <c r="A128" s="108">
        <v>27</v>
      </c>
      <c r="B128" s="131">
        <f t="shared" si="10"/>
        <v>43524</v>
      </c>
      <c r="C128" s="140">
        <f>'Att(1of6)(JP-Non)'!C130</f>
        <v>7.8860360000000004E-2</v>
      </c>
      <c r="D128" s="117">
        <f t="shared" si="6"/>
        <v>43525</v>
      </c>
      <c r="E128" s="117">
        <f t="shared" si="11"/>
        <v>43585</v>
      </c>
      <c r="F128" s="121">
        <v>377507.09</v>
      </c>
      <c r="G128" s="117">
        <f t="shared" si="9"/>
        <v>43585</v>
      </c>
      <c r="H128" s="121">
        <f t="shared" si="7"/>
        <v>377507.09</v>
      </c>
      <c r="I128" s="121">
        <f t="shared" si="8"/>
        <v>0</v>
      </c>
    </row>
    <row r="129" spans="1:9" ht="17.100000000000001" hidden="1" customHeight="1" outlineLevel="1" x14ac:dyDescent="0.25">
      <c r="A129" s="108">
        <v>28</v>
      </c>
      <c r="B129" s="131">
        <f t="shared" si="10"/>
        <v>43555</v>
      </c>
      <c r="C129" s="140">
        <f>'Att(1of6)(JP-Non)'!C131</f>
        <v>8.642946E-2</v>
      </c>
      <c r="D129" s="117">
        <f t="shared" si="6"/>
        <v>43556</v>
      </c>
      <c r="E129" s="117">
        <f t="shared" si="11"/>
        <v>43616</v>
      </c>
      <c r="F129" s="121">
        <v>399667.84</v>
      </c>
      <c r="G129" s="117">
        <f t="shared" si="9"/>
        <v>43616</v>
      </c>
      <c r="H129" s="121">
        <f t="shared" si="7"/>
        <v>399667.84</v>
      </c>
      <c r="I129" s="121">
        <f t="shared" si="8"/>
        <v>0</v>
      </c>
    </row>
    <row r="130" spans="1:9" ht="17.100000000000001" hidden="1" customHeight="1" outlineLevel="1" x14ac:dyDescent="0.25">
      <c r="A130" s="108">
        <v>29</v>
      </c>
      <c r="B130" s="131">
        <f t="shared" si="10"/>
        <v>43585</v>
      </c>
      <c r="C130" s="140">
        <f>'Att(1of6)(JP-Non)'!C132</f>
        <v>7.4784340000000005E-2</v>
      </c>
      <c r="D130" s="117">
        <f t="shared" si="6"/>
        <v>43586</v>
      </c>
      <c r="E130" s="117">
        <f t="shared" si="11"/>
        <v>43646</v>
      </c>
      <c r="F130" s="121">
        <v>352928.99</v>
      </c>
      <c r="G130" s="117">
        <f t="shared" si="9"/>
        <v>43646</v>
      </c>
      <c r="H130" s="121">
        <f t="shared" si="7"/>
        <v>352928.99</v>
      </c>
      <c r="I130" s="121">
        <f t="shared" si="8"/>
        <v>0</v>
      </c>
    </row>
    <row r="131" spans="1:9" ht="17.100000000000001" hidden="1" customHeight="1" outlineLevel="1" x14ac:dyDescent="0.25">
      <c r="A131" s="108">
        <v>30</v>
      </c>
      <c r="B131" s="131">
        <f t="shared" si="10"/>
        <v>43616</v>
      </c>
      <c r="C131" s="140">
        <f>'Att(1of6)(JP-Non)'!C133</f>
        <v>9.9774479999999999E-2</v>
      </c>
      <c r="D131" s="117">
        <f t="shared" si="6"/>
        <v>43617</v>
      </c>
      <c r="E131" s="117">
        <f t="shared" si="11"/>
        <v>43677</v>
      </c>
      <c r="F131" s="121">
        <v>460226.69</v>
      </c>
      <c r="G131" s="117">
        <f t="shared" si="9"/>
        <v>43677</v>
      </c>
      <c r="H131" s="121">
        <f t="shared" si="7"/>
        <v>460226.69</v>
      </c>
      <c r="I131" s="121">
        <f t="shared" si="8"/>
        <v>0</v>
      </c>
    </row>
    <row r="132" spans="1:9" ht="17.100000000000001" hidden="1" customHeight="1" outlineLevel="1" x14ac:dyDescent="0.25">
      <c r="A132" s="108">
        <v>31</v>
      </c>
      <c r="B132" s="131">
        <f t="shared" si="10"/>
        <v>43646</v>
      </c>
      <c r="C132" s="140">
        <f>'Att(1of6)(JP-Non)'!C134</f>
        <v>8.8896310000000006E-2</v>
      </c>
      <c r="D132" s="117">
        <f t="shared" si="6"/>
        <v>43647</v>
      </c>
      <c r="E132" s="117">
        <f t="shared" si="11"/>
        <v>43708</v>
      </c>
      <c r="F132" s="121">
        <v>412187.04</v>
      </c>
      <c r="G132" s="117">
        <f t="shared" si="9"/>
        <v>43708</v>
      </c>
      <c r="H132" s="121">
        <f t="shared" si="7"/>
        <v>412187.04</v>
      </c>
      <c r="I132" s="121">
        <f t="shared" si="8"/>
        <v>0</v>
      </c>
    </row>
    <row r="133" spans="1:9" ht="17.100000000000001" hidden="1" customHeight="1" outlineLevel="1" x14ac:dyDescent="0.25">
      <c r="A133" s="108">
        <v>32</v>
      </c>
      <c r="B133" s="131">
        <f t="shared" si="10"/>
        <v>43677</v>
      </c>
      <c r="C133" s="140">
        <f>'Att(1of6)(JP-Non)'!C135</f>
        <v>9.3644240000000004E-2</v>
      </c>
      <c r="D133" s="117">
        <f t="shared" si="6"/>
        <v>43678</v>
      </c>
      <c r="E133" s="117">
        <f t="shared" si="11"/>
        <v>43738</v>
      </c>
      <c r="F133" s="121">
        <f>+'[204]Page 2'!$I$11</f>
        <v>448931.85</v>
      </c>
      <c r="G133" s="117">
        <f t="shared" si="9"/>
        <v>43738</v>
      </c>
      <c r="H133" s="121">
        <f t="shared" si="7"/>
        <v>448931.85</v>
      </c>
      <c r="I133" s="121">
        <f t="shared" si="8"/>
        <v>0</v>
      </c>
    </row>
    <row r="134" spans="1:9" ht="17.100000000000001" hidden="1" customHeight="1" outlineLevel="1" x14ac:dyDescent="0.25">
      <c r="A134" s="108">
        <f>+A11+1</f>
        <v>1</v>
      </c>
      <c r="B134" s="131">
        <f t="shared" si="10"/>
        <v>43708</v>
      </c>
      <c r="C134" s="140">
        <f>'Att(1of6)(JP-Non)'!C136</f>
        <v>6.5542030000000001E-2</v>
      </c>
      <c r="D134" s="117">
        <f t="shared" si="6"/>
        <v>43709</v>
      </c>
      <c r="E134" s="117">
        <f>EOMONTH(D134,1)</f>
        <v>43769</v>
      </c>
      <c r="F134" s="121">
        <f>+'[205]Page 2'!$I$11</f>
        <v>304990.96000000002</v>
      </c>
      <c r="G134" s="117">
        <f>E134</f>
        <v>43769</v>
      </c>
      <c r="H134" s="121">
        <f>+F134</f>
        <v>304990.96000000002</v>
      </c>
      <c r="I134" s="121">
        <f>+F134-H134</f>
        <v>0</v>
      </c>
    </row>
    <row r="135" spans="1:9" ht="17.100000000000001" hidden="1" customHeight="1" outlineLevel="1" x14ac:dyDescent="0.25">
      <c r="A135" s="108">
        <f>+A134+1</f>
        <v>2</v>
      </c>
      <c r="B135" s="131">
        <f t="shared" si="10"/>
        <v>43738</v>
      </c>
      <c r="C135" s="140">
        <f>'Att(1of6)(JP-Non)'!C137</f>
        <v>6.2412290000000002E-2</v>
      </c>
      <c r="D135" s="117">
        <f t="shared" si="6"/>
        <v>43739</v>
      </c>
      <c r="E135" s="117">
        <f t="shared" ref="E135:E175" si="12">EOMONTH(D135,1)</f>
        <v>43799</v>
      </c>
      <c r="F135" s="121">
        <f>+'[206]Page 2'!$I$11</f>
        <v>289705.84000000003</v>
      </c>
      <c r="G135" s="117">
        <f t="shared" ref="G135:G175" si="13">E135</f>
        <v>43799</v>
      </c>
      <c r="H135" s="121">
        <f t="shared" ref="H135:H175" si="14">+F135</f>
        <v>289705.84000000003</v>
      </c>
      <c r="I135" s="121">
        <f t="shared" ref="I135:I175" si="15">+F135-H135</f>
        <v>0</v>
      </c>
    </row>
    <row r="136" spans="1:9" ht="17.100000000000001" hidden="1" customHeight="1" outlineLevel="1" x14ac:dyDescent="0.25">
      <c r="A136" s="108">
        <f t="shared" ref="A136:A199" si="16">+A135+1</f>
        <v>3</v>
      </c>
      <c r="B136" s="131">
        <f t="shared" si="10"/>
        <v>43769</v>
      </c>
      <c r="C136" s="140">
        <f>'Att(1of6)(JP-Non)'!C138</f>
        <v>5.4750090000000001E-2</v>
      </c>
      <c r="D136" s="117">
        <f t="shared" si="6"/>
        <v>43770</v>
      </c>
      <c r="E136" s="117">
        <f t="shared" si="12"/>
        <v>43830</v>
      </c>
      <c r="F136" s="121">
        <f>+'[207]Page 2'!$I$11</f>
        <v>256655.74</v>
      </c>
      <c r="G136" s="117">
        <f t="shared" si="13"/>
        <v>43830</v>
      </c>
      <c r="H136" s="121">
        <f t="shared" si="14"/>
        <v>256655.74</v>
      </c>
      <c r="I136" s="121">
        <f t="shared" si="15"/>
        <v>0</v>
      </c>
    </row>
    <row r="137" spans="1:9" ht="17.100000000000001" hidden="1" customHeight="1" outlineLevel="1" x14ac:dyDescent="0.25">
      <c r="A137" s="108">
        <f t="shared" si="16"/>
        <v>4</v>
      </c>
      <c r="B137" s="131">
        <f t="shared" si="10"/>
        <v>43799</v>
      </c>
      <c r="C137" s="140">
        <f>'Att(1of6)(JP-Non)'!C139</f>
        <v>7.0155609999999993E-2</v>
      </c>
      <c r="D137" s="117">
        <f t="shared" si="6"/>
        <v>43800</v>
      </c>
      <c r="E137" s="117">
        <f t="shared" si="12"/>
        <v>43861</v>
      </c>
      <c r="F137" s="121">
        <f>+'[208]Page 2'!$I$11</f>
        <v>323203.69</v>
      </c>
      <c r="G137" s="117">
        <f t="shared" si="13"/>
        <v>43861</v>
      </c>
      <c r="H137" s="121">
        <f t="shared" si="14"/>
        <v>323203.69</v>
      </c>
      <c r="I137" s="121">
        <f t="shared" si="15"/>
        <v>0</v>
      </c>
    </row>
    <row r="138" spans="1:9" ht="17.100000000000001" hidden="1" customHeight="1" outlineLevel="1" x14ac:dyDescent="0.25">
      <c r="A138" s="108">
        <f t="shared" si="16"/>
        <v>5</v>
      </c>
      <c r="B138" s="131">
        <f t="shared" si="10"/>
        <v>43830</v>
      </c>
      <c r="C138" s="140">
        <f>'Att(1of6)(JP-Non)'!C140</f>
        <v>4.5191549999999997E-2</v>
      </c>
      <c r="D138" s="117">
        <f t="shared" si="6"/>
        <v>43831</v>
      </c>
      <c r="E138" s="117">
        <f t="shared" si="12"/>
        <v>43890</v>
      </c>
      <c r="F138" s="121">
        <f>+'[209]Page 2'!$I$11</f>
        <v>212994.86</v>
      </c>
      <c r="G138" s="117">
        <f t="shared" si="13"/>
        <v>43890</v>
      </c>
      <c r="H138" s="121">
        <f t="shared" si="14"/>
        <v>212994.86</v>
      </c>
      <c r="I138" s="121">
        <f t="shared" si="15"/>
        <v>0</v>
      </c>
    </row>
    <row r="139" spans="1:9" ht="17.100000000000001" hidden="1" customHeight="1" outlineLevel="1" x14ac:dyDescent="0.25">
      <c r="A139" s="108">
        <f t="shared" si="16"/>
        <v>6</v>
      </c>
      <c r="B139" s="131">
        <f t="shared" si="10"/>
        <v>43861</v>
      </c>
      <c r="C139" s="140">
        <f>'Att(1of6)(JP-Non)'!C141</f>
        <v>4.2630380000000002E-2</v>
      </c>
      <c r="D139" s="117">
        <f t="shared" si="6"/>
        <v>43862</v>
      </c>
      <c r="E139" s="117">
        <f t="shared" si="12"/>
        <v>43921</v>
      </c>
      <c r="F139" s="121">
        <f>+'[210]Page 2'!$I$11</f>
        <v>188460.75</v>
      </c>
      <c r="G139" s="117">
        <f t="shared" si="13"/>
        <v>43921</v>
      </c>
      <c r="H139" s="121">
        <f t="shared" si="14"/>
        <v>188460.75</v>
      </c>
      <c r="I139" s="121">
        <f t="shared" si="15"/>
        <v>0</v>
      </c>
    </row>
    <row r="140" spans="1:9" ht="17.100000000000001" hidden="1" customHeight="1" outlineLevel="1" x14ac:dyDescent="0.25">
      <c r="A140" s="108">
        <f t="shared" si="16"/>
        <v>7</v>
      </c>
      <c r="B140" s="131">
        <f t="shared" si="10"/>
        <v>43890</v>
      </c>
      <c r="C140" s="140">
        <f>'Att(1of6)(JP-Non)'!C142</f>
        <v>5.358359E-2</v>
      </c>
      <c r="D140" s="117">
        <f t="shared" si="6"/>
        <v>43891</v>
      </c>
      <c r="E140" s="117">
        <f t="shared" si="12"/>
        <v>43951</v>
      </c>
      <c r="F140" s="121">
        <f>+'[211]Page 2'!$I$11</f>
        <v>232488.57</v>
      </c>
      <c r="G140" s="117">
        <f t="shared" si="13"/>
        <v>43951</v>
      </c>
      <c r="H140" s="121">
        <f t="shared" si="14"/>
        <v>232488.57</v>
      </c>
      <c r="I140" s="121">
        <f t="shared" si="15"/>
        <v>0</v>
      </c>
    </row>
    <row r="141" spans="1:9" ht="17.100000000000001" hidden="1" customHeight="1" outlineLevel="1" x14ac:dyDescent="0.25">
      <c r="A141" s="108">
        <f t="shared" si="16"/>
        <v>8</v>
      </c>
      <c r="B141" s="131">
        <f t="shared" si="10"/>
        <v>43921</v>
      </c>
      <c r="C141" s="140">
        <f>'Att(1of6)(JP-Non)'!C143</f>
        <v>4.8569349999999997E-2</v>
      </c>
      <c r="D141" s="117">
        <f t="shared" si="6"/>
        <v>43922</v>
      </c>
      <c r="E141" s="117">
        <f t="shared" si="12"/>
        <v>43982</v>
      </c>
      <c r="F141" s="121">
        <f>+'[212]Page 2'!$I$11</f>
        <v>184886.99</v>
      </c>
      <c r="G141" s="117">
        <f t="shared" si="13"/>
        <v>43982</v>
      </c>
      <c r="H141" s="121">
        <f t="shared" si="14"/>
        <v>184886.99</v>
      </c>
      <c r="I141" s="121">
        <f t="shared" si="15"/>
        <v>0</v>
      </c>
    </row>
    <row r="142" spans="1:9" ht="17.100000000000001" hidden="1" customHeight="1" outlineLevel="1" x14ac:dyDescent="0.25">
      <c r="A142" s="108">
        <f t="shared" si="16"/>
        <v>9</v>
      </c>
      <c r="B142" s="131">
        <f t="shared" si="10"/>
        <v>43951</v>
      </c>
      <c r="C142" s="140">
        <f>'Att(1of6)(JP-Non)'!C144</f>
        <v>4.5622419999999997E-2</v>
      </c>
      <c r="D142" s="117">
        <f t="shared" si="6"/>
        <v>43952</v>
      </c>
      <c r="E142" s="117">
        <f t="shared" si="12"/>
        <v>44012</v>
      </c>
      <c r="F142" s="121">
        <f>+'[213]Page 2'!$I$11</f>
        <v>168768.44</v>
      </c>
      <c r="G142" s="117">
        <f t="shared" si="13"/>
        <v>44012</v>
      </c>
      <c r="H142" s="121">
        <f t="shared" si="14"/>
        <v>168768.44</v>
      </c>
      <c r="I142" s="121">
        <f t="shared" si="15"/>
        <v>0</v>
      </c>
    </row>
    <row r="143" spans="1:9" ht="17.100000000000001" hidden="1" customHeight="1" outlineLevel="1" x14ac:dyDescent="0.25">
      <c r="A143" s="108">
        <f t="shared" si="16"/>
        <v>10</v>
      </c>
      <c r="B143" s="131">
        <f t="shared" si="10"/>
        <v>43982</v>
      </c>
      <c r="C143" s="140">
        <f>'Att(1of6)(JP-Non)'!C145</f>
        <v>5.1122569999999999E-2</v>
      </c>
      <c r="D143" s="117">
        <f t="shared" si="6"/>
        <v>43983</v>
      </c>
      <c r="E143" s="117">
        <f t="shared" si="12"/>
        <v>44043</v>
      </c>
      <c r="F143" s="121">
        <f>+'[214]Page 2'!$I$11</f>
        <v>207361.4</v>
      </c>
      <c r="G143" s="117">
        <f t="shared" si="13"/>
        <v>44043</v>
      </c>
      <c r="H143" s="121">
        <f t="shared" si="14"/>
        <v>207361.4</v>
      </c>
      <c r="I143" s="121">
        <f t="shared" si="15"/>
        <v>0</v>
      </c>
    </row>
    <row r="144" spans="1:9" ht="17.100000000000001" hidden="1" customHeight="1" outlineLevel="1" x14ac:dyDescent="0.25">
      <c r="A144" s="108">
        <f t="shared" si="16"/>
        <v>11</v>
      </c>
      <c r="B144" s="131">
        <f t="shared" si="10"/>
        <v>44012</v>
      </c>
      <c r="C144" s="140">
        <f>'Att(1of6)(JP-Non)'!C146</f>
        <v>7.7336489999999994E-2</v>
      </c>
      <c r="D144" s="117">
        <f t="shared" si="6"/>
        <v>44013</v>
      </c>
      <c r="E144" s="117">
        <f t="shared" si="12"/>
        <v>44074</v>
      </c>
      <c r="F144" s="121">
        <f>+'[215]Page 2'!$I$11</f>
        <v>301295.46000000002</v>
      </c>
      <c r="G144" s="117">
        <f t="shared" si="13"/>
        <v>44074</v>
      </c>
      <c r="H144" s="121">
        <f t="shared" si="14"/>
        <v>301295.46000000002</v>
      </c>
      <c r="I144" s="121">
        <f t="shared" si="15"/>
        <v>0</v>
      </c>
    </row>
    <row r="145" spans="1:9" ht="17.100000000000001" hidden="1" customHeight="1" outlineLevel="1" x14ac:dyDescent="0.25">
      <c r="A145" s="108">
        <f t="shared" si="16"/>
        <v>12</v>
      </c>
      <c r="B145" s="131">
        <f t="shared" si="10"/>
        <v>44043</v>
      </c>
      <c r="C145" s="140">
        <f>'Att(1of6)(JP-Non)'!C147</f>
        <v>8.3776569999999995E-2</v>
      </c>
      <c r="D145" s="117">
        <f t="shared" si="6"/>
        <v>44044</v>
      </c>
      <c r="E145" s="117">
        <f t="shared" si="12"/>
        <v>44104</v>
      </c>
      <c r="F145" s="121">
        <f>+'[216]Page 2'!$I$11</f>
        <v>331064.65999999997</v>
      </c>
      <c r="G145" s="117">
        <f t="shared" si="13"/>
        <v>44104</v>
      </c>
      <c r="H145" s="121">
        <f t="shared" si="14"/>
        <v>331064.65999999997</v>
      </c>
      <c r="I145" s="121">
        <f t="shared" si="15"/>
        <v>0</v>
      </c>
    </row>
    <row r="146" spans="1:9" ht="17.100000000000001" hidden="1" customHeight="1" outlineLevel="1" x14ac:dyDescent="0.25">
      <c r="A146" s="108">
        <f t="shared" si="16"/>
        <v>13</v>
      </c>
      <c r="B146" s="131">
        <f t="shared" si="10"/>
        <v>44074</v>
      </c>
      <c r="C146" s="140">
        <f>'Att(1of6)(JP-Non)'!C148</f>
        <v>7.4521589999999999E-2</v>
      </c>
      <c r="D146" s="117">
        <f t="shared" si="6"/>
        <v>44075</v>
      </c>
      <c r="E146" s="117">
        <f t="shared" si="12"/>
        <v>44135</v>
      </c>
      <c r="F146" s="121">
        <f>+'[217]Page 2'!$I$11</f>
        <v>306589.52</v>
      </c>
      <c r="G146" s="117">
        <f t="shared" si="13"/>
        <v>44135</v>
      </c>
      <c r="H146" s="121">
        <f t="shared" si="14"/>
        <v>306589.52</v>
      </c>
      <c r="I146" s="121">
        <f t="shared" si="15"/>
        <v>0</v>
      </c>
    </row>
    <row r="147" spans="1:9" ht="17.100000000000001" hidden="1" customHeight="1" outlineLevel="1" x14ac:dyDescent="0.25">
      <c r="A147" s="108">
        <f t="shared" si="16"/>
        <v>14</v>
      </c>
      <c r="B147" s="131">
        <f t="shared" si="10"/>
        <v>44104</v>
      </c>
      <c r="C147" s="140">
        <f>'Att(1of6)(JP-Non)'!C149</f>
        <v>4.0003150000000001E-2</v>
      </c>
      <c r="D147" s="117">
        <f t="shared" si="6"/>
        <v>44105</v>
      </c>
      <c r="E147" s="117">
        <f t="shared" si="12"/>
        <v>44165</v>
      </c>
      <c r="F147" s="121">
        <f>+'[218]Page 2'!$I$11</f>
        <v>165696.46</v>
      </c>
      <c r="G147" s="117">
        <f t="shared" si="13"/>
        <v>44165</v>
      </c>
      <c r="H147" s="121">
        <f t="shared" si="14"/>
        <v>165696.46</v>
      </c>
      <c r="I147" s="121">
        <f t="shared" si="15"/>
        <v>0</v>
      </c>
    </row>
    <row r="148" spans="1:9" ht="17.100000000000001" hidden="1" customHeight="1" outlineLevel="1" x14ac:dyDescent="0.25">
      <c r="A148" s="108">
        <f t="shared" si="16"/>
        <v>15</v>
      </c>
      <c r="B148" s="131">
        <f t="shared" si="10"/>
        <v>44135</v>
      </c>
      <c r="C148" s="140">
        <f>'Att(1of6)(JP-Non)'!C150</f>
        <v>5.9319419999999998E-2</v>
      </c>
      <c r="D148" s="117">
        <f t="shared" si="6"/>
        <v>44136</v>
      </c>
      <c r="E148" s="117">
        <f t="shared" si="12"/>
        <v>44196</v>
      </c>
      <c r="F148" s="121">
        <f>+'[219]Page 2'!$I$11</f>
        <v>236434.75</v>
      </c>
      <c r="G148" s="117">
        <f t="shared" si="13"/>
        <v>44196</v>
      </c>
      <c r="H148" s="121">
        <f t="shared" si="14"/>
        <v>236434.75</v>
      </c>
      <c r="I148" s="121">
        <f t="shared" si="15"/>
        <v>0</v>
      </c>
    </row>
    <row r="149" spans="1:9" ht="17.100000000000001" hidden="1" customHeight="1" outlineLevel="1" x14ac:dyDescent="0.25">
      <c r="A149" s="108">
        <f t="shared" si="16"/>
        <v>16</v>
      </c>
      <c r="B149" s="131">
        <f t="shared" si="10"/>
        <v>44165</v>
      </c>
      <c r="C149" s="140">
        <f>'Att(1of6)(JP-Non)'!C151</f>
        <v>6.1659560000000002E-2</v>
      </c>
      <c r="D149" s="117">
        <f t="shared" si="6"/>
        <v>44166</v>
      </c>
      <c r="E149" s="117">
        <f t="shared" si="12"/>
        <v>44227</v>
      </c>
      <c r="F149" s="121">
        <f>+'[220]Page 2'!$I$11</f>
        <v>245937.07</v>
      </c>
      <c r="G149" s="117">
        <f t="shared" si="13"/>
        <v>44227</v>
      </c>
      <c r="H149" s="121">
        <f t="shared" si="14"/>
        <v>245937.07</v>
      </c>
      <c r="I149" s="121">
        <f t="shared" si="15"/>
        <v>0</v>
      </c>
    </row>
    <row r="150" spans="1:9" ht="17.100000000000001" hidden="1" customHeight="1" outlineLevel="1" x14ac:dyDescent="0.25">
      <c r="A150" s="108">
        <f t="shared" si="16"/>
        <v>17</v>
      </c>
      <c r="B150" s="131">
        <f t="shared" si="10"/>
        <v>44196</v>
      </c>
      <c r="C150" s="140">
        <f>'Att(1of6)(JP-Non)'!C152</f>
        <v>8.6877410000000002E-2</v>
      </c>
      <c r="D150" s="117">
        <f t="shared" si="6"/>
        <v>44197</v>
      </c>
      <c r="E150" s="117">
        <f t="shared" si="12"/>
        <v>44255</v>
      </c>
      <c r="F150" s="121">
        <f>+'[221]Page 2'!$I$11</f>
        <v>354988.96</v>
      </c>
      <c r="G150" s="117">
        <f t="shared" si="13"/>
        <v>44255</v>
      </c>
      <c r="H150" s="121">
        <f t="shared" si="14"/>
        <v>354988.96</v>
      </c>
      <c r="I150" s="121">
        <f t="shared" si="15"/>
        <v>0</v>
      </c>
    </row>
    <row r="151" spans="1:9" ht="17.100000000000001" hidden="1" customHeight="1" outlineLevel="1" x14ac:dyDescent="0.25">
      <c r="A151" s="108">
        <f t="shared" si="16"/>
        <v>18</v>
      </c>
      <c r="B151" s="131">
        <f t="shared" si="10"/>
        <v>44227</v>
      </c>
      <c r="C151" s="140">
        <f>'Att(1of6)(JP-Non)'!C153</f>
        <v>5.7239890000000002E-2</v>
      </c>
      <c r="D151" s="117">
        <f t="shared" si="6"/>
        <v>44228</v>
      </c>
      <c r="E151" s="117">
        <f t="shared" si="12"/>
        <v>44286</v>
      </c>
      <c r="F151" s="121">
        <f>+'[222]Page 2'!$I$11</f>
        <v>220815.66</v>
      </c>
      <c r="G151" s="117">
        <f t="shared" si="13"/>
        <v>44286</v>
      </c>
      <c r="H151" s="121">
        <f t="shared" si="14"/>
        <v>220815.66</v>
      </c>
      <c r="I151" s="121">
        <f t="shared" si="15"/>
        <v>0</v>
      </c>
    </row>
    <row r="152" spans="1:9" ht="17.100000000000001" hidden="1" customHeight="1" outlineLevel="1" x14ac:dyDescent="0.25">
      <c r="A152" s="108">
        <f t="shared" si="16"/>
        <v>19</v>
      </c>
      <c r="B152" s="131">
        <f t="shared" si="10"/>
        <v>44255</v>
      </c>
      <c r="C152" s="140">
        <f>'Att(1of6)(JP-Non)'!C154</f>
        <v>8.6906159999999996E-2</v>
      </c>
      <c r="D152" s="117">
        <f t="shared" si="6"/>
        <v>44256</v>
      </c>
      <c r="E152" s="117">
        <f t="shared" si="12"/>
        <v>44316</v>
      </c>
      <c r="F152" s="121">
        <f>+'[223]Page 2'!$I$11</f>
        <v>314938.65000000002</v>
      </c>
      <c r="G152" s="117">
        <f t="shared" si="13"/>
        <v>44316</v>
      </c>
      <c r="H152" s="121">
        <f t="shared" si="14"/>
        <v>314938.65000000002</v>
      </c>
      <c r="I152" s="121">
        <f t="shared" si="15"/>
        <v>0</v>
      </c>
    </row>
    <row r="153" spans="1:9" ht="17.100000000000001" hidden="1" customHeight="1" outlineLevel="1" x14ac:dyDescent="0.25">
      <c r="A153" s="108">
        <f t="shared" si="16"/>
        <v>20</v>
      </c>
      <c r="B153" s="131">
        <f t="shared" si="10"/>
        <v>44286</v>
      </c>
      <c r="C153" s="140">
        <f>'Att(1of6)(JP-Non)'!C155</f>
        <v>4.6249430000000001E-2</v>
      </c>
      <c r="D153" s="117">
        <f t="shared" si="6"/>
        <v>44287</v>
      </c>
      <c r="E153" s="117">
        <f t="shared" si="12"/>
        <v>44347</v>
      </c>
      <c r="F153" s="121">
        <f>+'[224]Page 2'!$I$11</f>
        <v>186536.76</v>
      </c>
      <c r="G153" s="117">
        <f t="shared" si="13"/>
        <v>44347</v>
      </c>
      <c r="H153" s="121">
        <f t="shared" si="14"/>
        <v>186536.76</v>
      </c>
      <c r="I153" s="121">
        <f t="shared" si="15"/>
        <v>0</v>
      </c>
    </row>
    <row r="154" spans="1:9" ht="17.100000000000001" hidden="1" customHeight="1" outlineLevel="1" x14ac:dyDescent="0.25">
      <c r="A154" s="108">
        <f t="shared" si="16"/>
        <v>21</v>
      </c>
      <c r="B154" s="131">
        <f t="shared" si="10"/>
        <v>44316</v>
      </c>
      <c r="C154" s="140">
        <f>'Att(1of6)(JP-Non)'!C156</f>
        <v>9.2364520000000006E-2</v>
      </c>
      <c r="D154" s="117">
        <f t="shared" si="6"/>
        <v>44317</v>
      </c>
      <c r="E154" s="117">
        <f t="shared" si="12"/>
        <v>44377</v>
      </c>
      <c r="F154" s="121">
        <f>+'[225]Page 2'!$I$11</f>
        <v>364447.87</v>
      </c>
      <c r="G154" s="117">
        <f t="shared" si="13"/>
        <v>44377</v>
      </c>
      <c r="H154" s="121">
        <f t="shared" si="14"/>
        <v>364447.87</v>
      </c>
      <c r="I154" s="121">
        <f t="shared" si="15"/>
        <v>0</v>
      </c>
    </row>
    <row r="155" spans="1:9" ht="17.100000000000001" hidden="1" customHeight="1" outlineLevel="1" x14ac:dyDescent="0.25">
      <c r="A155" s="108">
        <f t="shared" si="16"/>
        <v>22</v>
      </c>
      <c r="B155" s="131">
        <f t="shared" si="10"/>
        <v>44347</v>
      </c>
      <c r="C155" s="140">
        <f>'Att(1of6)(JP-Non)'!C157</f>
        <v>0.11100549</v>
      </c>
      <c r="D155" s="117">
        <f t="shared" si="6"/>
        <v>44348</v>
      </c>
      <c r="E155" s="117">
        <f t="shared" si="12"/>
        <v>44408</v>
      </c>
      <c r="F155" s="121">
        <f>+'[226]Page 2'!$I$11</f>
        <v>426323.53</v>
      </c>
      <c r="G155" s="117">
        <f t="shared" si="13"/>
        <v>44408</v>
      </c>
      <c r="H155" s="121">
        <f t="shared" si="14"/>
        <v>426323.53</v>
      </c>
      <c r="I155" s="121">
        <f t="shared" si="15"/>
        <v>0</v>
      </c>
    </row>
    <row r="156" spans="1:9" ht="17.100000000000001" hidden="1" customHeight="1" outlineLevel="1" x14ac:dyDescent="0.25">
      <c r="A156" s="108">
        <f t="shared" si="16"/>
        <v>23</v>
      </c>
      <c r="B156" s="131">
        <f t="shared" si="10"/>
        <v>44377</v>
      </c>
      <c r="C156" s="140">
        <f>'Att(1of6)(JP-Non)'!C158</f>
        <v>8.88428E-2</v>
      </c>
      <c r="D156" s="117">
        <f t="shared" ref="D156:D201" si="17">EDATE(D155,1)</f>
        <v>44378</v>
      </c>
      <c r="E156" s="117">
        <f t="shared" si="12"/>
        <v>44439</v>
      </c>
      <c r="F156" s="121">
        <f>+'[227]Page 2'!$I$11</f>
        <v>333702.14</v>
      </c>
      <c r="G156" s="117">
        <f t="shared" si="13"/>
        <v>44439</v>
      </c>
      <c r="H156" s="121">
        <f t="shared" si="14"/>
        <v>333702.14</v>
      </c>
      <c r="I156" s="121">
        <f t="shared" si="15"/>
        <v>0</v>
      </c>
    </row>
    <row r="157" spans="1:9" ht="17.100000000000001" hidden="1" customHeight="1" outlineLevel="1" x14ac:dyDescent="0.25">
      <c r="A157" s="108">
        <f t="shared" si="16"/>
        <v>24</v>
      </c>
      <c r="B157" s="131">
        <f t="shared" si="10"/>
        <v>44408</v>
      </c>
      <c r="C157" s="140">
        <f>'Att(1of6)(JP-Non)'!C159</f>
        <v>8.8505819999999999E-2</v>
      </c>
      <c r="D157" s="117">
        <f t="shared" si="17"/>
        <v>44409</v>
      </c>
      <c r="E157" s="117">
        <f t="shared" si="12"/>
        <v>44469</v>
      </c>
      <c r="F157" s="121">
        <f>+'[228]Page 2'!$I$11</f>
        <v>335092.55</v>
      </c>
      <c r="G157" s="117">
        <f t="shared" si="13"/>
        <v>44469</v>
      </c>
      <c r="H157" s="121">
        <f t="shared" si="14"/>
        <v>335092.55</v>
      </c>
      <c r="I157" s="121">
        <f t="shared" si="15"/>
        <v>0</v>
      </c>
    </row>
    <row r="158" spans="1:9" ht="17.100000000000001" hidden="1" customHeight="1" outlineLevel="1" x14ac:dyDescent="0.25">
      <c r="A158" s="108">
        <f t="shared" si="16"/>
        <v>25</v>
      </c>
      <c r="B158" s="131">
        <f t="shared" si="10"/>
        <v>44439</v>
      </c>
      <c r="C158" s="140">
        <f>'Att(1of6)(JP-Non)'!C160</f>
        <v>0.1058065</v>
      </c>
      <c r="D158" s="117">
        <f t="shared" si="17"/>
        <v>44440</v>
      </c>
      <c r="E158" s="117">
        <f t="shared" si="12"/>
        <v>44500</v>
      </c>
      <c r="F158" s="121">
        <f>+'[229]Page 2'!$I$11</f>
        <v>388555.48</v>
      </c>
      <c r="G158" s="117">
        <f t="shared" si="13"/>
        <v>44500</v>
      </c>
      <c r="H158" s="121">
        <f t="shared" si="14"/>
        <v>388555.48</v>
      </c>
      <c r="I158" s="121">
        <f t="shared" si="15"/>
        <v>0</v>
      </c>
    </row>
    <row r="159" spans="1:9" ht="17.100000000000001" hidden="1" customHeight="1" outlineLevel="1" x14ac:dyDescent="0.25">
      <c r="A159" s="108">
        <f t="shared" si="16"/>
        <v>26</v>
      </c>
      <c r="B159" s="131">
        <f t="shared" si="10"/>
        <v>44469</v>
      </c>
      <c r="C159" s="140">
        <f>'Att(1of6)(JP-Non)'!C161</f>
        <v>5.8713899999999999E-2</v>
      </c>
      <c r="D159" s="117">
        <f t="shared" si="17"/>
        <v>44470</v>
      </c>
      <c r="E159" s="117">
        <f t="shared" si="12"/>
        <v>44530</v>
      </c>
      <c r="F159" s="121">
        <f>+'[230]Page 2'!$I$11</f>
        <v>211342.34</v>
      </c>
      <c r="G159" s="117">
        <f t="shared" si="13"/>
        <v>44530</v>
      </c>
      <c r="H159" s="121">
        <f t="shared" si="14"/>
        <v>211342.34</v>
      </c>
      <c r="I159" s="121">
        <f t="shared" si="15"/>
        <v>0</v>
      </c>
    </row>
    <row r="160" spans="1:9" ht="17.100000000000001" hidden="1" customHeight="1" outlineLevel="1" x14ac:dyDescent="0.25">
      <c r="A160" s="108">
        <f t="shared" si="16"/>
        <v>27</v>
      </c>
      <c r="B160" s="131">
        <f t="shared" si="10"/>
        <v>44500</v>
      </c>
      <c r="C160" s="140">
        <f>'Att(1of6)(JP-Non)'!C162</f>
        <v>8.2686480000000007E-2</v>
      </c>
      <c r="D160" s="117">
        <f t="shared" si="17"/>
        <v>44501</v>
      </c>
      <c r="E160" s="117">
        <f t="shared" si="12"/>
        <v>44561</v>
      </c>
      <c r="F160" s="121">
        <f>+'[231]Page 2'!$I$11</f>
        <v>314896.5</v>
      </c>
      <c r="G160" s="117">
        <f t="shared" si="13"/>
        <v>44561</v>
      </c>
      <c r="H160" s="121">
        <f t="shared" si="14"/>
        <v>314896.5</v>
      </c>
      <c r="I160" s="121">
        <f t="shared" si="15"/>
        <v>0</v>
      </c>
    </row>
    <row r="161" spans="1:9" ht="17.100000000000001" hidden="1" customHeight="1" outlineLevel="1" x14ac:dyDescent="0.25">
      <c r="A161" s="108">
        <f t="shared" si="16"/>
        <v>28</v>
      </c>
      <c r="B161" s="131">
        <f t="shared" si="10"/>
        <v>44530</v>
      </c>
      <c r="C161" s="140">
        <f>'Att(1of6)(JP-Non)'!C163</f>
        <v>0.10017524999999999</v>
      </c>
      <c r="D161" s="117">
        <f t="shared" si="17"/>
        <v>44531</v>
      </c>
      <c r="E161" s="117">
        <f t="shared" si="12"/>
        <v>44592</v>
      </c>
      <c r="F161" s="121">
        <f>+'[232]Page 2'!$I$11</f>
        <v>398673.47</v>
      </c>
      <c r="G161" s="117">
        <f t="shared" si="13"/>
        <v>44592</v>
      </c>
      <c r="H161" s="121">
        <f t="shared" si="14"/>
        <v>398673.47</v>
      </c>
      <c r="I161" s="121">
        <f t="shared" si="15"/>
        <v>0</v>
      </c>
    </row>
    <row r="162" spans="1:9" ht="17.100000000000001" hidden="1" customHeight="1" outlineLevel="1" x14ac:dyDescent="0.25">
      <c r="A162" s="108">
        <f t="shared" si="16"/>
        <v>29</v>
      </c>
      <c r="B162" s="131">
        <f t="shared" si="10"/>
        <v>44561</v>
      </c>
      <c r="C162" s="140">
        <f>'Att(1of6)(JP-Non)'!C164</f>
        <v>8.7579480000000001E-2</v>
      </c>
      <c r="D162" s="117">
        <f t="shared" si="17"/>
        <v>44562</v>
      </c>
      <c r="E162" s="117">
        <f t="shared" si="12"/>
        <v>44620</v>
      </c>
      <c r="F162" s="121">
        <f>+'[233]Page 2'!$I$11</f>
        <v>382233.65</v>
      </c>
      <c r="G162" s="117">
        <f t="shared" si="13"/>
        <v>44620</v>
      </c>
      <c r="H162" s="121">
        <f t="shared" si="14"/>
        <v>382233.65</v>
      </c>
      <c r="I162" s="121">
        <f t="shared" si="15"/>
        <v>0</v>
      </c>
    </row>
    <row r="163" spans="1:9" ht="17.100000000000001" hidden="1" customHeight="1" outlineLevel="1" x14ac:dyDescent="0.25">
      <c r="A163" s="108">
        <f t="shared" si="16"/>
        <v>30</v>
      </c>
      <c r="B163" s="131">
        <f t="shared" si="10"/>
        <v>44592</v>
      </c>
      <c r="C163" s="140">
        <f>'Att(1of6)(JP-Non)'!C165</f>
        <v>0.10760119</v>
      </c>
      <c r="D163" s="117">
        <f t="shared" si="17"/>
        <v>44593</v>
      </c>
      <c r="E163" s="117">
        <f t="shared" si="12"/>
        <v>44651</v>
      </c>
      <c r="F163" s="121">
        <f>+'[234]Page 2'!$I$11</f>
        <v>433655.91</v>
      </c>
      <c r="G163" s="117">
        <f t="shared" si="13"/>
        <v>44651</v>
      </c>
      <c r="H163" s="121">
        <f t="shared" si="14"/>
        <v>433655.91</v>
      </c>
      <c r="I163" s="121">
        <f t="shared" si="15"/>
        <v>0</v>
      </c>
    </row>
    <row r="164" spans="1:9" ht="17.100000000000001" hidden="1" customHeight="1" outlineLevel="1" x14ac:dyDescent="0.25">
      <c r="A164" s="108">
        <f t="shared" si="16"/>
        <v>31</v>
      </c>
      <c r="B164" s="131">
        <f t="shared" si="10"/>
        <v>44620</v>
      </c>
      <c r="C164" s="140">
        <f>'Att(1of6)(JP-Non)'!C166</f>
        <v>5.359796E-2</v>
      </c>
      <c r="D164" s="117">
        <f t="shared" si="17"/>
        <v>44621</v>
      </c>
      <c r="E164" s="117">
        <f t="shared" si="12"/>
        <v>44681</v>
      </c>
      <c r="F164" s="121">
        <f>+'[235]Page 2'!$I$11</f>
        <v>248256.96</v>
      </c>
      <c r="G164" s="117">
        <f t="shared" si="13"/>
        <v>44681</v>
      </c>
      <c r="H164" s="121">
        <f t="shared" si="14"/>
        <v>248256.96</v>
      </c>
      <c r="I164" s="121">
        <f t="shared" si="15"/>
        <v>0</v>
      </c>
    </row>
    <row r="165" spans="1:9" ht="17.100000000000001" hidden="1" customHeight="1" outlineLevel="1" x14ac:dyDescent="0.25">
      <c r="A165" s="108">
        <f t="shared" si="16"/>
        <v>32</v>
      </c>
      <c r="B165" s="131">
        <f t="shared" si="10"/>
        <v>44651</v>
      </c>
      <c r="C165" s="140">
        <f>'Att(1of6)(JP-Non)'!C167</f>
        <v>6.5133720000000006E-2</v>
      </c>
      <c r="D165" s="117">
        <f t="shared" si="17"/>
        <v>44652</v>
      </c>
      <c r="E165" s="117">
        <f t="shared" si="12"/>
        <v>44712</v>
      </c>
      <c r="F165" s="121">
        <f>+'[236]Page 2'!$I$11</f>
        <v>292053.07</v>
      </c>
      <c r="G165" s="117">
        <f t="shared" si="13"/>
        <v>44712</v>
      </c>
      <c r="H165" s="121">
        <f t="shared" si="14"/>
        <v>292053.07</v>
      </c>
      <c r="I165" s="121">
        <f t="shared" si="15"/>
        <v>0</v>
      </c>
    </row>
    <row r="166" spans="1:9" ht="17.100000000000001" hidden="1" customHeight="1" outlineLevel="1" x14ac:dyDescent="0.25">
      <c r="A166" s="108">
        <f t="shared" si="16"/>
        <v>33</v>
      </c>
      <c r="B166" s="131">
        <f t="shared" si="10"/>
        <v>44681</v>
      </c>
      <c r="C166" s="140">
        <f>'Att(1of6)(JP-Non)'!C168</f>
        <v>4.3170529999999999E-2</v>
      </c>
      <c r="D166" s="117">
        <f t="shared" si="17"/>
        <v>44682</v>
      </c>
      <c r="E166" s="117">
        <f t="shared" si="12"/>
        <v>44742</v>
      </c>
      <c r="F166" s="121">
        <f>+'[237]Page 2'!$I$11</f>
        <v>210705.58</v>
      </c>
      <c r="G166" s="117">
        <f t="shared" si="13"/>
        <v>44742</v>
      </c>
      <c r="H166" s="121">
        <f t="shared" si="14"/>
        <v>210705.58</v>
      </c>
      <c r="I166" s="121">
        <f t="shared" si="15"/>
        <v>0</v>
      </c>
    </row>
    <row r="167" spans="1:9" ht="17.100000000000001" hidden="1" customHeight="1" outlineLevel="1" x14ac:dyDescent="0.25">
      <c r="A167" s="108">
        <f t="shared" si="16"/>
        <v>34</v>
      </c>
      <c r="B167" s="131">
        <f t="shared" si="10"/>
        <v>44712</v>
      </c>
      <c r="C167" s="140">
        <f>'Att(1of6)(JP-Non)'!C169</f>
        <v>6.3858090000000006E-2</v>
      </c>
      <c r="D167" s="117">
        <f t="shared" si="17"/>
        <v>44713</v>
      </c>
      <c r="E167" s="117">
        <f t="shared" si="12"/>
        <v>44773</v>
      </c>
      <c r="F167" s="121">
        <f>+'[238]Page 2'!$I$11</f>
        <v>264782.69</v>
      </c>
      <c r="G167" s="117">
        <f t="shared" si="13"/>
        <v>44773</v>
      </c>
      <c r="H167" s="121">
        <f t="shared" si="14"/>
        <v>264782.69</v>
      </c>
      <c r="I167" s="121">
        <f t="shared" si="15"/>
        <v>0</v>
      </c>
    </row>
    <row r="168" spans="1:9" ht="17.100000000000001" hidden="1" customHeight="1" outlineLevel="1" x14ac:dyDescent="0.25">
      <c r="A168" s="108">
        <f t="shared" si="16"/>
        <v>35</v>
      </c>
      <c r="B168" s="131">
        <f t="shared" si="10"/>
        <v>44742</v>
      </c>
      <c r="C168" s="140">
        <f>'Att(1of6)(JP-Non)'!C170</f>
        <v>4.570544E-2</v>
      </c>
      <c r="D168" s="117">
        <f t="shared" si="17"/>
        <v>44743</v>
      </c>
      <c r="E168" s="117">
        <f t="shared" si="12"/>
        <v>44804</v>
      </c>
      <c r="F168" s="121">
        <f>+'[239]Page 2'!$I$11</f>
        <v>271316.68</v>
      </c>
      <c r="G168" s="117">
        <f t="shared" si="13"/>
        <v>44804</v>
      </c>
      <c r="H168" s="121">
        <f t="shared" si="14"/>
        <v>271316.68</v>
      </c>
      <c r="I168" s="121">
        <f t="shared" si="15"/>
        <v>0</v>
      </c>
    </row>
    <row r="169" spans="1:9" ht="17.100000000000001" hidden="1" customHeight="1" outlineLevel="1" x14ac:dyDescent="0.25">
      <c r="A169" s="108">
        <f t="shared" si="16"/>
        <v>36</v>
      </c>
      <c r="B169" s="131">
        <f t="shared" si="10"/>
        <v>44773</v>
      </c>
      <c r="C169" s="140">
        <f>'Att(1of6)(JP-Non)'!C171</f>
        <v>4.7493880000000002E-2</v>
      </c>
      <c r="D169" s="117">
        <f t="shared" si="17"/>
        <v>44774</v>
      </c>
      <c r="E169" s="117">
        <f t="shared" si="12"/>
        <v>44834</v>
      </c>
      <c r="F169" s="121">
        <f>+'[240]Page 2'!$I$11</f>
        <v>278415.03000000003</v>
      </c>
      <c r="G169" s="117">
        <f t="shared" si="13"/>
        <v>44834</v>
      </c>
      <c r="H169" s="121">
        <f t="shared" si="14"/>
        <v>278415.03000000003</v>
      </c>
      <c r="I169" s="121">
        <f t="shared" si="15"/>
        <v>0</v>
      </c>
    </row>
    <row r="170" spans="1:9" ht="17.100000000000001" hidden="1" customHeight="1" outlineLevel="1" x14ac:dyDescent="0.25">
      <c r="A170" s="108">
        <f t="shared" si="16"/>
        <v>37</v>
      </c>
      <c r="B170" s="131">
        <f t="shared" si="10"/>
        <v>44804</v>
      </c>
      <c r="C170" s="140">
        <f>'Att(1of6)(JP-Non)'!C172</f>
        <v>3.0638189999999999E-2</v>
      </c>
      <c r="D170" s="117">
        <f t="shared" si="17"/>
        <v>44805</v>
      </c>
      <c r="E170" s="117">
        <f t="shared" si="12"/>
        <v>44865</v>
      </c>
      <c r="F170" s="121">
        <f>+'[241]Page 2'!$I$11</f>
        <v>201535.04</v>
      </c>
      <c r="G170" s="117">
        <f t="shared" si="13"/>
        <v>44865</v>
      </c>
      <c r="H170" s="121">
        <f t="shared" si="14"/>
        <v>201535.04</v>
      </c>
      <c r="I170" s="121">
        <f t="shared" si="15"/>
        <v>0</v>
      </c>
    </row>
    <row r="171" spans="1:9" ht="17.100000000000001" hidden="1" customHeight="1" outlineLevel="1" x14ac:dyDescent="0.25">
      <c r="A171" s="108">
        <f t="shared" si="16"/>
        <v>38</v>
      </c>
      <c r="B171" s="131">
        <f t="shared" si="10"/>
        <v>44834</v>
      </c>
      <c r="C171" s="140">
        <f>'Att(1of6)(JP-Non)'!C173</f>
        <v>4.1599219999999999E-2</v>
      </c>
      <c r="D171" s="117">
        <f t="shared" si="17"/>
        <v>44835</v>
      </c>
      <c r="E171" s="117">
        <f t="shared" si="12"/>
        <v>44895</v>
      </c>
      <c r="F171" s="121">
        <f>+'[242]Page 2'!$I$11</f>
        <v>268056.40000000002</v>
      </c>
      <c r="G171" s="117">
        <f t="shared" si="13"/>
        <v>44895</v>
      </c>
      <c r="H171" s="121">
        <f t="shared" si="14"/>
        <v>268056.40000000002</v>
      </c>
      <c r="I171" s="121">
        <f t="shared" si="15"/>
        <v>0</v>
      </c>
    </row>
    <row r="172" spans="1:9" ht="17.100000000000001" hidden="1" customHeight="1" outlineLevel="1" x14ac:dyDescent="0.25">
      <c r="A172" s="108">
        <f t="shared" si="16"/>
        <v>39</v>
      </c>
      <c r="B172" s="131">
        <f t="shared" si="10"/>
        <v>44865</v>
      </c>
      <c r="C172" s="140">
        <f>'Att(1of6)(JP-Non)'!C174</f>
        <v>3.2982659999999997E-2</v>
      </c>
      <c r="D172" s="117">
        <f t="shared" si="17"/>
        <v>44866</v>
      </c>
      <c r="E172" s="117">
        <f t="shared" si="12"/>
        <v>44926</v>
      </c>
      <c r="F172" s="121">
        <f>+'[243]Page 2'!$I$11</f>
        <v>181900.68</v>
      </c>
      <c r="G172" s="117">
        <f t="shared" si="13"/>
        <v>44926</v>
      </c>
      <c r="H172" s="121">
        <f t="shared" si="14"/>
        <v>181900.68</v>
      </c>
      <c r="I172" s="121">
        <f t="shared" si="15"/>
        <v>0</v>
      </c>
    </row>
    <row r="173" spans="1:9" ht="17.100000000000001" hidden="1" customHeight="1" outlineLevel="1" x14ac:dyDescent="0.25">
      <c r="A173" s="108">
        <f t="shared" si="16"/>
        <v>40</v>
      </c>
      <c r="B173" s="131">
        <f t="shared" ref="B173:B201" si="18">EOMONTH(B172,1)</f>
        <v>44895</v>
      </c>
      <c r="C173" s="140">
        <f>'Att(1of6)(JP-Non)'!C175</f>
        <v>4.0698829999999998E-2</v>
      </c>
      <c r="D173" s="117">
        <f t="shared" si="17"/>
        <v>44896</v>
      </c>
      <c r="E173" s="117">
        <f t="shared" si="12"/>
        <v>44957</v>
      </c>
      <c r="F173" s="121">
        <f>+'[244]Page 2'!$I$11</f>
        <v>232942.01</v>
      </c>
      <c r="G173" s="117">
        <f t="shared" si="13"/>
        <v>44957</v>
      </c>
      <c r="H173" s="121">
        <f t="shared" si="14"/>
        <v>232942.01</v>
      </c>
      <c r="I173" s="121">
        <f t="shared" si="15"/>
        <v>0</v>
      </c>
    </row>
    <row r="174" spans="1:9" ht="17.100000000000001" hidden="1" customHeight="1" outlineLevel="1" x14ac:dyDescent="0.25">
      <c r="A174" s="108">
        <f t="shared" si="16"/>
        <v>41</v>
      </c>
      <c r="B174" s="131">
        <f t="shared" si="18"/>
        <v>44926</v>
      </c>
      <c r="C174" s="140">
        <f>'Att(1of6)(JP-Non)'!C176</f>
        <v>0.10631458000000001</v>
      </c>
      <c r="D174" s="117">
        <f t="shared" si="17"/>
        <v>44927</v>
      </c>
      <c r="E174" s="117">
        <f t="shared" si="12"/>
        <v>44985</v>
      </c>
      <c r="F174" s="121">
        <f>+'[245]Page 2'!$I$11</f>
        <v>579125.26</v>
      </c>
      <c r="G174" s="117">
        <f t="shared" si="13"/>
        <v>44985</v>
      </c>
      <c r="H174" s="121">
        <f t="shared" si="14"/>
        <v>579125.26</v>
      </c>
      <c r="I174" s="121">
        <f t="shared" si="15"/>
        <v>0</v>
      </c>
    </row>
    <row r="175" spans="1:9" ht="17.100000000000001" hidden="1" customHeight="1" outlineLevel="1" x14ac:dyDescent="0.25">
      <c r="A175" s="108">
        <f t="shared" si="16"/>
        <v>42</v>
      </c>
      <c r="B175" s="131">
        <f t="shared" si="18"/>
        <v>44957</v>
      </c>
      <c r="C175" s="140">
        <f>'Att(1of6)(JP-Non)'!C177</f>
        <v>5.0254630000000002E-2</v>
      </c>
      <c r="D175" s="117">
        <f t="shared" si="17"/>
        <v>44958</v>
      </c>
      <c r="E175" s="117">
        <f t="shared" si="12"/>
        <v>45016</v>
      </c>
      <c r="F175" s="121">
        <f>+'[246]Page 2'!$I$11</f>
        <v>223693.16</v>
      </c>
      <c r="G175" s="117">
        <f t="shared" si="13"/>
        <v>45016</v>
      </c>
      <c r="H175" s="121">
        <f t="shared" si="14"/>
        <v>223693.16</v>
      </c>
      <c r="I175" s="121">
        <f t="shared" si="15"/>
        <v>0</v>
      </c>
    </row>
    <row r="176" spans="1:9" ht="17.100000000000001" hidden="1" customHeight="1" outlineLevel="1" x14ac:dyDescent="0.25">
      <c r="A176" s="108">
        <f t="shared" si="16"/>
        <v>43</v>
      </c>
      <c r="B176" s="131">
        <f t="shared" si="18"/>
        <v>44985</v>
      </c>
      <c r="C176" s="140">
        <f>'Att(1of6)(JP-Non)'!C178</f>
        <v>4.6768179999999999E-2</v>
      </c>
      <c r="D176" s="117">
        <f t="shared" si="17"/>
        <v>44986</v>
      </c>
      <c r="E176" s="117">
        <f t="shared" ref="E176:E183" si="19">EOMONTH(D176,1)</f>
        <v>45046</v>
      </c>
      <c r="F176" s="121">
        <f>+'[247]Page 2'!$I$11</f>
        <v>207798.77</v>
      </c>
      <c r="G176" s="117">
        <f t="shared" ref="G176:G183" si="20">E176</f>
        <v>45046</v>
      </c>
      <c r="H176" s="121">
        <f t="shared" ref="H176:H183" si="21">+F176</f>
        <v>207798.77</v>
      </c>
      <c r="I176" s="121">
        <f t="shared" ref="I176:I183" si="22">+F176-H176</f>
        <v>0</v>
      </c>
    </row>
    <row r="177" spans="1:9" ht="17.100000000000001" hidden="1" customHeight="1" outlineLevel="1" x14ac:dyDescent="0.25">
      <c r="A177" s="108">
        <f t="shared" si="16"/>
        <v>44</v>
      </c>
      <c r="B177" s="131">
        <f t="shared" si="18"/>
        <v>45016</v>
      </c>
      <c r="C177" s="140">
        <f>'Att(1of6)(JP-Non)'!C179</f>
        <v>6.4901299999999995E-2</v>
      </c>
      <c r="D177" s="117">
        <f t="shared" si="17"/>
        <v>45017</v>
      </c>
      <c r="E177" s="117">
        <f t="shared" si="19"/>
        <v>45077</v>
      </c>
      <c r="F177" s="121">
        <f>+'[248]Page 2'!$I$11</f>
        <v>290679.06</v>
      </c>
      <c r="G177" s="117">
        <f t="shared" si="20"/>
        <v>45077</v>
      </c>
      <c r="H177" s="121">
        <f t="shared" si="21"/>
        <v>290679.06</v>
      </c>
      <c r="I177" s="121">
        <f t="shared" si="22"/>
        <v>0</v>
      </c>
    </row>
    <row r="178" spans="1:9" ht="17.100000000000001" hidden="1" customHeight="1" outlineLevel="1" x14ac:dyDescent="0.25">
      <c r="A178" s="108">
        <f t="shared" si="16"/>
        <v>45</v>
      </c>
      <c r="B178" s="131">
        <f t="shared" si="18"/>
        <v>45046</v>
      </c>
      <c r="C178" s="140">
        <f>'Att(1of6)(JP-Non)'!C180</f>
        <v>6.2863630000000004E-2</v>
      </c>
      <c r="D178" s="117">
        <f t="shared" si="17"/>
        <v>45047</v>
      </c>
      <c r="E178" s="117">
        <f t="shared" si="19"/>
        <v>45107</v>
      </c>
      <c r="F178" s="121">
        <f>+'[249]Page 2'!$I$11</f>
        <v>292229.28000000003</v>
      </c>
      <c r="G178" s="117">
        <f t="shared" si="20"/>
        <v>45107</v>
      </c>
      <c r="H178" s="121">
        <f t="shared" si="21"/>
        <v>292229.28000000003</v>
      </c>
      <c r="I178" s="121">
        <f t="shared" si="22"/>
        <v>0</v>
      </c>
    </row>
    <row r="179" spans="1:9" ht="17.100000000000001" hidden="1" customHeight="1" outlineLevel="1" x14ac:dyDescent="0.25">
      <c r="A179" s="108">
        <f t="shared" si="16"/>
        <v>46</v>
      </c>
      <c r="B179" s="131">
        <f t="shared" si="18"/>
        <v>45077</v>
      </c>
      <c r="C179" s="140">
        <f>'Att(1of6)(JP-Non)'!C181</f>
        <v>8.1644729999999999E-2</v>
      </c>
      <c r="D179" s="117">
        <f t="shared" si="17"/>
        <v>45078</v>
      </c>
      <c r="E179" s="117">
        <f t="shared" si="19"/>
        <v>45138</v>
      </c>
      <c r="F179" s="121">
        <f>+'[250]Page 2'!$I$11</f>
        <v>377514.75</v>
      </c>
      <c r="G179" s="117">
        <f t="shared" si="20"/>
        <v>45138</v>
      </c>
      <c r="H179" s="121">
        <f t="shared" si="21"/>
        <v>377514.75</v>
      </c>
      <c r="I179" s="121">
        <f t="shared" si="22"/>
        <v>0</v>
      </c>
    </row>
    <row r="180" spans="1:9" ht="17.100000000000001" customHeight="1" collapsed="1" x14ac:dyDescent="0.25">
      <c r="A180" s="108">
        <v>1</v>
      </c>
      <c r="B180" s="131">
        <f t="shared" si="18"/>
        <v>45107</v>
      </c>
      <c r="C180" s="140">
        <f>'Att(1of6)(JP-Non)'!C182</f>
        <v>7.4411459999999999E-2</v>
      </c>
      <c r="D180" s="117">
        <f t="shared" si="17"/>
        <v>45108</v>
      </c>
      <c r="E180" s="117">
        <f t="shared" si="19"/>
        <v>45169</v>
      </c>
      <c r="F180" s="121">
        <f>+'[251]Page 2'!$I$11</f>
        <v>374941.88</v>
      </c>
      <c r="G180" s="117">
        <f t="shared" si="20"/>
        <v>45169</v>
      </c>
      <c r="H180" s="121">
        <f t="shared" si="21"/>
        <v>374941.88</v>
      </c>
      <c r="I180" s="121">
        <f t="shared" si="22"/>
        <v>0</v>
      </c>
    </row>
    <row r="181" spans="1:9" ht="17.100000000000001" customHeight="1" x14ac:dyDescent="0.25">
      <c r="A181" s="108">
        <f t="shared" si="16"/>
        <v>2</v>
      </c>
      <c r="B181" s="131">
        <f t="shared" si="18"/>
        <v>45138</v>
      </c>
      <c r="C181" s="140">
        <f>'Att(1of6)(JP-Non)'!C183</f>
        <v>7.5493160000000004E-2</v>
      </c>
      <c r="D181" s="117">
        <f t="shared" si="17"/>
        <v>45139</v>
      </c>
      <c r="E181" s="117">
        <f t="shared" si="19"/>
        <v>45199</v>
      </c>
      <c r="F181" s="121">
        <f>+'[252]Page 2'!$I$11</f>
        <v>381749.76000000001</v>
      </c>
      <c r="G181" s="117">
        <f t="shared" si="20"/>
        <v>45199</v>
      </c>
      <c r="H181" s="121">
        <f t="shared" si="21"/>
        <v>381749.76000000001</v>
      </c>
      <c r="I181" s="121">
        <f t="shared" si="22"/>
        <v>0</v>
      </c>
    </row>
    <row r="182" spans="1:9" ht="17.100000000000001" customHeight="1" x14ac:dyDescent="0.25">
      <c r="A182" s="108">
        <f t="shared" si="16"/>
        <v>3</v>
      </c>
      <c r="B182" s="131">
        <f t="shared" si="18"/>
        <v>45169</v>
      </c>
      <c r="C182" s="140">
        <f>'Att(1of6)(JP-Non)'!C184</f>
        <v>6.5876210000000004E-2</v>
      </c>
      <c r="D182" s="117">
        <f t="shared" si="17"/>
        <v>45170</v>
      </c>
      <c r="E182" s="117">
        <f t="shared" si="19"/>
        <v>45230</v>
      </c>
      <c r="F182" s="121">
        <f>+'[253]Page 2'!$I$11</f>
        <v>333658.03000000003</v>
      </c>
      <c r="G182" s="117">
        <f t="shared" si="20"/>
        <v>45230</v>
      </c>
      <c r="H182" s="121">
        <f t="shared" si="21"/>
        <v>333658.03000000003</v>
      </c>
      <c r="I182" s="121">
        <f t="shared" si="22"/>
        <v>0</v>
      </c>
    </row>
    <row r="183" spans="1:9" ht="17.100000000000001" customHeight="1" x14ac:dyDescent="0.25">
      <c r="A183" s="108">
        <f t="shared" si="16"/>
        <v>4</v>
      </c>
      <c r="B183" s="131">
        <f t="shared" si="18"/>
        <v>45199</v>
      </c>
      <c r="C183" s="140">
        <f>'Att(1of6)(JP-Non)'!C185</f>
        <v>6.4929429999999996E-2</v>
      </c>
      <c r="D183" s="117">
        <f t="shared" si="17"/>
        <v>45200</v>
      </c>
      <c r="E183" s="117">
        <f t="shared" si="19"/>
        <v>45260</v>
      </c>
      <c r="F183" s="121">
        <f>+'[254]Page 2'!$I$11</f>
        <v>326288.73</v>
      </c>
      <c r="G183" s="117">
        <f t="shared" si="20"/>
        <v>45260</v>
      </c>
      <c r="H183" s="121">
        <f t="shared" si="21"/>
        <v>326288.73</v>
      </c>
      <c r="I183" s="121">
        <f t="shared" si="22"/>
        <v>0</v>
      </c>
    </row>
    <row r="184" spans="1:9" ht="17.100000000000001" customHeight="1" x14ac:dyDescent="0.25">
      <c r="A184" s="108">
        <f t="shared" si="16"/>
        <v>5</v>
      </c>
      <c r="B184" s="131">
        <f t="shared" si="18"/>
        <v>45230</v>
      </c>
      <c r="C184" s="140">
        <f>'Att(1of6)(JP-Non)'!C186</f>
        <v>7.7310950000000003E-2</v>
      </c>
      <c r="D184" s="117">
        <f t="shared" si="17"/>
        <v>45231</v>
      </c>
      <c r="E184" s="117">
        <f t="shared" ref="E184:E201" si="23">EOMONTH(D184,1)</f>
        <v>45291</v>
      </c>
      <c r="F184" s="121">
        <f>'[255]Page 2'!$J$11</f>
        <v>432574.83</v>
      </c>
      <c r="G184" s="117">
        <f t="shared" ref="G184:G201" si="24">E184</f>
        <v>45291</v>
      </c>
      <c r="H184" s="121">
        <f t="shared" ref="H184:H201" si="25">+F184</f>
        <v>432574.83</v>
      </c>
      <c r="I184" s="121">
        <f t="shared" ref="I184:I201" si="26">+F184-H184</f>
        <v>0</v>
      </c>
    </row>
    <row r="185" spans="1:9" ht="17.100000000000001" customHeight="1" x14ac:dyDescent="0.25">
      <c r="A185" s="108">
        <f t="shared" si="16"/>
        <v>6</v>
      </c>
      <c r="B185" s="131">
        <f t="shared" si="18"/>
        <v>45260</v>
      </c>
      <c r="C185" s="140">
        <f>'Att(1of6)(JP-Non)'!C187</f>
        <v>7.9029470000000004E-2</v>
      </c>
      <c r="D185" s="117">
        <f t="shared" si="17"/>
        <v>45261</v>
      </c>
      <c r="E185" s="117">
        <f t="shared" si="23"/>
        <v>45322</v>
      </c>
      <c r="F185" s="121">
        <f>'[256]Page 2'!$J$11</f>
        <v>479804.71</v>
      </c>
      <c r="G185" s="117">
        <f t="shared" si="24"/>
        <v>45322</v>
      </c>
      <c r="H185" s="121">
        <f t="shared" si="25"/>
        <v>479804.71</v>
      </c>
      <c r="I185" s="121">
        <f t="shared" si="26"/>
        <v>0</v>
      </c>
    </row>
    <row r="186" spans="1:9" ht="17.100000000000001" customHeight="1" x14ac:dyDescent="0.25">
      <c r="A186" s="108">
        <f t="shared" si="16"/>
        <v>7</v>
      </c>
      <c r="B186" s="131">
        <f t="shared" si="18"/>
        <v>45291</v>
      </c>
      <c r="C186" s="140">
        <f>'Att(1of6)(JP-Non)'!C188</f>
        <v>8.48048E-2</v>
      </c>
      <c r="D186" s="117">
        <f t="shared" si="17"/>
        <v>45292</v>
      </c>
      <c r="E186" s="117">
        <f t="shared" si="23"/>
        <v>45351</v>
      </c>
      <c r="F186" s="121">
        <f>'[257]Page 2'!$J$11</f>
        <v>522143.18</v>
      </c>
      <c r="G186" s="117">
        <f t="shared" si="24"/>
        <v>45351</v>
      </c>
      <c r="H186" s="121">
        <f t="shared" si="25"/>
        <v>522143.18</v>
      </c>
      <c r="I186" s="121">
        <f t="shared" si="26"/>
        <v>0</v>
      </c>
    </row>
    <row r="187" spans="1:9" ht="17.100000000000001" customHeight="1" x14ac:dyDescent="0.25">
      <c r="A187" s="108">
        <f t="shared" si="16"/>
        <v>8</v>
      </c>
      <c r="B187" s="131">
        <f t="shared" si="18"/>
        <v>45322</v>
      </c>
      <c r="C187" s="140">
        <f>'Att(1of6)(JP-Non)'!C189</f>
        <v>7.1640460000000003E-2</v>
      </c>
      <c r="D187" s="117">
        <f t="shared" si="17"/>
        <v>45323</v>
      </c>
      <c r="E187" s="117">
        <f t="shared" si="23"/>
        <v>45382</v>
      </c>
      <c r="F187" s="121">
        <f>'[258]Page 2'!$J$11</f>
        <v>414661.57</v>
      </c>
      <c r="G187" s="117">
        <f t="shared" si="24"/>
        <v>45382</v>
      </c>
      <c r="H187" s="121">
        <f t="shared" si="25"/>
        <v>414661.57</v>
      </c>
      <c r="I187" s="121">
        <f t="shared" si="26"/>
        <v>0</v>
      </c>
    </row>
    <row r="188" spans="1:9" ht="17.100000000000001" customHeight="1" x14ac:dyDescent="0.25">
      <c r="A188" s="108">
        <f t="shared" si="16"/>
        <v>9</v>
      </c>
      <c r="B188" s="131">
        <f t="shared" si="18"/>
        <v>45351</v>
      </c>
      <c r="C188" s="140">
        <f>'Att(1of6)(JP-Non)'!C190</f>
        <v>5.6475690000000002E-2</v>
      </c>
      <c r="D188" s="117">
        <f t="shared" si="17"/>
        <v>45352</v>
      </c>
      <c r="E188" s="117">
        <f t="shared" si="23"/>
        <v>45412</v>
      </c>
      <c r="F188" s="121">
        <f>'[259]Page 2'!$J$11</f>
        <v>402955.67</v>
      </c>
      <c r="G188" s="117">
        <f t="shared" si="24"/>
        <v>45412</v>
      </c>
      <c r="H188" s="121">
        <f t="shared" si="25"/>
        <v>402955.67</v>
      </c>
      <c r="I188" s="121">
        <f t="shared" si="26"/>
        <v>0</v>
      </c>
    </row>
    <row r="189" spans="1:9" ht="17.100000000000001" customHeight="1" x14ac:dyDescent="0.25">
      <c r="A189" s="108">
        <f t="shared" si="16"/>
        <v>10</v>
      </c>
      <c r="B189" s="131">
        <f t="shared" si="18"/>
        <v>45382</v>
      </c>
      <c r="C189" s="140">
        <f>'Att(1of6)(JP-Non)'!C191</f>
        <v>7.6254279999999994E-2</v>
      </c>
      <c r="D189" s="117">
        <f t="shared" si="17"/>
        <v>45383</v>
      </c>
      <c r="E189" s="117">
        <f t="shared" si="23"/>
        <v>45443</v>
      </c>
      <c r="F189" s="121">
        <f>'[260]Page 2'!$J$11</f>
        <v>486462.09</v>
      </c>
      <c r="G189" s="117">
        <f t="shared" si="24"/>
        <v>45443</v>
      </c>
      <c r="H189" s="121">
        <f t="shared" si="25"/>
        <v>486462.09</v>
      </c>
      <c r="I189" s="121">
        <f t="shared" si="26"/>
        <v>0</v>
      </c>
    </row>
    <row r="190" spans="1:9" ht="17.100000000000001" customHeight="1" x14ac:dyDescent="0.25">
      <c r="A190" s="108">
        <f t="shared" si="16"/>
        <v>11</v>
      </c>
      <c r="B190" s="131">
        <f t="shared" si="18"/>
        <v>45412</v>
      </c>
      <c r="C190" s="140">
        <f>'Att(1of6)(JP-Non)'!C192</f>
        <v>7.5138930000000007E-2</v>
      </c>
      <c r="D190" s="117">
        <f t="shared" si="17"/>
        <v>45413</v>
      </c>
      <c r="E190" s="117">
        <f t="shared" si="23"/>
        <v>45473</v>
      </c>
      <c r="F190" s="121">
        <f>'[261]Page 2'!$J$11</f>
        <v>451524.94</v>
      </c>
      <c r="G190" s="117">
        <f t="shared" si="24"/>
        <v>45473</v>
      </c>
      <c r="H190" s="121">
        <f t="shared" si="25"/>
        <v>451524.94</v>
      </c>
      <c r="I190" s="121">
        <f t="shared" si="26"/>
        <v>0</v>
      </c>
    </row>
    <row r="191" spans="1:9" ht="17.100000000000001" customHeight="1" x14ac:dyDescent="0.25">
      <c r="A191" s="108">
        <f t="shared" si="16"/>
        <v>12</v>
      </c>
      <c r="B191" s="131">
        <f t="shared" si="18"/>
        <v>45443</v>
      </c>
      <c r="C191" s="140">
        <f>'Att(1of6)(JP-Non)'!C193</f>
        <v>7.7712069999999994E-2</v>
      </c>
      <c r="D191" s="117">
        <f t="shared" si="17"/>
        <v>45444</v>
      </c>
      <c r="E191" s="117">
        <f t="shared" si="23"/>
        <v>45504</v>
      </c>
      <c r="F191" s="121">
        <f>'[262]Page 2'!$J$11</f>
        <v>484240.72</v>
      </c>
      <c r="G191" s="117">
        <f t="shared" si="24"/>
        <v>45504</v>
      </c>
      <c r="H191" s="121">
        <f t="shared" si="25"/>
        <v>484240.72</v>
      </c>
      <c r="I191" s="121">
        <f t="shared" si="26"/>
        <v>0</v>
      </c>
    </row>
    <row r="192" spans="1:9" ht="17.100000000000001" customHeight="1" x14ac:dyDescent="0.25">
      <c r="A192" s="108">
        <f t="shared" si="16"/>
        <v>13</v>
      </c>
      <c r="B192" s="131">
        <f t="shared" si="18"/>
        <v>45473</v>
      </c>
      <c r="C192" s="140">
        <f>'Att(1of6)(JP-Non)'!C194</f>
        <v>8.6303729999999995E-2</v>
      </c>
      <c r="D192" s="117">
        <f t="shared" si="17"/>
        <v>45474</v>
      </c>
      <c r="E192" s="117">
        <f t="shared" si="23"/>
        <v>45535</v>
      </c>
      <c r="F192" s="121">
        <f>'[263]Page 2'!$J$11</f>
        <v>541954.38</v>
      </c>
      <c r="G192" s="117">
        <f t="shared" si="24"/>
        <v>45535</v>
      </c>
      <c r="H192" s="121">
        <f t="shared" si="25"/>
        <v>541954.38</v>
      </c>
      <c r="I192" s="121">
        <f t="shared" si="26"/>
        <v>0</v>
      </c>
    </row>
    <row r="193" spans="1:16" ht="17.100000000000001" customHeight="1" x14ac:dyDescent="0.25">
      <c r="A193" s="108">
        <f t="shared" si="16"/>
        <v>14</v>
      </c>
      <c r="B193" s="131">
        <f t="shared" si="18"/>
        <v>45504</v>
      </c>
      <c r="C193" s="140">
        <f>'Att(1of6)(JP-Non)'!C195</f>
        <v>7.8004019999999993E-2</v>
      </c>
      <c r="D193" s="117">
        <f t="shared" si="17"/>
        <v>45505</v>
      </c>
      <c r="E193" s="117">
        <f t="shared" si="23"/>
        <v>45565</v>
      </c>
      <c r="F193" s="121">
        <f>'[264]Page 2'!$J$11</f>
        <v>522758</v>
      </c>
      <c r="G193" s="117">
        <f t="shared" si="24"/>
        <v>45565</v>
      </c>
      <c r="H193" s="121">
        <f t="shared" si="25"/>
        <v>522758</v>
      </c>
      <c r="I193" s="121">
        <f t="shared" si="26"/>
        <v>0</v>
      </c>
    </row>
    <row r="194" spans="1:16" ht="17.100000000000001" customHeight="1" x14ac:dyDescent="0.25">
      <c r="A194" s="108">
        <f t="shared" si="16"/>
        <v>15</v>
      </c>
      <c r="B194" s="131">
        <f t="shared" si="18"/>
        <v>45535</v>
      </c>
      <c r="C194" s="140">
        <f>'Att(1of6)(JP-Non)'!C196</f>
        <v>6.874218E-2</v>
      </c>
      <c r="D194" s="117">
        <f t="shared" si="17"/>
        <v>45536</v>
      </c>
      <c r="E194" s="117">
        <f t="shared" si="23"/>
        <v>45596</v>
      </c>
      <c r="F194" s="121">
        <f>'[265]Page 2'!$J$11</f>
        <v>448693.2</v>
      </c>
      <c r="G194" s="117">
        <f t="shared" si="24"/>
        <v>45596</v>
      </c>
      <c r="H194" s="121">
        <f t="shared" si="25"/>
        <v>448693.2</v>
      </c>
      <c r="I194" s="121">
        <f t="shared" si="26"/>
        <v>0</v>
      </c>
    </row>
    <row r="195" spans="1:16" ht="17.100000000000001" customHeight="1" x14ac:dyDescent="0.25">
      <c r="A195" s="108">
        <f t="shared" si="16"/>
        <v>16</v>
      </c>
      <c r="B195" s="131">
        <f t="shared" si="18"/>
        <v>45565</v>
      </c>
      <c r="C195" s="140">
        <f>'Att(1of6)(JP-Non)'!C197</f>
        <v>6.7934670000000003E-2</v>
      </c>
      <c r="D195" s="117">
        <f t="shared" si="17"/>
        <v>45566</v>
      </c>
      <c r="E195" s="117">
        <f t="shared" si="23"/>
        <v>45626</v>
      </c>
      <c r="F195" s="121">
        <f>'[266]Page 2'!$J$11</f>
        <v>470576.29</v>
      </c>
      <c r="G195" s="117">
        <f t="shared" si="24"/>
        <v>45626</v>
      </c>
      <c r="H195" s="121">
        <f t="shared" si="25"/>
        <v>470576.29</v>
      </c>
      <c r="I195" s="121">
        <f t="shared" si="26"/>
        <v>0</v>
      </c>
    </row>
    <row r="196" spans="1:16" ht="17.100000000000001" customHeight="1" x14ac:dyDescent="0.25">
      <c r="A196" s="108">
        <f t="shared" si="16"/>
        <v>17</v>
      </c>
      <c r="B196" s="131">
        <f t="shared" si="18"/>
        <v>45596</v>
      </c>
      <c r="C196" s="140">
        <f>'Att(1of6)(JP-Non)'!C198</f>
        <v>6.7684969999999997E-2</v>
      </c>
      <c r="D196" s="117">
        <f t="shared" si="17"/>
        <v>45597</v>
      </c>
      <c r="E196" s="117">
        <f t="shared" si="23"/>
        <v>45657</v>
      </c>
      <c r="F196" s="121">
        <f>'[267]Page 2'!$J$11</f>
        <v>439707.23</v>
      </c>
      <c r="G196" s="117">
        <f t="shared" si="24"/>
        <v>45657</v>
      </c>
      <c r="H196" s="121">
        <f t="shared" si="25"/>
        <v>439707.23</v>
      </c>
      <c r="I196" s="121">
        <f t="shared" si="26"/>
        <v>0</v>
      </c>
    </row>
    <row r="197" spans="1:16" ht="17.100000000000001" customHeight="1" x14ac:dyDescent="0.25">
      <c r="A197" s="108">
        <f t="shared" si="16"/>
        <v>18</v>
      </c>
      <c r="B197" s="131">
        <f t="shared" si="18"/>
        <v>45626</v>
      </c>
      <c r="C197" s="140">
        <f>'Att(1of6)(JP-Non)'!C199</f>
        <v>7.9953739999999995E-2</v>
      </c>
      <c r="D197" s="117">
        <f t="shared" si="17"/>
        <v>45627</v>
      </c>
      <c r="E197" s="117">
        <f t="shared" si="23"/>
        <v>45688</v>
      </c>
      <c r="F197" s="121">
        <f>'[268]Page 2'!$J$11</f>
        <v>509881.45</v>
      </c>
      <c r="G197" s="117">
        <f t="shared" si="24"/>
        <v>45688</v>
      </c>
      <c r="H197" s="121">
        <f t="shared" si="25"/>
        <v>509881.45</v>
      </c>
      <c r="I197" s="121">
        <f t="shared" si="26"/>
        <v>0</v>
      </c>
    </row>
    <row r="198" spans="1:16" ht="17.100000000000001" customHeight="1" x14ac:dyDescent="0.25">
      <c r="A198" s="108">
        <f t="shared" si="16"/>
        <v>19</v>
      </c>
      <c r="B198" s="131">
        <f t="shared" si="18"/>
        <v>45657</v>
      </c>
      <c r="C198" s="140">
        <f>'Att(1of6)(JP-Non)'!C200</f>
        <v>7.5819269999999994E-2</v>
      </c>
      <c r="D198" s="117">
        <f t="shared" si="17"/>
        <v>45658</v>
      </c>
      <c r="E198" s="117">
        <f t="shared" si="23"/>
        <v>45716</v>
      </c>
      <c r="F198" s="121">
        <f>'[269]Page 2'!$J$11</f>
        <v>448402.57</v>
      </c>
      <c r="G198" s="117">
        <f t="shared" si="24"/>
        <v>45716</v>
      </c>
      <c r="H198" s="121">
        <f t="shared" si="25"/>
        <v>448402.57</v>
      </c>
      <c r="I198" s="121">
        <f t="shared" si="26"/>
        <v>0</v>
      </c>
    </row>
    <row r="199" spans="1:16" ht="17.100000000000001" customHeight="1" x14ac:dyDescent="0.25">
      <c r="A199" s="108">
        <f t="shared" si="16"/>
        <v>20</v>
      </c>
      <c r="B199" s="131">
        <f t="shared" si="18"/>
        <v>45688</v>
      </c>
      <c r="C199" s="140">
        <f>'Att(1of6)(JP-Non)'!C201</f>
        <v>7.1409169999999994E-2</v>
      </c>
      <c r="D199" s="117">
        <f t="shared" si="17"/>
        <v>45689</v>
      </c>
      <c r="E199" s="117">
        <f t="shared" si="23"/>
        <v>45747</v>
      </c>
      <c r="F199" s="121">
        <f>'[270]Page 2'!$J$11</f>
        <v>469370.97</v>
      </c>
      <c r="G199" s="117">
        <f t="shared" si="24"/>
        <v>45747</v>
      </c>
      <c r="H199" s="121">
        <f t="shared" si="25"/>
        <v>469370.97</v>
      </c>
      <c r="I199" s="121">
        <f t="shared" si="26"/>
        <v>0</v>
      </c>
    </row>
    <row r="200" spans="1:16" ht="17.100000000000001" hidden="1" customHeight="1" x14ac:dyDescent="0.25">
      <c r="A200" s="108">
        <f t="shared" ref="A200:A201" si="27">+A199+1</f>
        <v>21</v>
      </c>
      <c r="B200" s="131">
        <f t="shared" si="18"/>
        <v>45716</v>
      </c>
      <c r="C200" s="140">
        <f>'Att(1of6)(JP-Non)'!C202</f>
        <v>5.6928850000000003E-2</v>
      </c>
      <c r="D200" s="117">
        <f t="shared" si="17"/>
        <v>45717</v>
      </c>
      <c r="E200" s="117">
        <f t="shared" si="23"/>
        <v>45777</v>
      </c>
      <c r="F200" s="121">
        <f>'[271]Page 2'!$J$11</f>
        <v>375086.61</v>
      </c>
      <c r="G200" s="117">
        <f t="shared" si="24"/>
        <v>45777</v>
      </c>
      <c r="H200" s="121">
        <f t="shared" si="25"/>
        <v>375086.61</v>
      </c>
      <c r="I200" s="121">
        <f t="shared" si="26"/>
        <v>0</v>
      </c>
    </row>
    <row r="201" spans="1:16" ht="17.100000000000001" hidden="1" customHeight="1" x14ac:dyDescent="0.25">
      <c r="A201" s="108">
        <f t="shared" si="27"/>
        <v>22</v>
      </c>
      <c r="B201" s="131">
        <f t="shared" si="18"/>
        <v>45747</v>
      </c>
      <c r="C201" s="140">
        <f>'Att(1of6)(JP-Non)'!C203</f>
        <v>6.0677380000000003E-2</v>
      </c>
      <c r="D201" s="117">
        <f t="shared" si="17"/>
        <v>45748</v>
      </c>
      <c r="E201" s="117">
        <f t="shared" si="23"/>
        <v>45808</v>
      </c>
      <c r="F201" s="121"/>
      <c r="G201" s="117">
        <f t="shared" si="24"/>
        <v>45808</v>
      </c>
      <c r="H201" s="121">
        <f t="shared" si="25"/>
        <v>0</v>
      </c>
      <c r="I201" s="121">
        <f t="shared" si="26"/>
        <v>0</v>
      </c>
    </row>
    <row r="202" spans="1:16" ht="5.25" customHeight="1" x14ac:dyDescent="0.25">
      <c r="B202" s="132"/>
      <c r="C202" s="141"/>
      <c r="D202" s="124"/>
      <c r="E202" s="124"/>
      <c r="F202" s="125"/>
      <c r="G202" s="124"/>
      <c r="H202" s="125"/>
      <c r="I202" s="125"/>
    </row>
    <row r="203" spans="1:16" s="120" customFormat="1" ht="17.100000000000001" customHeight="1" collapsed="1" x14ac:dyDescent="0.25">
      <c r="A203" s="137"/>
      <c r="B203" s="137"/>
      <c r="C203" s="137"/>
      <c r="D203" s="111"/>
      <c r="E203" s="111"/>
      <c r="F203" s="112"/>
      <c r="G203" s="112"/>
      <c r="H203" s="112"/>
      <c r="I203" s="112"/>
      <c r="K203" s="133"/>
      <c r="L203" s="133"/>
      <c r="M203" s="133"/>
      <c r="N203" s="133"/>
      <c r="O203" s="133"/>
      <c r="P203" s="133"/>
    </row>
    <row r="204" spans="1:16" s="111" customFormat="1" ht="17.100000000000001" customHeight="1" x14ac:dyDescent="0.25">
      <c r="A204" s="137"/>
      <c r="B204" s="205"/>
      <c r="C204" s="137"/>
      <c r="D204" s="120"/>
      <c r="F204" s="112"/>
      <c r="G204" s="112"/>
      <c r="H204" s="112"/>
      <c r="I204" s="112"/>
      <c r="J204" s="120"/>
      <c r="K204" s="133"/>
      <c r="L204" s="133"/>
      <c r="M204" s="133"/>
      <c r="N204" s="133"/>
      <c r="O204" s="133"/>
      <c r="P204" s="133"/>
    </row>
    <row r="205" spans="1:16" s="126" customFormat="1" ht="17.45" customHeight="1" x14ac:dyDescent="0.25">
      <c r="A205" s="108"/>
      <c r="B205" s="108"/>
      <c r="C205" s="108"/>
      <c r="F205" s="115"/>
      <c r="G205" s="115"/>
      <c r="H205" s="115"/>
      <c r="I205" s="115"/>
      <c r="J205" s="107"/>
      <c r="K205" s="110"/>
      <c r="L205" s="110"/>
      <c r="M205" s="110"/>
      <c r="N205" s="110"/>
      <c r="O205" s="110"/>
      <c r="P205" s="110"/>
    </row>
    <row r="206" spans="1:16" s="126" customFormat="1" x14ac:dyDescent="0.25">
      <c r="A206" s="107"/>
      <c r="B206" s="107"/>
      <c r="C206" s="107"/>
      <c r="F206" s="115"/>
      <c r="G206" s="115"/>
      <c r="H206" s="115"/>
      <c r="I206" s="115"/>
      <c r="J206" s="107"/>
      <c r="K206" s="110"/>
      <c r="L206" s="110"/>
      <c r="M206" s="110"/>
      <c r="N206" s="110"/>
      <c r="O206" s="110"/>
      <c r="P206" s="110"/>
    </row>
  </sheetData>
  <mergeCells count="14">
    <mergeCell ref="A1:J1"/>
    <mergeCell ref="A2:J2"/>
    <mergeCell ref="A3:J3"/>
    <mergeCell ref="A4:J4"/>
    <mergeCell ref="B6:I6"/>
    <mergeCell ref="B7:I7"/>
    <mergeCell ref="B9:B11"/>
    <mergeCell ref="C9:C11"/>
    <mergeCell ref="D9:D11"/>
    <mergeCell ref="E9:E11"/>
    <mergeCell ref="F9:F11"/>
    <mergeCell ref="G9:G11"/>
    <mergeCell ref="H9:H11"/>
    <mergeCell ref="I9:I11"/>
  </mergeCells>
  <pageMargins left="0.5" right="0.5" top="1" bottom="1.05" header="0.375" footer="0.25"/>
  <pageSetup scale="80" orientation="landscape" r:id="rId1"/>
  <headerFooter alignWithMargins="0">
    <oddFooter>&amp;L&amp;"Century Schoolbook,Bold"&amp;12Case No. 2025-00052
Attachment (1 of 6) for Response to Staff's First Request Item 2
Witness: Rebecca L. (Becky) Shelton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2"/>
    <pageSetUpPr fitToPage="1"/>
  </sheetPr>
  <dimension ref="A1:P206"/>
  <sheetViews>
    <sheetView tabSelected="1" zoomScaleNormal="100" zoomScaleSheetLayoutView="70" workbookViewId="0">
      <pane xSplit="4" ySplit="11" topLeftCell="E12" activePane="bottomRight" state="frozen"/>
      <selection sqref="A1:L1"/>
      <selection pane="topRight" sqref="A1:L1"/>
      <selection pane="bottomLeft" sqref="A1:L1"/>
      <selection pane="bottomRight" sqref="A1:J202"/>
    </sheetView>
  </sheetViews>
  <sheetFormatPr defaultColWidth="9.140625" defaultRowHeight="15.75" outlineLevelRow="1" x14ac:dyDescent="0.25"/>
  <cols>
    <col min="1" max="1" width="5.140625" style="108" customWidth="1"/>
    <col min="2" max="2" width="14.140625" style="108" customWidth="1"/>
    <col min="3" max="3" width="18.28515625" style="108" customWidth="1"/>
    <col min="4" max="5" width="14.42578125" style="126" customWidth="1"/>
    <col min="6" max="6" width="23.7109375" style="115" customWidth="1"/>
    <col min="7" max="7" width="16.28515625" style="115" customWidth="1"/>
    <col min="8" max="8" width="23.7109375" style="115" customWidth="1"/>
    <col min="9" max="9" width="27" style="115" customWidth="1"/>
    <col min="10" max="10" width="1.7109375" style="107" customWidth="1"/>
    <col min="11" max="11" width="14" style="110" bestFit="1" customWidth="1"/>
    <col min="12" max="12" width="12.140625" style="110" bestFit="1" customWidth="1"/>
    <col min="13" max="13" width="11.5703125" style="110" bestFit="1" customWidth="1"/>
    <col min="14" max="16" width="9.140625" style="110"/>
    <col min="17" max="16384" width="9.140625" style="107"/>
  </cols>
  <sheetData>
    <row r="1" spans="1:16" ht="16.899999999999999" customHeight="1" x14ac:dyDescent="0.25">
      <c r="A1" s="213" t="str">
        <f>'Att(1of6)(JP-Non)'!A1:L1</f>
        <v>BIG RIVERS ELECTRIC CORPORATION</v>
      </c>
      <c r="B1" s="227"/>
      <c r="C1" s="227"/>
      <c r="D1" s="227"/>
      <c r="E1" s="227"/>
      <c r="F1" s="227"/>
      <c r="G1" s="227"/>
      <c r="H1" s="227"/>
      <c r="I1" s="227"/>
      <c r="J1" s="227"/>
      <c r="K1" s="107"/>
      <c r="L1" s="109"/>
      <c r="M1" s="109"/>
      <c r="N1" s="109"/>
      <c r="O1" s="107"/>
      <c r="P1" s="107"/>
    </row>
    <row r="2" spans="1:16" ht="16.899999999999999" customHeight="1" x14ac:dyDescent="0.25">
      <c r="A2" s="213" t="str">
        <f>'Att(1of6)(JP-Non)'!A2:L2</f>
        <v>Six-Month Environmental Surcharge Review (Case No. 2025-00052)</v>
      </c>
      <c r="B2" s="227"/>
      <c r="C2" s="227"/>
      <c r="D2" s="227"/>
      <c r="E2" s="227"/>
      <c r="F2" s="227"/>
      <c r="G2" s="227"/>
      <c r="H2" s="227"/>
      <c r="I2" s="227"/>
      <c r="J2" s="227"/>
      <c r="K2" s="107"/>
      <c r="L2" s="109"/>
      <c r="M2" s="109"/>
      <c r="N2" s="109"/>
      <c r="O2" s="107"/>
      <c r="P2" s="107"/>
    </row>
    <row r="3" spans="1:16" ht="16.899999999999999" customHeight="1" x14ac:dyDescent="0.25">
      <c r="A3" s="213" t="str">
        <f>'Att(1of6)(JP-Non)'!A3:L3</f>
        <v>Response to Commission Staff's First Request for Information dated April 3, 2025</v>
      </c>
      <c r="B3" s="227"/>
      <c r="C3" s="227"/>
      <c r="D3" s="227"/>
      <c r="E3" s="227"/>
      <c r="F3" s="227"/>
      <c r="G3" s="227"/>
      <c r="H3" s="227"/>
      <c r="I3" s="227"/>
      <c r="J3" s="227"/>
      <c r="K3" s="107"/>
      <c r="L3" s="109"/>
      <c r="M3" s="109"/>
      <c r="N3" s="109"/>
      <c r="O3" s="107"/>
      <c r="P3" s="107"/>
    </row>
    <row r="4" spans="1:16" ht="16.899999999999999" customHeight="1" x14ac:dyDescent="0.25">
      <c r="A4" s="213" t="s">
        <v>149</v>
      </c>
      <c r="B4" s="227"/>
      <c r="C4" s="227"/>
      <c r="D4" s="227"/>
      <c r="E4" s="227"/>
      <c r="F4" s="227"/>
      <c r="G4" s="227"/>
      <c r="H4" s="227"/>
      <c r="I4" s="227"/>
      <c r="J4" s="227"/>
      <c r="K4" s="107"/>
      <c r="L4" s="109"/>
      <c r="M4" s="109"/>
      <c r="N4" s="109"/>
      <c r="O4" s="107"/>
      <c r="P4" s="107"/>
    </row>
    <row r="5" spans="1:16" s="120" customFormat="1" ht="9" customHeight="1" x14ac:dyDescent="0.25">
      <c r="A5" s="108"/>
      <c r="B5" s="108"/>
      <c r="C5" s="108"/>
      <c r="D5" s="130"/>
      <c r="E5" s="130"/>
      <c r="F5" s="112"/>
      <c r="G5" s="112"/>
      <c r="H5" s="112"/>
      <c r="I5" s="112"/>
      <c r="K5" s="133"/>
      <c r="L5" s="133"/>
      <c r="M5" s="133"/>
      <c r="N5" s="133"/>
      <c r="O5" s="133"/>
      <c r="P5" s="133"/>
    </row>
    <row r="6" spans="1:16" ht="17.100000000000001" customHeight="1" x14ac:dyDescent="0.25">
      <c r="B6" s="217" t="s">
        <v>102</v>
      </c>
      <c r="C6" s="234"/>
      <c r="D6" s="234"/>
      <c r="E6" s="234"/>
      <c r="F6" s="234"/>
      <c r="G6" s="234"/>
      <c r="H6" s="234"/>
      <c r="I6" s="235"/>
      <c r="J6" s="120"/>
      <c r="K6" s="133"/>
    </row>
    <row r="7" spans="1:16" ht="17.100000000000001" customHeight="1" x14ac:dyDescent="0.25">
      <c r="B7" s="231" t="s">
        <v>106</v>
      </c>
      <c r="C7" s="232"/>
      <c r="D7" s="232"/>
      <c r="E7" s="232"/>
      <c r="F7" s="232"/>
      <c r="G7" s="232"/>
      <c r="H7" s="232"/>
      <c r="I7" s="233"/>
    </row>
    <row r="8" spans="1:16" ht="17.100000000000001" customHeight="1" x14ac:dyDescent="0.25">
      <c r="B8" s="108" t="s">
        <v>1</v>
      </c>
      <c r="C8" s="108" t="s">
        <v>2</v>
      </c>
      <c r="D8" s="113" t="s">
        <v>3</v>
      </c>
      <c r="E8" s="113" t="s">
        <v>4</v>
      </c>
      <c r="F8" s="114" t="s">
        <v>5</v>
      </c>
      <c r="G8" s="114" t="s">
        <v>6</v>
      </c>
      <c r="H8" s="136" t="s">
        <v>94</v>
      </c>
      <c r="I8" s="136" t="s">
        <v>95</v>
      </c>
    </row>
    <row r="9" spans="1:16" ht="17.100000000000001" customHeight="1" x14ac:dyDescent="0.25">
      <c r="B9" s="211" t="s">
        <v>103</v>
      </c>
      <c r="C9" s="211" t="s">
        <v>105</v>
      </c>
      <c r="D9" s="211" t="s">
        <v>92</v>
      </c>
      <c r="E9" s="211" t="s">
        <v>93</v>
      </c>
      <c r="F9" s="211" t="s">
        <v>112</v>
      </c>
      <c r="G9" s="211" t="s">
        <v>157</v>
      </c>
      <c r="H9" s="211" t="s">
        <v>155</v>
      </c>
      <c r="I9" s="211" t="s">
        <v>156</v>
      </c>
    </row>
    <row r="10" spans="1:16" ht="17.100000000000001" customHeight="1" x14ac:dyDescent="0.25">
      <c r="B10" s="211"/>
      <c r="C10" s="211"/>
      <c r="D10" s="211"/>
      <c r="E10" s="211"/>
      <c r="F10" s="211"/>
      <c r="G10" s="211"/>
      <c r="H10" s="211"/>
      <c r="I10" s="211"/>
    </row>
    <row r="11" spans="1:16" ht="17.100000000000001" customHeight="1" x14ac:dyDescent="0.25">
      <c r="B11" s="211"/>
      <c r="C11" s="211"/>
      <c r="D11" s="211"/>
      <c r="E11" s="211"/>
      <c r="F11" s="211"/>
      <c r="G11" s="211"/>
      <c r="H11" s="211"/>
      <c r="I11" s="211"/>
    </row>
    <row r="12" spans="1:16" ht="17.100000000000001" hidden="1" customHeight="1" outlineLevel="1" x14ac:dyDescent="0.25">
      <c r="B12" s="156"/>
      <c r="C12" s="155"/>
      <c r="D12" s="117">
        <v>39995</v>
      </c>
      <c r="E12" s="163"/>
      <c r="F12" s="121">
        <v>0</v>
      </c>
      <c r="G12" s="163"/>
      <c r="H12" s="121">
        <f>+F12</f>
        <v>0</v>
      </c>
      <c r="I12" s="121">
        <f>+F12-H12</f>
        <v>0</v>
      </c>
    </row>
    <row r="13" spans="1:16" ht="17.100000000000001" hidden="1" customHeight="1" outlineLevel="1" x14ac:dyDescent="0.25">
      <c r="B13" s="156"/>
      <c r="C13" s="155"/>
      <c r="D13" s="117">
        <f t="shared" ref="D13:D49" si="0">EOMONTH(D12,1)</f>
        <v>40056</v>
      </c>
      <c r="E13" s="163"/>
      <c r="F13" s="121">
        <v>0</v>
      </c>
      <c r="G13" s="163"/>
      <c r="H13" s="121">
        <f>+F13</f>
        <v>0</v>
      </c>
      <c r="I13" s="121">
        <f t="shared" ref="I13:I76" si="1">+F13-H13</f>
        <v>0</v>
      </c>
    </row>
    <row r="14" spans="1:16" ht="17.100000000000001" hidden="1" customHeight="1" outlineLevel="1" x14ac:dyDescent="0.25">
      <c r="B14" s="156"/>
      <c r="C14" s="155"/>
      <c r="D14" s="117">
        <f t="shared" si="0"/>
        <v>40086</v>
      </c>
      <c r="E14" s="163"/>
      <c r="F14" s="121">
        <v>0</v>
      </c>
      <c r="G14" s="163"/>
      <c r="H14" s="121">
        <f t="shared" ref="H14:H77" si="2">+F14</f>
        <v>0</v>
      </c>
      <c r="I14" s="121">
        <f t="shared" si="1"/>
        <v>0</v>
      </c>
    </row>
    <row r="15" spans="1:16" ht="17.100000000000001" hidden="1" customHeight="1" outlineLevel="1" x14ac:dyDescent="0.25">
      <c r="B15" s="156"/>
      <c r="C15" s="155"/>
      <c r="D15" s="117">
        <f t="shared" si="0"/>
        <v>40117</v>
      </c>
      <c r="E15" s="163"/>
      <c r="F15" s="121">
        <v>0</v>
      </c>
      <c r="G15" s="163"/>
      <c r="H15" s="121">
        <f t="shared" si="2"/>
        <v>0</v>
      </c>
      <c r="I15" s="121">
        <f t="shared" si="1"/>
        <v>0</v>
      </c>
    </row>
    <row r="16" spans="1:16" ht="17.100000000000001" hidden="1" customHeight="1" outlineLevel="1" x14ac:dyDescent="0.25">
      <c r="B16" s="156"/>
      <c r="C16" s="155"/>
      <c r="D16" s="117">
        <f t="shared" si="0"/>
        <v>40147</v>
      </c>
      <c r="E16" s="163"/>
      <c r="F16" s="121">
        <v>0</v>
      </c>
      <c r="G16" s="163"/>
      <c r="H16" s="121">
        <f t="shared" si="2"/>
        <v>0</v>
      </c>
      <c r="I16" s="121">
        <f t="shared" si="1"/>
        <v>0</v>
      </c>
    </row>
    <row r="17" spans="2:9" ht="17.100000000000001" hidden="1" customHeight="1" outlineLevel="1" x14ac:dyDescent="0.25">
      <c r="B17" s="156"/>
      <c r="C17" s="155"/>
      <c r="D17" s="117">
        <f t="shared" si="0"/>
        <v>40178</v>
      </c>
      <c r="E17" s="163"/>
      <c r="F17" s="121">
        <v>0</v>
      </c>
      <c r="G17" s="163"/>
      <c r="H17" s="121">
        <f t="shared" si="2"/>
        <v>0</v>
      </c>
      <c r="I17" s="121">
        <f t="shared" si="1"/>
        <v>0</v>
      </c>
    </row>
    <row r="18" spans="2:9" ht="17.100000000000001" hidden="1" customHeight="1" outlineLevel="1" x14ac:dyDescent="0.25">
      <c r="B18" s="156"/>
      <c r="C18" s="155"/>
      <c r="D18" s="117">
        <f t="shared" si="0"/>
        <v>40209</v>
      </c>
      <c r="E18" s="163"/>
      <c r="F18" s="121">
        <v>0</v>
      </c>
      <c r="G18" s="163"/>
      <c r="H18" s="121">
        <f t="shared" si="2"/>
        <v>0</v>
      </c>
      <c r="I18" s="121">
        <f t="shared" si="1"/>
        <v>0</v>
      </c>
    </row>
    <row r="19" spans="2:9" ht="17.100000000000001" hidden="1" customHeight="1" outlineLevel="1" x14ac:dyDescent="0.25">
      <c r="B19" s="156"/>
      <c r="C19" s="155"/>
      <c r="D19" s="117">
        <f t="shared" si="0"/>
        <v>40237</v>
      </c>
      <c r="E19" s="163"/>
      <c r="F19" s="121">
        <v>0</v>
      </c>
      <c r="G19" s="163"/>
      <c r="H19" s="121">
        <f t="shared" si="2"/>
        <v>0</v>
      </c>
      <c r="I19" s="121">
        <f t="shared" si="1"/>
        <v>0</v>
      </c>
    </row>
    <row r="20" spans="2:9" ht="17.100000000000001" hidden="1" customHeight="1" outlineLevel="1" x14ac:dyDescent="0.25">
      <c r="B20" s="156"/>
      <c r="C20" s="155"/>
      <c r="D20" s="117">
        <f t="shared" si="0"/>
        <v>40268</v>
      </c>
      <c r="E20" s="163"/>
      <c r="F20" s="121">
        <v>0</v>
      </c>
      <c r="G20" s="163"/>
      <c r="H20" s="121">
        <f t="shared" si="2"/>
        <v>0</v>
      </c>
      <c r="I20" s="121">
        <f t="shared" si="1"/>
        <v>0</v>
      </c>
    </row>
    <row r="21" spans="2:9" ht="17.100000000000001" hidden="1" customHeight="1" outlineLevel="1" x14ac:dyDescent="0.25">
      <c r="B21" s="156"/>
      <c r="C21" s="155"/>
      <c r="D21" s="117">
        <f t="shared" si="0"/>
        <v>40298</v>
      </c>
      <c r="E21" s="163"/>
      <c r="F21" s="121">
        <v>0</v>
      </c>
      <c r="G21" s="163"/>
      <c r="H21" s="121">
        <f t="shared" si="2"/>
        <v>0</v>
      </c>
      <c r="I21" s="121">
        <f t="shared" si="1"/>
        <v>0</v>
      </c>
    </row>
    <row r="22" spans="2:9" ht="17.100000000000001" hidden="1" customHeight="1" outlineLevel="1" x14ac:dyDescent="0.25">
      <c r="B22" s="156"/>
      <c r="C22" s="155"/>
      <c r="D22" s="117">
        <f t="shared" si="0"/>
        <v>40329</v>
      </c>
      <c r="E22" s="163"/>
      <c r="F22" s="121">
        <v>0</v>
      </c>
      <c r="G22" s="163"/>
      <c r="H22" s="121">
        <f t="shared" si="2"/>
        <v>0</v>
      </c>
      <c r="I22" s="121">
        <f t="shared" si="1"/>
        <v>0</v>
      </c>
    </row>
    <row r="23" spans="2:9" ht="17.100000000000001" hidden="1" customHeight="1" outlineLevel="1" x14ac:dyDescent="0.25">
      <c r="B23" s="156"/>
      <c r="C23" s="155"/>
      <c r="D23" s="117">
        <f t="shared" si="0"/>
        <v>40359</v>
      </c>
      <c r="E23" s="163"/>
      <c r="F23" s="121">
        <v>0</v>
      </c>
      <c r="G23" s="163"/>
      <c r="H23" s="121">
        <f t="shared" si="2"/>
        <v>0</v>
      </c>
      <c r="I23" s="121">
        <f t="shared" si="1"/>
        <v>0</v>
      </c>
    </row>
    <row r="24" spans="2:9" ht="17.100000000000001" hidden="1" customHeight="1" outlineLevel="1" x14ac:dyDescent="0.25">
      <c r="B24" s="156"/>
      <c r="C24" s="155"/>
      <c r="D24" s="117">
        <f t="shared" si="0"/>
        <v>40390</v>
      </c>
      <c r="E24" s="163"/>
      <c r="F24" s="121">
        <v>0</v>
      </c>
      <c r="G24" s="163"/>
      <c r="H24" s="121">
        <f t="shared" si="2"/>
        <v>0</v>
      </c>
      <c r="I24" s="121">
        <f t="shared" si="1"/>
        <v>0</v>
      </c>
    </row>
    <row r="25" spans="2:9" ht="17.100000000000001" hidden="1" customHeight="1" outlineLevel="1" x14ac:dyDescent="0.25">
      <c r="B25" s="156"/>
      <c r="C25" s="155"/>
      <c r="D25" s="117">
        <f t="shared" si="0"/>
        <v>40421</v>
      </c>
      <c r="E25" s="163"/>
      <c r="F25" s="121">
        <v>0</v>
      </c>
      <c r="G25" s="163"/>
      <c r="H25" s="121">
        <f t="shared" si="2"/>
        <v>0</v>
      </c>
      <c r="I25" s="121">
        <f t="shared" si="1"/>
        <v>0</v>
      </c>
    </row>
    <row r="26" spans="2:9" ht="17.100000000000001" hidden="1" customHeight="1" outlineLevel="1" x14ac:dyDescent="0.25">
      <c r="B26" s="156"/>
      <c r="C26" s="155"/>
      <c r="D26" s="117">
        <f t="shared" si="0"/>
        <v>40451</v>
      </c>
      <c r="E26" s="163"/>
      <c r="F26" s="121">
        <v>0</v>
      </c>
      <c r="G26" s="163"/>
      <c r="H26" s="121">
        <f t="shared" si="2"/>
        <v>0</v>
      </c>
      <c r="I26" s="121">
        <f t="shared" si="1"/>
        <v>0</v>
      </c>
    </row>
    <row r="27" spans="2:9" ht="17.100000000000001" hidden="1" customHeight="1" outlineLevel="1" x14ac:dyDescent="0.25">
      <c r="B27" s="156"/>
      <c r="C27" s="155"/>
      <c r="D27" s="117">
        <f t="shared" si="0"/>
        <v>40482</v>
      </c>
      <c r="E27" s="163"/>
      <c r="F27" s="121">
        <v>0</v>
      </c>
      <c r="G27" s="163"/>
      <c r="H27" s="121">
        <f t="shared" si="2"/>
        <v>0</v>
      </c>
      <c r="I27" s="121">
        <f t="shared" si="1"/>
        <v>0</v>
      </c>
    </row>
    <row r="28" spans="2:9" ht="17.100000000000001" hidden="1" customHeight="1" outlineLevel="1" x14ac:dyDescent="0.25">
      <c r="B28" s="156"/>
      <c r="C28" s="155"/>
      <c r="D28" s="117">
        <f t="shared" si="0"/>
        <v>40512</v>
      </c>
      <c r="E28" s="163"/>
      <c r="F28" s="121">
        <v>0</v>
      </c>
      <c r="G28" s="163"/>
      <c r="H28" s="121">
        <f t="shared" si="2"/>
        <v>0</v>
      </c>
      <c r="I28" s="121">
        <f t="shared" si="1"/>
        <v>0</v>
      </c>
    </row>
    <row r="29" spans="2:9" ht="17.100000000000001" hidden="1" customHeight="1" outlineLevel="1" x14ac:dyDescent="0.25">
      <c r="B29" s="156"/>
      <c r="C29" s="155"/>
      <c r="D29" s="117">
        <f t="shared" si="0"/>
        <v>40543</v>
      </c>
      <c r="E29" s="163"/>
      <c r="F29" s="121">
        <v>0</v>
      </c>
      <c r="G29" s="163"/>
      <c r="H29" s="121">
        <f t="shared" si="2"/>
        <v>0</v>
      </c>
      <c r="I29" s="121">
        <f t="shared" si="1"/>
        <v>0</v>
      </c>
    </row>
    <row r="30" spans="2:9" ht="17.100000000000001" hidden="1" customHeight="1" outlineLevel="1" x14ac:dyDescent="0.25">
      <c r="B30" s="156"/>
      <c r="C30" s="155"/>
      <c r="D30" s="117">
        <f t="shared" si="0"/>
        <v>40574</v>
      </c>
      <c r="E30" s="163"/>
      <c r="F30" s="121">
        <v>0</v>
      </c>
      <c r="G30" s="163"/>
      <c r="H30" s="121">
        <f t="shared" si="2"/>
        <v>0</v>
      </c>
      <c r="I30" s="121">
        <f t="shared" si="1"/>
        <v>0</v>
      </c>
    </row>
    <row r="31" spans="2:9" ht="17.100000000000001" hidden="1" customHeight="1" outlineLevel="1" x14ac:dyDescent="0.25">
      <c r="B31" s="156"/>
      <c r="C31" s="155"/>
      <c r="D31" s="117">
        <f t="shared" si="0"/>
        <v>40602</v>
      </c>
      <c r="E31" s="163"/>
      <c r="F31" s="121">
        <v>0</v>
      </c>
      <c r="G31" s="163"/>
      <c r="H31" s="121">
        <f t="shared" si="2"/>
        <v>0</v>
      </c>
      <c r="I31" s="121">
        <f t="shared" si="1"/>
        <v>0</v>
      </c>
    </row>
    <row r="32" spans="2:9" ht="17.100000000000001" hidden="1" customHeight="1" outlineLevel="1" x14ac:dyDescent="0.25">
      <c r="B32" s="156"/>
      <c r="C32" s="155"/>
      <c r="D32" s="117">
        <f t="shared" si="0"/>
        <v>40633</v>
      </c>
      <c r="E32" s="163"/>
      <c r="F32" s="121">
        <v>0</v>
      </c>
      <c r="G32" s="163"/>
      <c r="H32" s="121">
        <f t="shared" si="2"/>
        <v>0</v>
      </c>
      <c r="I32" s="121">
        <f t="shared" si="1"/>
        <v>0</v>
      </c>
    </row>
    <row r="33" spans="2:9" ht="17.100000000000001" hidden="1" customHeight="1" outlineLevel="1" x14ac:dyDescent="0.25">
      <c r="B33" s="156"/>
      <c r="C33" s="155"/>
      <c r="D33" s="117">
        <f t="shared" si="0"/>
        <v>40663</v>
      </c>
      <c r="E33" s="163"/>
      <c r="F33" s="121">
        <v>0</v>
      </c>
      <c r="G33" s="163"/>
      <c r="H33" s="121">
        <f t="shared" si="2"/>
        <v>0</v>
      </c>
      <c r="I33" s="121">
        <f t="shared" si="1"/>
        <v>0</v>
      </c>
    </row>
    <row r="34" spans="2:9" ht="17.100000000000001" hidden="1" customHeight="1" outlineLevel="1" x14ac:dyDescent="0.25">
      <c r="B34" s="156"/>
      <c r="C34" s="155"/>
      <c r="D34" s="117">
        <f t="shared" si="0"/>
        <v>40694</v>
      </c>
      <c r="E34" s="163"/>
      <c r="F34" s="121">
        <v>0</v>
      </c>
      <c r="G34" s="163"/>
      <c r="H34" s="121">
        <f t="shared" si="2"/>
        <v>0</v>
      </c>
      <c r="I34" s="121">
        <f t="shared" si="1"/>
        <v>0</v>
      </c>
    </row>
    <row r="35" spans="2:9" ht="17.100000000000001" hidden="1" customHeight="1" outlineLevel="1" x14ac:dyDescent="0.25">
      <c r="B35" s="156"/>
      <c r="C35" s="155"/>
      <c r="D35" s="117">
        <f t="shared" si="0"/>
        <v>40724</v>
      </c>
      <c r="E35" s="163"/>
      <c r="F35" s="121">
        <v>0</v>
      </c>
      <c r="G35" s="163"/>
      <c r="H35" s="121">
        <f t="shared" si="2"/>
        <v>0</v>
      </c>
      <c r="I35" s="121">
        <f t="shared" si="1"/>
        <v>0</v>
      </c>
    </row>
    <row r="36" spans="2:9" ht="17.100000000000001" hidden="1" customHeight="1" outlineLevel="1" x14ac:dyDescent="0.25">
      <c r="B36" s="156"/>
      <c r="C36" s="155"/>
      <c r="D36" s="117">
        <f t="shared" si="0"/>
        <v>40755</v>
      </c>
      <c r="E36" s="163"/>
      <c r="F36" s="121">
        <v>0</v>
      </c>
      <c r="G36" s="163"/>
      <c r="H36" s="121">
        <f t="shared" si="2"/>
        <v>0</v>
      </c>
      <c r="I36" s="121">
        <f t="shared" si="1"/>
        <v>0</v>
      </c>
    </row>
    <row r="37" spans="2:9" ht="17.100000000000001" hidden="1" customHeight="1" outlineLevel="1" x14ac:dyDescent="0.25">
      <c r="B37" s="156"/>
      <c r="C37" s="155"/>
      <c r="D37" s="117">
        <f t="shared" si="0"/>
        <v>40786</v>
      </c>
      <c r="E37" s="163"/>
      <c r="F37" s="121">
        <v>0</v>
      </c>
      <c r="G37" s="163"/>
      <c r="H37" s="121">
        <f t="shared" si="2"/>
        <v>0</v>
      </c>
      <c r="I37" s="121">
        <f t="shared" si="1"/>
        <v>0</v>
      </c>
    </row>
    <row r="38" spans="2:9" ht="17.100000000000001" hidden="1" customHeight="1" outlineLevel="1" x14ac:dyDescent="0.25">
      <c r="B38" s="156"/>
      <c r="C38" s="155"/>
      <c r="D38" s="117">
        <f t="shared" si="0"/>
        <v>40816</v>
      </c>
      <c r="E38" s="163"/>
      <c r="F38" s="121">
        <v>0</v>
      </c>
      <c r="G38" s="163"/>
      <c r="H38" s="121">
        <f t="shared" si="2"/>
        <v>0</v>
      </c>
      <c r="I38" s="121">
        <f t="shared" si="1"/>
        <v>0</v>
      </c>
    </row>
    <row r="39" spans="2:9" ht="17.100000000000001" hidden="1" customHeight="1" outlineLevel="1" x14ac:dyDescent="0.25">
      <c r="B39" s="156"/>
      <c r="C39" s="155"/>
      <c r="D39" s="117">
        <f t="shared" si="0"/>
        <v>40847</v>
      </c>
      <c r="E39" s="163"/>
      <c r="F39" s="121">
        <v>0</v>
      </c>
      <c r="G39" s="163"/>
      <c r="H39" s="121">
        <f t="shared" si="2"/>
        <v>0</v>
      </c>
      <c r="I39" s="121">
        <f t="shared" si="1"/>
        <v>0</v>
      </c>
    </row>
    <row r="40" spans="2:9" ht="17.100000000000001" hidden="1" customHeight="1" outlineLevel="1" x14ac:dyDescent="0.25">
      <c r="B40" s="156"/>
      <c r="C40" s="155"/>
      <c r="D40" s="117">
        <f t="shared" si="0"/>
        <v>40877</v>
      </c>
      <c r="E40" s="163"/>
      <c r="F40" s="121">
        <v>0</v>
      </c>
      <c r="G40" s="163"/>
      <c r="H40" s="121">
        <f t="shared" si="2"/>
        <v>0</v>
      </c>
      <c r="I40" s="121">
        <f t="shared" si="1"/>
        <v>0</v>
      </c>
    </row>
    <row r="41" spans="2:9" ht="17.100000000000001" hidden="1" customHeight="1" outlineLevel="1" x14ac:dyDescent="0.25">
      <c r="B41" s="156"/>
      <c r="C41" s="155"/>
      <c r="D41" s="117">
        <f t="shared" si="0"/>
        <v>40908</v>
      </c>
      <c r="E41" s="163"/>
      <c r="F41" s="121">
        <v>0</v>
      </c>
      <c r="G41" s="163"/>
      <c r="H41" s="121">
        <f t="shared" si="2"/>
        <v>0</v>
      </c>
      <c r="I41" s="121">
        <f t="shared" si="1"/>
        <v>0</v>
      </c>
    </row>
    <row r="42" spans="2:9" ht="17.100000000000001" hidden="1" customHeight="1" outlineLevel="1" x14ac:dyDescent="0.25">
      <c r="B42" s="156"/>
      <c r="C42" s="155"/>
      <c r="D42" s="117">
        <f t="shared" si="0"/>
        <v>40939</v>
      </c>
      <c r="E42" s="163"/>
      <c r="F42" s="121">
        <v>0</v>
      </c>
      <c r="G42" s="163"/>
      <c r="H42" s="121">
        <f t="shared" si="2"/>
        <v>0</v>
      </c>
      <c r="I42" s="121">
        <f t="shared" si="1"/>
        <v>0</v>
      </c>
    </row>
    <row r="43" spans="2:9" ht="17.100000000000001" hidden="1" customHeight="1" outlineLevel="1" x14ac:dyDescent="0.25">
      <c r="B43" s="156"/>
      <c r="C43" s="155"/>
      <c r="D43" s="117">
        <f t="shared" si="0"/>
        <v>40968</v>
      </c>
      <c r="E43" s="163"/>
      <c r="F43" s="121">
        <v>0</v>
      </c>
      <c r="G43" s="163"/>
      <c r="H43" s="121">
        <f t="shared" si="2"/>
        <v>0</v>
      </c>
      <c r="I43" s="121">
        <f t="shared" si="1"/>
        <v>0</v>
      </c>
    </row>
    <row r="44" spans="2:9" ht="17.100000000000001" hidden="1" customHeight="1" outlineLevel="1" x14ac:dyDescent="0.25">
      <c r="B44" s="156"/>
      <c r="C44" s="155"/>
      <c r="D44" s="117">
        <f t="shared" si="0"/>
        <v>40999</v>
      </c>
      <c r="E44" s="163"/>
      <c r="F44" s="121">
        <v>0</v>
      </c>
      <c r="G44" s="163"/>
      <c r="H44" s="121">
        <f t="shared" si="2"/>
        <v>0</v>
      </c>
      <c r="I44" s="121">
        <f t="shared" si="1"/>
        <v>0</v>
      </c>
    </row>
    <row r="45" spans="2:9" ht="17.100000000000001" hidden="1" customHeight="1" outlineLevel="1" x14ac:dyDescent="0.25">
      <c r="B45" s="156"/>
      <c r="C45" s="155"/>
      <c r="D45" s="117">
        <f t="shared" si="0"/>
        <v>41029</v>
      </c>
      <c r="E45" s="163"/>
      <c r="F45" s="121">
        <v>0</v>
      </c>
      <c r="G45" s="163"/>
      <c r="H45" s="121">
        <f t="shared" si="2"/>
        <v>0</v>
      </c>
      <c r="I45" s="121">
        <f t="shared" si="1"/>
        <v>0</v>
      </c>
    </row>
    <row r="46" spans="2:9" ht="17.100000000000001" hidden="1" customHeight="1" outlineLevel="1" x14ac:dyDescent="0.25">
      <c r="B46" s="156"/>
      <c r="C46" s="155"/>
      <c r="D46" s="117">
        <f t="shared" si="0"/>
        <v>41060</v>
      </c>
      <c r="E46" s="163"/>
      <c r="F46" s="121">
        <v>0</v>
      </c>
      <c r="G46" s="163"/>
      <c r="H46" s="121">
        <f t="shared" si="2"/>
        <v>0</v>
      </c>
      <c r="I46" s="121">
        <f t="shared" si="1"/>
        <v>0</v>
      </c>
    </row>
    <row r="47" spans="2:9" ht="17.100000000000001" hidden="1" customHeight="1" outlineLevel="1" x14ac:dyDescent="0.25">
      <c r="B47" s="156"/>
      <c r="C47" s="155"/>
      <c r="D47" s="117">
        <f t="shared" si="0"/>
        <v>41090</v>
      </c>
      <c r="E47" s="163"/>
      <c r="F47" s="121">
        <v>0</v>
      </c>
      <c r="G47" s="163"/>
      <c r="H47" s="121">
        <f t="shared" si="2"/>
        <v>0</v>
      </c>
      <c r="I47" s="121">
        <f t="shared" si="1"/>
        <v>0</v>
      </c>
    </row>
    <row r="48" spans="2:9" ht="17.100000000000001" hidden="1" customHeight="1" outlineLevel="1" x14ac:dyDescent="0.25">
      <c r="B48" s="156"/>
      <c r="C48" s="155"/>
      <c r="D48" s="117">
        <f t="shared" si="0"/>
        <v>41121</v>
      </c>
      <c r="E48" s="163"/>
      <c r="F48" s="121">
        <v>0</v>
      </c>
      <c r="G48" s="163"/>
      <c r="H48" s="121">
        <f t="shared" si="2"/>
        <v>0</v>
      </c>
      <c r="I48" s="121">
        <f t="shared" si="1"/>
        <v>0</v>
      </c>
    </row>
    <row r="49" spans="2:9" ht="17.100000000000001" hidden="1" customHeight="1" outlineLevel="1" x14ac:dyDescent="0.25">
      <c r="B49" s="156"/>
      <c r="C49" s="155"/>
      <c r="D49" s="117">
        <f t="shared" si="0"/>
        <v>41152</v>
      </c>
      <c r="E49" s="163"/>
      <c r="F49" s="121">
        <v>0</v>
      </c>
      <c r="G49" s="163"/>
      <c r="H49" s="121">
        <f t="shared" si="2"/>
        <v>0</v>
      </c>
      <c r="I49" s="121">
        <f t="shared" si="1"/>
        <v>0</v>
      </c>
    </row>
    <row r="50" spans="2:9" ht="17.100000000000001" hidden="1" customHeight="1" outlineLevel="1" x14ac:dyDescent="0.25">
      <c r="B50" s="156"/>
      <c r="C50" s="155"/>
      <c r="D50" s="117">
        <f t="shared" ref="D50:D90" si="3">EDATE(D49,1)</f>
        <v>41182</v>
      </c>
      <c r="E50" s="163"/>
      <c r="F50" s="121">
        <v>0</v>
      </c>
      <c r="G50" s="163"/>
      <c r="H50" s="121">
        <f t="shared" si="2"/>
        <v>0</v>
      </c>
      <c r="I50" s="121">
        <f t="shared" si="1"/>
        <v>0</v>
      </c>
    </row>
    <row r="51" spans="2:9" ht="17.100000000000001" hidden="1" customHeight="1" outlineLevel="1" x14ac:dyDescent="0.25">
      <c r="B51" s="156"/>
      <c r="C51" s="155"/>
      <c r="D51" s="117">
        <f t="shared" si="3"/>
        <v>41212</v>
      </c>
      <c r="E51" s="163"/>
      <c r="F51" s="121">
        <v>0</v>
      </c>
      <c r="G51" s="163"/>
      <c r="H51" s="121">
        <f t="shared" si="2"/>
        <v>0</v>
      </c>
      <c r="I51" s="121">
        <f t="shared" si="1"/>
        <v>0</v>
      </c>
    </row>
    <row r="52" spans="2:9" ht="17.100000000000001" hidden="1" customHeight="1" outlineLevel="1" x14ac:dyDescent="0.25">
      <c r="B52" s="156"/>
      <c r="C52" s="155"/>
      <c r="D52" s="117">
        <f t="shared" si="3"/>
        <v>41243</v>
      </c>
      <c r="E52" s="163"/>
      <c r="F52" s="121">
        <v>0</v>
      </c>
      <c r="G52" s="163"/>
      <c r="H52" s="121">
        <f t="shared" si="2"/>
        <v>0</v>
      </c>
      <c r="I52" s="121">
        <f t="shared" si="1"/>
        <v>0</v>
      </c>
    </row>
    <row r="53" spans="2:9" ht="17.100000000000001" hidden="1" customHeight="1" outlineLevel="1" x14ac:dyDescent="0.25">
      <c r="B53" s="156"/>
      <c r="C53" s="155"/>
      <c r="D53" s="117">
        <f t="shared" si="3"/>
        <v>41273</v>
      </c>
      <c r="E53" s="163"/>
      <c r="F53" s="121">
        <v>0</v>
      </c>
      <c r="G53" s="163"/>
      <c r="H53" s="121">
        <f t="shared" si="2"/>
        <v>0</v>
      </c>
      <c r="I53" s="121">
        <f t="shared" si="1"/>
        <v>0</v>
      </c>
    </row>
    <row r="54" spans="2:9" ht="17.100000000000001" hidden="1" customHeight="1" outlineLevel="1" x14ac:dyDescent="0.25">
      <c r="B54" s="156"/>
      <c r="C54" s="155"/>
      <c r="D54" s="117">
        <f t="shared" si="3"/>
        <v>41304</v>
      </c>
      <c r="E54" s="163"/>
      <c r="F54" s="121">
        <v>0</v>
      </c>
      <c r="G54" s="163"/>
      <c r="H54" s="121">
        <f t="shared" si="2"/>
        <v>0</v>
      </c>
      <c r="I54" s="121">
        <f t="shared" si="1"/>
        <v>0</v>
      </c>
    </row>
    <row r="55" spans="2:9" ht="17.100000000000001" hidden="1" customHeight="1" outlineLevel="1" x14ac:dyDescent="0.25">
      <c r="B55" s="156"/>
      <c r="C55" s="155"/>
      <c r="D55" s="117">
        <f t="shared" si="3"/>
        <v>41333</v>
      </c>
      <c r="E55" s="163"/>
      <c r="F55" s="121">
        <v>0</v>
      </c>
      <c r="G55" s="163"/>
      <c r="H55" s="121">
        <f t="shared" si="2"/>
        <v>0</v>
      </c>
      <c r="I55" s="121">
        <f t="shared" si="1"/>
        <v>0</v>
      </c>
    </row>
    <row r="56" spans="2:9" ht="17.100000000000001" hidden="1" customHeight="1" outlineLevel="1" x14ac:dyDescent="0.25">
      <c r="B56" s="156"/>
      <c r="C56" s="155"/>
      <c r="D56" s="117">
        <f t="shared" si="3"/>
        <v>41361</v>
      </c>
      <c r="E56" s="163"/>
      <c r="F56" s="121">
        <v>0</v>
      </c>
      <c r="G56" s="163"/>
      <c r="H56" s="121">
        <f t="shared" si="2"/>
        <v>0</v>
      </c>
      <c r="I56" s="121">
        <f t="shared" si="1"/>
        <v>0</v>
      </c>
    </row>
    <row r="57" spans="2:9" ht="17.100000000000001" hidden="1" customHeight="1" outlineLevel="1" x14ac:dyDescent="0.25">
      <c r="B57" s="156"/>
      <c r="C57" s="155"/>
      <c r="D57" s="117">
        <f t="shared" si="3"/>
        <v>41392</v>
      </c>
      <c r="E57" s="163"/>
      <c r="F57" s="121">
        <v>0</v>
      </c>
      <c r="G57" s="163"/>
      <c r="H57" s="121">
        <f t="shared" si="2"/>
        <v>0</v>
      </c>
      <c r="I57" s="121">
        <f t="shared" si="1"/>
        <v>0</v>
      </c>
    </row>
    <row r="58" spans="2:9" ht="17.100000000000001" hidden="1" customHeight="1" outlineLevel="1" x14ac:dyDescent="0.25">
      <c r="B58" s="156"/>
      <c r="C58" s="155"/>
      <c r="D58" s="117">
        <f t="shared" si="3"/>
        <v>41422</v>
      </c>
      <c r="E58" s="163"/>
      <c r="F58" s="121">
        <v>0</v>
      </c>
      <c r="G58" s="163"/>
      <c r="H58" s="121">
        <f t="shared" si="2"/>
        <v>0</v>
      </c>
      <c r="I58" s="121">
        <f t="shared" si="1"/>
        <v>0</v>
      </c>
    </row>
    <row r="59" spans="2:9" ht="17.100000000000001" hidden="1" customHeight="1" outlineLevel="1" x14ac:dyDescent="0.25">
      <c r="B59" s="156"/>
      <c r="C59" s="155"/>
      <c r="D59" s="117">
        <f t="shared" si="3"/>
        <v>41453</v>
      </c>
      <c r="E59" s="163"/>
      <c r="F59" s="121">
        <v>0</v>
      </c>
      <c r="G59" s="163"/>
      <c r="H59" s="121">
        <f t="shared" si="2"/>
        <v>0</v>
      </c>
      <c r="I59" s="121">
        <f t="shared" si="1"/>
        <v>0</v>
      </c>
    </row>
    <row r="60" spans="2:9" ht="17.100000000000001" hidden="1" customHeight="1" outlineLevel="1" x14ac:dyDescent="0.25">
      <c r="B60" s="156"/>
      <c r="C60" s="155"/>
      <c r="D60" s="117">
        <f t="shared" si="3"/>
        <v>41483</v>
      </c>
      <c r="E60" s="163"/>
      <c r="F60" s="121">
        <v>0</v>
      </c>
      <c r="G60" s="163"/>
      <c r="H60" s="121">
        <f t="shared" si="2"/>
        <v>0</v>
      </c>
      <c r="I60" s="121">
        <f t="shared" si="1"/>
        <v>0</v>
      </c>
    </row>
    <row r="61" spans="2:9" ht="17.100000000000001" hidden="1" customHeight="1" outlineLevel="1" x14ac:dyDescent="0.25">
      <c r="B61" s="156"/>
      <c r="C61" s="155"/>
      <c r="D61" s="117">
        <f t="shared" si="3"/>
        <v>41514</v>
      </c>
      <c r="E61" s="163"/>
      <c r="F61" s="121">
        <v>0</v>
      </c>
      <c r="G61" s="163"/>
      <c r="H61" s="121">
        <f t="shared" si="2"/>
        <v>0</v>
      </c>
      <c r="I61" s="121">
        <f t="shared" si="1"/>
        <v>0</v>
      </c>
    </row>
    <row r="62" spans="2:9" ht="17.100000000000001" hidden="1" customHeight="1" outlineLevel="1" x14ac:dyDescent="0.25">
      <c r="B62" s="156"/>
      <c r="C62" s="155"/>
      <c r="D62" s="117">
        <f t="shared" si="3"/>
        <v>41545</v>
      </c>
      <c r="E62" s="163"/>
      <c r="F62" s="121">
        <v>0</v>
      </c>
      <c r="G62" s="163"/>
      <c r="H62" s="121">
        <f t="shared" si="2"/>
        <v>0</v>
      </c>
      <c r="I62" s="121">
        <f t="shared" si="1"/>
        <v>0</v>
      </c>
    </row>
    <row r="63" spans="2:9" ht="17.100000000000001" hidden="1" customHeight="1" outlineLevel="1" x14ac:dyDescent="0.25">
      <c r="B63" s="156"/>
      <c r="C63" s="155"/>
      <c r="D63" s="117">
        <f t="shared" si="3"/>
        <v>41575</v>
      </c>
      <c r="E63" s="163"/>
      <c r="F63" s="121">
        <v>0</v>
      </c>
      <c r="G63" s="163"/>
      <c r="H63" s="121">
        <f t="shared" si="2"/>
        <v>0</v>
      </c>
      <c r="I63" s="121">
        <f t="shared" si="1"/>
        <v>0</v>
      </c>
    </row>
    <row r="64" spans="2:9" ht="17.100000000000001" hidden="1" customHeight="1" outlineLevel="1" x14ac:dyDescent="0.25">
      <c r="B64" s="156"/>
      <c r="C64" s="155"/>
      <c r="D64" s="117">
        <f t="shared" si="3"/>
        <v>41606</v>
      </c>
      <c r="E64" s="163"/>
      <c r="F64" s="121">
        <v>0</v>
      </c>
      <c r="G64" s="163"/>
      <c r="H64" s="121">
        <f t="shared" si="2"/>
        <v>0</v>
      </c>
      <c r="I64" s="121">
        <f t="shared" si="1"/>
        <v>0</v>
      </c>
    </row>
    <row r="65" spans="2:9" ht="17.100000000000001" hidden="1" customHeight="1" outlineLevel="1" x14ac:dyDescent="0.25">
      <c r="B65" s="156"/>
      <c r="C65" s="155"/>
      <c r="D65" s="117">
        <f t="shared" si="3"/>
        <v>41636</v>
      </c>
      <c r="E65" s="163"/>
      <c r="F65" s="121">
        <v>0</v>
      </c>
      <c r="G65" s="163"/>
      <c r="H65" s="121">
        <f t="shared" si="2"/>
        <v>0</v>
      </c>
      <c r="I65" s="121">
        <f t="shared" si="1"/>
        <v>0</v>
      </c>
    </row>
    <row r="66" spans="2:9" ht="17.100000000000001" hidden="1" customHeight="1" outlineLevel="1" x14ac:dyDescent="0.25">
      <c r="B66" s="156"/>
      <c r="C66" s="155"/>
      <c r="D66" s="117">
        <f t="shared" si="3"/>
        <v>41667</v>
      </c>
      <c r="E66" s="163"/>
      <c r="F66" s="121">
        <v>0</v>
      </c>
      <c r="G66" s="163"/>
      <c r="H66" s="121">
        <f t="shared" si="2"/>
        <v>0</v>
      </c>
      <c r="I66" s="121">
        <f t="shared" si="1"/>
        <v>0</v>
      </c>
    </row>
    <row r="67" spans="2:9" ht="17.100000000000001" hidden="1" customHeight="1" outlineLevel="1" x14ac:dyDescent="0.25">
      <c r="B67" s="156"/>
      <c r="C67" s="155"/>
      <c r="D67" s="117">
        <f t="shared" si="3"/>
        <v>41698</v>
      </c>
      <c r="E67" s="163"/>
      <c r="F67" s="121">
        <v>0</v>
      </c>
      <c r="G67" s="163"/>
      <c r="H67" s="121">
        <f t="shared" si="2"/>
        <v>0</v>
      </c>
      <c r="I67" s="121">
        <f t="shared" si="1"/>
        <v>0</v>
      </c>
    </row>
    <row r="68" spans="2:9" ht="17.100000000000001" hidden="1" customHeight="1" outlineLevel="1" x14ac:dyDescent="0.25">
      <c r="B68" s="156"/>
      <c r="C68" s="155"/>
      <c r="D68" s="117">
        <f t="shared" si="3"/>
        <v>41726</v>
      </c>
      <c r="E68" s="163"/>
      <c r="F68" s="121">
        <v>0</v>
      </c>
      <c r="G68" s="163"/>
      <c r="H68" s="121">
        <f t="shared" si="2"/>
        <v>0</v>
      </c>
      <c r="I68" s="121">
        <f t="shared" si="1"/>
        <v>0</v>
      </c>
    </row>
    <row r="69" spans="2:9" ht="17.100000000000001" hidden="1" customHeight="1" outlineLevel="1" x14ac:dyDescent="0.25">
      <c r="B69" s="156"/>
      <c r="C69" s="155"/>
      <c r="D69" s="117">
        <f t="shared" si="3"/>
        <v>41757</v>
      </c>
      <c r="E69" s="163"/>
      <c r="F69" s="121">
        <v>0</v>
      </c>
      <c r="G69" s="163"/>
      <c r="H69" s="121">
        <f t="shared" si="2"/>
        <v>0</v>
      </c>
      <c r="I69" s="121">
        <f t="shared" si="1"/>
        <v>0</v>
      </c>
    </row>
    <row r="70" spans="2:9" ht="17.100000000000001" hidden="1" customHeight="1" outlineLevel="1" x14ac:dyDescent="0.25">
      <c r="B70" s="156"/>
      <c r="C70" s="155"/>
      <c r="D70" s="117">
        <f t="shared" si="3"/>
        <v>41787</v>
      </c>
      <c r="E70" s="163"/>
      <c r="F70" s="121">
        <v>0</v>
      </c>
      <c r="G70" s="163"/>
      <c r="H70" s="121">
        <f t="shared" si="2"/>
        <v>0</v>
      </c>
      <c r="I70" s="121">
        <f t="shared" si="1"/>
        <v>0</v>
      </c>
    </row>
    <row r="71" spans="2:9" ht="17.100000000000001" hidden="1" customHeight="1" outlineLevel="1" x14ac:dyDescent="0.25">
      <c r="B71" s="156"/>
      <c r="C71" s="155"/>
      <c r="D71" s="117">
        <f t="shared" si="3"/>
        <v>41818</v>
      </c>
      <c r="E71" s="163"/>
      <c r="F71" s="121">
        <v>0</v>
      </c>
      <c r="G71" s="163"/>
      <c r="H71" s="121">
        <f t="shared" si="2"/>
        <v>0</v>
      </c>
      <c r="I71" s="121">
        <f t="shared" si="1"/>
        <v>0</v>
      </c>
    </row>
    <row r="72" spans="2:9" ht="17.100000000000001" hidden="1" customHeight="1" outlineLevel="1" x14ac:dyDescent="0.25">
      <c r="B72" s="156"/>
      <c r="C72" s="155"/>
      <c r="D72" s="117">
        <f t="shared" si="3"/>
        <v>41848</v>
      </c>
      <c r="E72" s="163"/>
      <c r="F72" s="121">
        <v>0</v>
      </c>
      <c r="G72" s="163"/>
      <c r="H72" s="121">
        <f t="shared" si="2"/>
        <v>0</v>
      </c>
      <c r="I72" s="121">
        <f t="shared" si="1"/>
        <v>0</v>
      </c>
    </row>
    <row r="73" spans="2:9" ht="17.100000000000001" hidden="1" customHeight="1" outlineLevel="1" x14ac:dyDescent="0.25">
      <c r="B73" s="156"/>
      <c r="C73" s="155"/>
      <c r="D73" s="117">
        <f t="shared" si="3"/>
        <v>41879</v>
      </c>
      <c r="E73" s="163"/>
      <c r="F73" s="121">
        <v>0</v>
      </c>
      <c r="G73" s="163"/>
      <c r="H73" s="121">
        <f t="shared" si="2"/>
        <v>0</v>
      </c>
      <c r="I73" s="121">
        <f t="shared" si="1"/>
        <v>0</v>
      </c>
    </row>
    <row r="74" spans="2:9" ht="17.100000000000001" hidden="1" customHeight="1" outlineLevel="1" x14ac:dyDescent="0.25">
      <c r="B74" s="156"/>
      <c r="C74" s="155"/>
      <c r="D74" s="117">
        <f t="shared" si="3"/>
        <v>41910</v>
      </c>
      <c r="E74" s="163"/>
      <c r="F74" s="121">
        <v>0</v>
      </c>
      <c r="G74" s="163"/>
      <c r="H74" s="121">
        <f t="shared" si="2"/>
        <v>0</v>
      </c>
      <c r="I74" s="121">
        <f t="shared" si="1"/>
        <v>0</v>
      </c>
    </row>
    <row r="75" spans="2:9" ht="17.100000000000001" hidden="1" customHeight="1" outlineLevel="1" x14ac:dyDescent="0.25">
      <c r="B75" s="156"/>
      <c r="C75" s="155"/>
      <c r="D75" s="117">
        <f t="shared" si="3"/>
        <v>41940</v>
      </c>
      <c r="E75" s="163"/>
      <c r="F75" s="121">
        <v>0</v>
      </c>
      <c r="G75" s="163"/>
      <c r="H75" s="121">
        <f t="shared" si="2"/>
        <v>0</v>
      </c>
      <c r="I75" s="121">
        <f t="shared" si="1"/>
        <v>0</v>
      </c>
    </row>
    <row r="76" spans="2:9" ht="17.100000000000001" hidden="1" customHeight="1" outlineLevel="1" x14ac:dyDescent="0.25">
      <c r="B76" s="156"/>
      <c r="C76" s="155"/>
      <c r="D76" s="117">
        <f t="shared" si="3"/>
        <v>41971</v>
      </c>
      <c r="E76" s="163"/>
      <c r="F76" s="121">
        <v>0</v>
      </c>
      <c r="G76" s="163"/>
      <c r="H76" s="121">
        <f t="shared" si="2"/>
        <v>0</v>
      </c>
      <c r="I76" s="121">
        <f t="shared" si="1"/>
        <v>0</v>
      </c>
    </row>
    <row r="77" spans="2:9" ht="17.100000000000001" hidden="1" customHeight="1" outlineLevel="1" x14ac:dyDescent="0.25">
      <c r="B77" s="156"/>
      <c r="C77" s="155"/>
      <c r="D77" s="117">
        <f t="shared" si="3"/>
        <v>42001</v>
      </c>
      <c r="E77" s="163"/>
      <c r="F77" s="121">
        <v>0</v>
      </c>
      <c r="G77" s="163"/>
      <c r="H77" s="121">
        <f t="shared" si="2"/>
        <v>0</v>
      </c>
      <c r="I77" s="121">
        <f t="shared" ref="I77:I97" si="4">+F77-H77</f>
        <v>0</v>
      </c>
    </row>
    <row r="78" spans="2:9" ht="17.100000000000001" hidden="1" customHeight="1" outlineLevel="1" x14ac:dyDescent="0.25">
      <c r="B78" s="156"/>
      <c r="C78" s="155"/>
      <c r="D78" s="117">
        <f t="shared" si="3"/>
        <v>42032</v>
      </c>
      <c r="E78" s="163"/>
      <c r="F78" s="121">
        <v>0</v>
      </c>
      <c r="G78" s="163"/>
      <c r="H78" s="121">
        <f t="shared" ref="H78:H97" si="5">+F78</f>
        <v>0</v>
      </c>
      <c r="I78" s="121">
        <f t="shared" si="4"/>
        <v>0</v>
      </c>
    </row>
    <row r="79" spans="2:9" ht="17.100000000000001" hidden="1" customHeight="1" outlineLevel="1" x14ac:dyDescent="0.25">
      <c r="B79" s="156"/>
      <c r="C79" s="155"/>
      <c r="D79" s="117">
        <f t="shared" si="3"/>
        <v>42063</v>
      </c>
      <c r="E79" s="163"/>
      <c r="F79" s="121">
        <v>0</v>
      </c>
      <c r="G79" s="163"/>
      <c r="H79" s="121">
        <f t="shared" si="5"/>
        <v>0</v>
      </c>
      <c r="I79" s="121">
        <f t="shared" si="4"/>
        <v>0</v>
      </c>
    </row>
    <row r="80" spans="2:9" ht="17.100000000000001" hidden="1" customHeight="1" outlineLevel="1" x14ac:dyDescent="0.25">
      <c r="B80" s="156"/>
      <c r="C80" s="155"/>
      <c r="D80" s="117">
        <f t="shared" si="3"/>
        <v>42091</v>
      </c>
      <c r="E80" s="163"/>
      <c r="F80" s="121">
        <v>0</v>
      </c>
      <c r="G80" s="163"/>
      <c r="H80" s="121">
        <f t="shared" si="5"/>
        <v>0</v>
      </c>
      <c r="I80" s="121">
        <f t="shared" si="4"/>
        <v>0</v>
      </c>
    </row>
    <row r="81" spans="2:9" ht="17.100000000000001" hidden="1" customHeight="1" outlineLevel="1" x14ac:dyDescent="0.25">
      <c r="B81" s="156"/>
      <c r="C81" s="155"/>
      <c r="D81" s="117">
        <f t="shared" si="3"/>
        <v>42122</v>
      </c>
      <c r="E81" s="163"/>
      <c r="F81" s="121">
        <v>0</v>
      </c>
      <c r="G81" s="163"/>
      <c r="H81" s="121">
        <f t="shared" si="5"/>
        <v>0</v>
      </c>
      <c r="I81" s="121">
        <f t="shared" si="4"/>
        <v>0</v>
      </c>
    </row>
    <row r="82" spans="2:9" ht="17.100000000000001" hidden="1" customHeight="1" outlineLevel="1" x14ac:dyDescent="0.25">
      <c r="B82" s="156"/>
      <c r="C82" s="155"/>
      <c r="D82" s="117">
        <f t="shared" si="3"/>
        <v>42152</v>
      </c>
      <c r="E82" s="163"/>
      <c r="F82" s="121">
        <v>0</v>
      </c>
      <c r="G82" s="163"/>
      <c r="H82" s="121">
        <f t="shared" si="5"/>
        <v>0</v>
      </c>
      <c r="I82" s="121">
        <f t="shared" si="4"/>
        <v>0</v>
      </c>
    </row>
    <row r="83" spans="2:9" ht="17.100000000000001" hidden="1" customHeight="1" outlineLevel="1" x14ac:dyDescent="0.25">
      <c r="B83" s="156"/>
      <c r="C83" s="155"/>
      <c r="D83" s="117">
        <f t="shared" si="3"/>
        <v>42183</v>
      </c>
      <c r="E83" s="163"/>
      <c r="F83" s="121">
        <v>0</v>
      </c>
      <c r="G83" s="163"/>
      <c r="H83" s="121">
        <f t="shared" si="5"/>
        <v>0</v>
      </c>
      <c r="I83" s="121">
        <f t="shared" si="4"/>
        <v>0</v>
      </c>
    </row>
    <row r="84" spans="2:9" ht="17.100000000000001" hidden="1" customHeight="1" outlineLevel="1" x14ac:dyDescent="0.25">
      <c r="B84" s="156"/>
      <c r="C84" s="155"/>
      <c r="D84" s="117">
        <f t="shared" si="3"/>
        <v>42213</v>
      </c>
      <c r="E84" s="163"/>
      <c r="F84" s="121">
        <v>0</v>
      </c>
      <c r="G84" s="163"/>
      <c r="H84" s="121">
        <f t="shared" si="5"/>
        <v>0</v>
      </c>
      <c r="I84" s="121">
        <f t="shared" si="4"/>
        <v>0</v>
      </c>
    </row>
    <row r="85" spans="2:9" ht="17.100000000000001" hidden="1" customHeight="1" outlineLevel="1" x14ac:dyDescent="0.25">
      <c r="B85" s="156"/>
      <c r="C85" s="155"/>
      <c r="D85" s="117">
        <f t="shared" si="3"/>
        <v>42244</v>
      </c>
      <c r="E85" s="163"/>
      <c r="F85" s="121">
        <v>0</v>
      </c>
      <c r="G85" s="163"/>
      <c r="H85" s="121">
        <f t="shared" si="5"/>
        <v>0</v>
      </c>
      <c r="I85" s="121">
        <f t="shared" si="4"/>
        <v>0</v>
      </c>
    </row>
    <row r="86" spans="2:9" ht="17.100000000000001" hidden="1" customHeight="1" outlineLevel="1" x14ac:dyDescent="0.25">
      <c r="B86" s="156"/>
      <c r="C86" s="155"/>
      <c r="D86" s="117">
        <f t="shared" si="3"/>
        <v>42275</v>
      </c>
      <c r="E86" s="163"/>
      <c r="F86" s="121">
        <v>0</v>
      </c>
      <c r="G86" s="163"/>
      <c r="H86" s="121">
        <f t="shared" si="5"/>
        <v>0</v>
      </c>
      <c r="I86" s="121">
        <f t="shared" si="4"/>
        <v>0</v>
      </c>
    </row>
    <row r="87" spans="2:9" ht="17.100000000000001" hidden="1" customHeight="1" outlineLevel="1" x14ac:dyDescent="0.25">
      <c r="B87" s="156"/>
      <c r="C87" s="155"/>
      <c r="D87" s="117">
        <f t="shared" si="3"/>
        <v>42305</v>
      </c>
      <c r="E87" s="163"/>
      <c r="F87" s="121">
        <v>0</v>
      </c>
      <c r="G87" s="163"/>
      <c r="H87" s="121">
        <f t="shared" si="5"/>
        <v>0</v>
      </c>
      <c r="I87" s="121">
        <f t="shared" si="4"/>
        <v>0</v>
      </c>
    </row>
    <row r="88" spans="2:9" ht="17.100000000000001" hidden="1" customHeight="1" outlineLevel="1" x14ac:dyDescent="0.25">
      <c r="B88" s="156"/>
      <c r="C88" s="155"/>
      <c r="D88" s="117">
        <f t="shared" si="3"/>
        <v>42336</v>
      </c>
      <c r="E88" s="163"/>
      <c r="F88" s="121">
        <v>0</v>
      </c>
      <c r="G88" s="163"/>
      <c r="H88" s="121">
        <f t="shared" si="5"/>
        <v>0</v>
      </c>
      <c r="I88" s="121">
        <f t="shared" si="4"/>
        <v>0</v>
      </c>
    </row>
    <row r="89" spans="2:9" ht="17.100000000000001" hidden="1" customHeight="1" outlineLevel="1" x14ac:dyDescent="0.25">
      <c r="B89" s="156"/>
      <c r="C89" s="155"/>
      <c r="D89" s="117">
        <f t="shared" si="3"/>
        <v>42366</v>
      </c>
      <c r="E89" s="163"/>
      <c r="F89" s="121">
        <v>0</v>
      </c>
      <c r="G89" s="163"/>
      <c r="H89" s="121">
        <f t="shared" si="5"/>
        <v>0</v>
      </c>
      <c r="I89" s="121">
        <f t="shared" si="4"/>
        <v>0</v>
      </c>
    </row>
    <row r="90" spans="2:9" ht="17.100000000000001" hidden="1" customHeight="1" outlineLevel="1" x14ac:dyDescent="0.25">
      <c r="B90" s="156"/>
      <c r="C90" s="155"/>
      <c r="D90" s="117">
        <f t="shared" si="3"/>
        <v>42397</v>
      </c>
      <c r="E90" s="163"/>
      <c r="F90" s="121">
        <v>0</v>
      </c>
      <c r="G90" s="163"/>
      <c r="H90" s="121">
        <f t="shared" si="5"/>
        <v>0</v>
      </c>
      <c r="I90" s="121">
        <f t="shared" si="4"/>
        <v>0</v>
      </c>
    </row>
    <row r="91" spans="2:9" ht="17.100000000000001" hidden="1" customHeight="1" outlineLevel="1" x14ac:dyDescent="0.25">
      <c r="B91" s="156"/>
      <c r="C91" s="155"/>
      <c r="D91" s="117">
        <f>EDATE(D90,1)</f>
        <v>42428</v>
      </c>
      <c r="E91" s="163"/>
      <c r="F91" s="121">
        <v>0</v>
      </c>
      <c r="G91" s="163"/>
      <c r="H91" s="121">
        <f t="shared" si="5"/>
        <v>0</v>
      </c>
      <c r="I91" s="121">
        <f t="shared" si="4"/>
        <v>0</v>
      </c>
    </row>
    <row r="92" spans="2:9" ht="17.100000000000001" hidden="1" customHeight="1" outlineLevel="1" x14ac:dyDescent="0.25">
      <c r="B92" s="156"/>
      <c r="C92" s="155"/>
      <c r="D92" s="117">
        <f t="shared" ref="D92:D155" si="6">EDATE(D91,1)</f>
        <v>42457</v>
      </c>
      <c r="E92" s="163"/>
      <c r="F92" s="121">
        <v>0</v>
      </c>
      <c r="G92" s="163"/>
      <c r="H92" s="121">
        <f t="shared" si="5"/>
        <v>0</v>
      </c>
      <c r="I92" s="121">
        <f t="shared" si="4"/>
        <v>0</v>
      </c>
    </row>
    <row r="93" spans="2:9" ht="17.100000000000001" hidden="1" customHeight="1" outlineLevel="1" x14ac:dyDescent="0.25">
      <c r="B93" s="156"/>
      <c r="C93" s="155"/>
      <c r="D93" s="117">
        <f t="shared" si="6"/>
        <v>42488</v>
      </c>
      <c r="E93" s="163"/>
      <c r="F93" s="121">
        <v>0</v>
      </c>
      <c r="G93" s="163"/>
      <c r="H93" s="121">
        <f t="shared" si="5"/>
        <v>0</v>
      </c>
      <c r="I93" s="121">
        <f t="shared" si="4"/>
        <v>0</v>
      </c>
    </row>
    <row r="94" spans="2:9" ht="17.100000000000001" hidden="1" customHeight="1" outlineLevel="1" x14ac:dyDescent="0.25">
      <c r="B94" s="156"/>
      <c r="C94" s="155"/>
      <c r="D94" s="117">
        <f t="shared" si="6"/>
        <v>42518</v>
      </c>
      <c r="E94" s="163"/>
      <c r="F94" s="121">
        <v>0</v>
      </c>
      <c r="G94" s="163"/>
      <c r="H94" s="121">
        <f t="shared" si="5"/>
        <v>0</v>
      </c>
      <c r="I94" s="121">
        <f t="shared" si="4"/>
        <v>0</v>
      </c>
    </row>
    <row r="95" spans="2:9" ht="17.100000000000001" hidden="1" customHeight="1" outlineLevel="1" x14ac:dyDescent="0.25">
      <c r="B95" s="156"/>
      <c r="C95" s="155"/>
      <c r="D95" s="117">
        <f t="shared" si="6"/>
        <v>42549</v>
      </c>
      <c r="E95" s="163"/>
      <c r="F95" s="121">
        <v>0</v>
      </c>
      <c r="G95" s="163"/>
      <c r="H95" s="121">
        <f t="shared" si="5"/>
        <v>0</v>
      </c>
      <c r="I95" s="121">
        <f t="shared" si="4"/>
        <v>0</v>
      </c>
    </row>
    <row r="96" spans="2:9" ht="17.100000000000001" hidden="1" customHeight="1" outlineLevel="1" x14ac:dyDescent="0.25">
      <c r="B96" s="156"/>
      <c r="C96" s="155"/>
      <c r="D96" s="117">
        <f t="shared" si="6"/>
        <v>42579</v>
      </c>
      <c r="E96" s="163"/>
      <c r="F96" s="121">
        <v>0</v>
      </c>
      <c r="G96" s="163"/>
      <c r="H96" s="121">
        <f t="shared" si="5"/>
        <v>0</v>
      </c>
      <c r="I96" s="121">
        <f t="shared" si="4"/>
        <v>0</v>
      </c>
    </row>
    <row r="97" spans="1:9" ht="17.100000000000001" hidden="1" customHeight="1" outlineLevel="1" x14ac:dyDescent="0.25">
      <c r="B97" s="156"/>
      <c r="C97" s="155"/>
      <c r="D97" s="117">
        <f t="shared" si="6"/>
        <v>42610</v>
      </c>
      <c r="E97" s="163"/>
      <c r="F97" s="121">
        <v>0</v>
      </c>
      <c r="G97" s="163"/>
      <c r="H97" s="121">
        <f t="shared" si="5"/>
        <v>0</v>
      </c>
      <c r="I97" s="121">
        <f t="shared" si="4"/>
        <v>0</v>
      </c>
    </row>
    <row r="98" spans="1:9" ht="17.100000000000001" hidden="1" customHeight="1" outlineLevel="1" x14ac:dyDescent="0.25">
      <c r="B98" s="156"/>
      <c r="C98" s="155"/>
      <c r="D98" s="117">
        <f t="shared" si="6"/>
        <v>42641</v>
      </c>
      <c r="E98" s="163"/>
      <c r="F98" s="121">
        <v>0</v>
      </c>
      <c r="G98" s="163"/>
      <c r="H98" s="121">
        <f>+F98</f>
        <v>0</v>
      </c>
      <c r="I98" s="121">
        <f>+F98-H98</f>
        <v>0</v>
      </c>
    </row>
    <row r="99" spans="1:9" ht="17.100000000000001" hidden="1" customHeight="1" outlineLevel="1" x14ac:dyDescent="0.25">
      <c r="B99" s="156"/>
      <c r="C99" s="155"/>
      <c r="D99" s="117">
        <f t="shared" si="6"/>
        <v>42671</v>
      </c>
      <c r="E99" s="163"/>
      <c r="F99" s="121">
        <v>0</v>
      </c>
      <c r="G99" s="163"/>
      <c r="H99" s="121">
        <f t="shared" ref="H99:H133" si="7">+F99</f>
        <v>0</v>
      </c>
      <c r="I99" s="121">
        <f t="shared" ref="I99:I133" si="8">+F99-H99</f>
        <v>0</v>
      </c>
    </row>
    <row r="100" spans="1:9" ht="17.100000000000001" hidden="1" customHeight="1" outlineLevel="1" x14ac:dyDescent="0.25">
      <c r="B100" s="156"/>
      <c r="C100" s="155"/>
      <c r="D100" s="117">
        <f t="shared" si="6"/>
        <v>42702</v>
      </c>
      <c r="E100" s="163"/>
      <c r="F100" s="121">
        <v>0</v>
      </c>
      <c r="G100" s="163"/>
      <c r="H100" s="121">
        <f t="shared" si="7"/>
        <v>0</v>
      </c>
      <c r="I100" s="121">
        <f t="shared" si="8"/>
        <v>0</v>
      </c>
    </row>
    <row r="101" spans="1:9" ht="17.100000000000001" hidden="1" customHeight="1" outlineLevel="1" x14ac:dyDescent="0.25">
      <c r="B101" s="156"/>
      <c r="C101" s="155"/>
      <c r="D101" s="117">
        <f t="shared" si="6"/>
        <v>42732</v>
      </c>
      <c r="E101" s="163"/>
      <c r="F101" s="121">
        <v>0</v>
      </c>
      <c r="G101" s="163"/>
      <c r="H101" s="121">
        <f t="shared" si="7"/>
        <v>0</v>
      </c>
      <c r="I101" s="121">
        <f t="shared" si="8"/>
        <v>0</v>
      </c>
    </row>
    <row r="102" spans="1:9" ht="17.100000000000001" hidden="1" customHeight="1" outlineLevel="1" x14ac:dyDescent="0.25">
      <c r="B102" s="156"/>
      <c r="C102" s="155"/>
      <c r="D102" s="117">
        <f t="shared" si="6"/>
        <v>42763</v>
      </c>
      <c r="E102" s="163"/>
      <c r="F102" s="121">
        <v>0</v>
      </c>
      <c r="G102" s="163"/>
      <c r="H102" s="121">
        <f t="shared" si="7"/>
        <v>0</v>
      </c>
      <c r="I102" s="121">
        <f t="shared" si="8"/>
        <v>0</v>
      </c>
    </row>
    <row r="103" spans="1:9" ht="17.100000000000001" hidden="1" customHeight="1" outlineLevel="1" x14ac:dyDescent="0.25">
      <c r="B103" s="156"/>
      <c r="C103" s="155"/>
      <c r="D103" s="117">
        <f t="shared" si="6"/>
        <v>42794</v>
      </c>
      <c r="E103" s="163"/>
      <c r="F103" s="121">
        <v>0</v>
      </c>
      <c r="G103" s="163"/>
      <c r="H103" s="121">
        <f t="shared" si="7"/>
        <v>0</v>
      </c>
      <c r="I103" s="121">
        <f t="shared" si="8"/>
        <v>0</v>
      </c>
    </row>
    <row r="104" spans="1:9" ht="17.100000000000001" hidden="1" customHeight="1" outlineLevel="1" x14ac:dyDescent="0.25">
      <c r="B104" s="156"/>
      <c r="C104" s="155"/>
      <c r="D104" s="117">
        <f t="shared" si="6"/>
        <v>42822</v>
      </c>
      <c r="E104" s="163"/>
      <c r="F104" s="121">
        <v>0</v>
      </c>
      <c r="G104" s="163"/>
      <c r="H104" s="121">
        <f t="shared" si="7"/>
        <v>0</v>
      </c>
      <c r="I104" s="121">
        <f t="shared" si="8"/>
        <v>0</v>
      </c>
    </row>
    <row r="105" spans="1:9" ht="17.100000000000001" hidden="1" customHeight="1" outlineLevel="1" x14ac:dyDescent="0.25">
      <c r="B105" s="156"/>
      <c r="C105" s="155"/>
      <c r="D105" s="117">
        <f t="shared" si="6"/>
        <v>42853</v>
      </c>
      <c r="E105" s="163"/>
      <c r="F105" s="121">
        <v>0</v>
      </c>
      <c r="G105" s="163"/>
      <c r="H105" s="121">
        <f t="shared" si="7"/>
        <v>0</v>
      </c>
      <c r="I105" s="121">
        <f t="shared" si="8"/>
        <v>0</v>
      </c>
    </row>
    <row r="106" spans="1:9" ht="17.100000000000001" hidden="1" customHeight="1" outlineLevel="1" x14ac:dyDescent="0.25">
      <c r="B106" s="156"/>
      <c r="C106" s="155"/>
      <c r="D106" s="117">
        <f t="shared" si="6"/>
        <v>42883</v>
      </c>
      <c r="E106" s="163"/>
      <c r="F106" s="121">
        <v>0</v>
      </c>
      <c r="G106" s="163"/>
      <c r="H106" s="121">
        <f t="shared" si="7"/>
        <v>0</v>
      </c>
      <c r="I106" s="121">
        <f t="shared" si="8"/>
        <v>0</v>
      </c>
    </row>
    <row r="107" spans="1:9" ht="17.100000000000001" hidden="1" customHeight="1" outlineLevel="1" x14ac:dyDescent="0.25">
      <c r="B107" s="156"/>
      <c r="C107" s="155"/>
      <c r="D107" s="117">
        <f t="shared" si="6"/>
        <v>42914</v>
      </c>
      <c r="E107" s="163"/>
      <c r="F107" s="121">
        <v>0</v>
      </c>
      <c r="G107" s="163"/>
      <c r="H107" s="121">
        <f t="shared" si="7"/>
        <v>0</v>
      </c>
      <c r="I107" s="121">
        <f t="shared" si="8"/>
        <v>0</v>
      </c>
    </row>
    <row r="108" spans="1:9" ht="17.100000000000001" hidden="1" customHeight="1" outlineLevel="1" x14ac:dyDescent="0.25">
      <c r="A108" s="108">
        <v>7</v>
      </c>
      <c r="B108" s="131">
        <v>42887</v>
      </c>
      <c r="C108" s="155"/>
      <c r="D108" s="117">
        <v>42917</v>
      </c>
      <c r="E108" s="163"/>
      <c r="F108" s="121">
        <v>0</v>
      </c>
      <c r="G108" s="163"/>
      <c r="H108" s="121">
        <f t="shared" si="7"/>
        <v>0</v>
      </c>
      <c r="I108" s="121">
        <f t="shared" si="8"/>
        <v>0</v>
      </c>
    </row>
    <row r="109" spans="1:9" ht="17.100000000000001" hidden="1" customHeight="1" outlineLevel="1" x14ac:dyDescent="0.25">
      <c r="A109" s="108">
        <v>8</v>
      </c>
      <c r="B109" s="131">
        <f t="shared" ref="B109:B172" si="9">EOMONTH(B108,1)</f>
        <v>42947</v>
      </c>
      <c r="C109" s="155"/>
      <c r="D109" s="117">
        <f t="shared" si="6"/>
        <v>42948</v>
      </c>
      <c r="E109" s="163"/>
      <c r="F109" s="121">
        <v>0</v>
      </c>
      <c r="G109" s="163"/>
      <c r="H109" s="121">
        <f t="shared" si="7"/>
        <v>0</v>
      </c>
      <c r="I109" s="121">
        <f t="shared" si="8"/>
        <v>0</v>
      </c>
    </row>
    <row r="110" spans="1:9" ht="17.100000000000001" hidden="1" customHeight="1" outlineLevel="1" x14ac:dyDescent="0.25">
      <c r="A110" s="108">
        <v>9</v>
      </c>
      <c r="B110" s="131">
        <f t="shared" si="9"/>
        <v>42978</v>
      </c>
      <c r="C110" s="155"/>
      <c r="D110" s="117">
        <f t="shared" si="6"/>
        <v>42979</v>
      </c>
      <c r="E110" s="163"/>
      <c r="F110" s="121">
        <v>0</v>
      </c>
      <c r="G110" s="163"/>
      <c r="H110" s="121">
        <f t="shared" si="7"/>
        <v>0</v>
      </c>
      <c r="I110" s="121">
        <f t="shared" si="8"/>
        <v>0</v>
      </c>
    </row>
    <row r="111" spans="1:9" ht="17.100000000000001" hidden="1" customHeight="1" outlineLevel="1" x14ac:dyDescent="0.25">
      <c r="A111" s="108">
        <v>10</v>
      </c>
      <c r="B111" s="131">
        <f t="shared" si="9"/>
        <v>43008</v>
      </c>
      <c r="C111" s="155"/>
      <c r="D111" s="117">
        <f t="shared" si="6"/>
        <v>43009</v>
      </c>
      <c r="E111" s="163"/>
      <c r="F111" s="121">
        <v>0</v>
      </c>
      <c r="G111" s="163"/>
      <c r="H111" s="121">
        <f t="shared" si="7"/>
        <v>0</v>
      </c>
      <c r="I111" s="121">
        <f t="shared" si="8"/>
        <v>0</v>
      </c>
    </row>
    <row r="112" spans="1:9" ht="17.100000000000001" hidden="1" customHeight="1" outlineLevel="1" x14ac:dyDescent="0.25">
      <c r="A112" s="108">
        <v>11</v>
      </c>
      <c r="B112" s="131">
        <f t="shared" si="9"/>
        <v>43039</v>
      </c>
      <c r="C112" s="155"/>
      <c r="D112" s="117">
        <f t="shared" si="6"/>
        <v>43040</v>
      </c>
      <c r="E112" s="163"/>
      <c r="F112" s="121">
        <v>0</v>
      </c>
      <c r="G112" s="163"/>
      <c r="H112" s="121">
        <f t="shared" si="7"/>
        <v>0</v>
      </c>
      <c r="I112" s="121">
        <f t="shared" si="8"/>
        <v>0</v>
      </c>
    </row>
    <row r="113" spans="1:9" ht="17.100000000000001" hidden="1" customHeight="1" outlineLevel="1" x14ac:dyDescent="0.25">
      <c r="A113" s="108">
        <v>12</v>
      </c>
      <c r="B113" s="131">
        <f t="shared" si="9"/>
        <v>43069</v>
      </c>
      <c r="C113" s="155"/>
      <c r="D113" s="117">
        <f t="shared" si="6"/>
        <v>43070</v>
      </c>
      <c r="E113" s="163"/>
      <c r="F113" s="121">
        <v>0</v>
      </c>
      <c r="G113" s="163"/>
      <c r="H113" s="121">
        <f t="shared" si="7"/>
        <v>0</v>
      </c>
      <c r="I113" s="121">
        <f t="shared" si="8"/>
        <v>0</v>
      </c>
    </row>
    <row r="114" spans="1:9" ht="17.100000000000001" hidden="1" customHeight="1" outlineLevel="1" x14ac:dyDescent="0.25">
      <c r="A114" s="108">
        <v>13</v>
      </c>
      <c r="B114" s="131">
        <f t="shared" si="9"/>
        <v>43100</v>
      </c>
      <c r="C114" s="155"/>
      <c r="D114" s="117">
        <f t="shared" si="6"/>
        <v>43101</v>
      </c>
      <c r="E114" s="163"/>
      <c r="F114" s="121">
        <v>0</v>
      </c>
      <c r="G114" s="163"/>
      <c r="H114" s="121">
        <f t="shared" si="7"/>
        <v>0</v>
      </c>
      <c r="I114" s="121">
        <f t="shared" si="8"/>
        <v>0</v>
      </c>
    </row>
    <row r="115" spans="1:9" ht="17.100000000000001" hidden="1" customHeight="1" outlineLevel="1" x14ac:dyDescent="0.25">
      <c r="A115" s="108">
        <v>14</v>
      </c>
      <c r="B115" s="131">
        <f t="shared" si="9"/>
        <v>43131</v>
      </c>
      <c r="C115" s="155"/>
      <c r="D115" s="117">
        <f t="shared" si="6"/>
        <v>43132</v>
      </c>
      <c r="E115" s="163"/>
      <c r="F115" s="121">
        <v>0</v>
      </c>
      <c r="G115" s="163"/>
      <c r="H115" s="121">
        <f t="shared" si="7"/>
        <v>0</v>
      </c>
      <c r="I115" s="121">
        <f t="shared" si="8"/>
        <v>0</v>
      </c>
    </row>
    <row r="116" spans="1:9" ht="17.100000000000001" hidden="1" customHeight="1" outlineLevel="1" x14ac:dyDescent="0.25">
      <c r="A116" s="108">
        <v>15</v>
      </c>
      <c r="B116" s="131">
        <f t="shared" si="9"/>
        <v>43159</v>
      </c>
      <c r="C116" s="155"/>
      <c r="D116" s="117">
        <f t="shared" si="6"/>
        <v>43160</v>
      </c>
      <c r="E116" s="163"/>
      <c r="F116" s="121">
        <v>0</v>
      </c>
      <c r="G116" s="163"/>
      <c r="H116" s="121">
        <f t="shared" si="7"/>
        <v>0</v>
      </c>
      <c r="I116" s="121">
        <f t="shared" si="8"/>
        <v>0</v>
      </c>
    </row>
    <row r="117" spans="1:9" ht="17.100000000000001" hidden="1" customHeight="1" outlineLevel="1" x14ac:dyDescent="0.25">
      <c r="A117" s="108">
        <v>16</v>
      </c>
      <c r="B117" s="131">
        <f t="shared" si="9"/>
        <v>43190</v>
      </c>
      <c r="C117" s="155"/>
      <c r="D117" s="117">
        <f t="shared" si="6"/>
        <v>43191</v>
      </c>
      <c r="E117" s="163"/>
      <c r="F117" s="121">
        <v>0</v>
      </c>
      <c r="G117" s="163"/>
      <c r="H117" s="121">
        <f t="shared" si="7"/>
        <v>0</v>
      </c>
      <c r="I117" s="121">
        <f t="shared" si="8"/>
        <v>0</v>
      </c>
    </row>
    <row r="118" spans="1:9" ht="17.100000000000001" hidden="1" customHeight="1" outlineLevel="1" x14ac:dyDescent="0.25">
      <c r="A118" s="108">
        <v>17</v>
      </c>
      <c r="B118" s="131">
        <f t="shared" si="9"/>
        <v>43220</v>
      </c>
      <c r="C118" s="155"/>
      <c r="D118" s="117">
        <f t="shared" si="6"/>
        <v>43221</v>
      </c>
      <c r="E118" s="163"/>
      <c r="F118" s="121">
        <v>0</v>
      </c>
      <c r="G118" s="163"/>
      <c r="H118" s="121">
        <f t="shared" si="7"/>
        <v>0</v>
      </c>
      <c r="I118" s="121">
        <f t="shared" si="8"/>
        <v>0</v>
      </c>
    </row>
    <row r="119" spans="1:9" ht="17.100000000000001" hidden="1" customHeight="1" outlineLevel="1" x14ac:dyDescent="0.25">
      <c r="A119" s="108">
        <v>18</v>
      </c>
      <c r="B119" s="131">
        <f t="shared" si="9"/>
        <v>43251</v>
      </c>
      <c r="C119" s="155"/>
      <c r="D119" s="117">
        <f t="shared" si="6"/>
        <v>43252</v>
      </c>
      <c r="E119" s="163"/>
      <c r="F119" s="121">
        <v>0</v>
      </c>
      <c r="G119" s="163"/>
      <c r="H119" s="121">
        <f t="shared" si="7"/>
        <v>0</v>
      </c>
      <c r="I119" s="121">
        <f t="shared" si="8"/>
        <v>0</v>
      </c>
    </row>
    <row r="120" spans="1:9" ht="17.100000000000001" hidden="1" customHeight="1" outlineLevel="1" x14ac:dyDescent="0.25">
      <c r="A120" s="108">
        <v>19</v>
      </c>
      <c r="B120" s="131">
        <f t="shared" si="9"/>
        <v>43281</v>
      </c>
      <c r="C120" s="155"/>
      <c r="D120" s="117">
        <f t="shared" si="6"/>
        <v>43282</v>
      </c>
      <c r="E120" s="163"/>
      <c r="F120" s="121">
        <v>0</v>
      </c>
      <c r="G120" s="163"/>
      <c r="H120" s="121">
        <f t="shared" si="7"/>
        <v>0</v>
      </c>
      <c r="I120" s="121">
        <f t="shared" si="8"/>
        <v>0</v>
      </c>
    </row>
    <row r="121" spans="1:9" ht="17.100000000000001" hidden="1" customHeight="1" outlineLevel="1" x14ac:dyDescent="0.25">
      <c r="A121" s="108">
        <v>20</v>
      </c>
      <c r="B121" s="131">
        <f t="shared" si="9"/>
        <v>43312</v>
      </c>
      <c r="C121" s="155"/>
      <c r="D121" s="117">
        <f t="shared" si="6"/>
        <v>43313</v>
      </c>
      <c r="E121" s="163"/>
      <c r="F121" s="121">
        <v>0</v>
      </c>
      <c r="G121" s="163"/>
      <c r="H121" s="121">
        <f t="shared" si="7"/>
        <v>0</v>
      </c>
      <c r="I121" s="121">
        <f t="shared" si="8"/>
        <v>0</v>
      </c>
    </row>
    <row r="122" spans="1:9" ht="17.100000000000001" hidden="1" customHeight="1" outlineLevel="1" x14ac:dyDescent="0.25">
      <c r="A122" s="108">
        <v>21</v>
      </c>
      <c r="B122" s="131">
        <f t="shared" si="9"/>
        <v>43343</v>
      </c>
      <c r="C122" s="155"/>
      <c r="D122" s="117">
        <f t="shared" si="6"/>
        <v>43344</v>
      </c>
      <c r="E122" s="163"/>
      <c r="F122" s="121">
        <v>0</v>
      </c>
      <c r="G122" s="163"/>
      <c r="H122" s="121">
        <f t="shared" si="7"/>
        <v>0</v>
      </c>
      <c r="I122" s="121">
        <f t="shared" si="8"/>
        <v>0</v>
      </c>
    </row>
    <row r="123" spans="1:9" ht="17.100000000000001" hidden="1" customHeight="1" outlineLevel="1" x14ac:dyDescent="0.25">
      <c r="A123" s="108">
        <v>22</v>
      </c>
      <c r="B123" s="131">
        <f t="shared" si="9"/>
        <v>43373</v>
      </c>
      <c r="C123" s="155"/>
      <c r="D123" s="117">
        <f t="shared" si="6"/>
        <v>43374</v>
      </c>
      <c r="E123" s="163"/>
      <c r="F123" s="121">
        <v>0</v>
      </c>
      <c r="G123" s="163"/>
      <c r="H123" s="121">
        <f t="shared" si="7"/>
        <v>0</v>
      </c>
      <c r="I123" s="121">
        <f t="shared" si="8"/>
        <v>0</v>
      </c>
    </row>
    <row r="124" spans="1:9" ht="17.100000000000001" hidden="1" customHeight="1" outlineLevel="1" x14ac:dyDescent="0.25">
      <c r="A124" s="108">
        <v>23</v>
      </c>
      <c r="B124" s="131">
        <f t="shared" si="9"/>
        <v>43404</v>
      </c>
      <c r="C124" s="155"/>
      <c r="D124" s="117">
        <f t="shared" si="6"/>
        <v>43405</v>
      </c>
      <c r="E124" s="163"/>
      <c r="F124" s="121">
        <v>0</v>
      </c>
      <c r="G124" s="163"/>
      <c r="H124" s="121">
        <f t="shared" si="7"/>
        <v>0</v>
      </c>
      <c r="I124" s="121">
        <f t="shared" si="8"/>
        <v>0</v>
      </c>
    </row>
    <row r="125" spans="1:9" ht="17.100000000000001" hidden="1" customHeight="1" outlineLevel="1" x14ac:dyDescent="0.25">
      <c r="A125" s="108">
        <v>24</v>
      </c>
      <c r="B125" s="131">
        <f t="shared" si="9"/>
        <v>43434</v>
      </c>
      <c r="C125" s="155"/>
      <c r="D125" s="117">
        <f t="shared" si="6"/>
        <v>43435</v>
      </c>
      <c r="E125" s="163"/>
      <c r="F125" s="121">
        <v>0</v>
      </c>
      <c r="G125" s="163"/>
      <c r="H125" s="121">
        <f t="shared" si="7"/>
        <v>0</v>
      </c>
      <c r="I125" s="121">
        <f t="shared" si="8"/>
        <v>0</v>
      </c>
    </row>
    <row r="126" spans="1:9" ht="17.100000000000001" hidden="1" customHeight="1" outlineLevel="1" x14ac:dyDescent="0.25">
      <c r="A126" s="108">
        <v>25</v>
      </c>
      <c r="B126" s="131">
        <f t="shared" si="9"/>
        <v>43465</v>
      </c>
      <c r="C126" s="155"/>
      <c r="D126" s="117">
        <f t="shared" si="6"/>
        <v>43466</v>
      </c>
      <c r="E126" s="163"/>
      <c r="F126" s="121">
        <v>0</v>
      </c>
      <c r="G126" s="163"/>
      <c r="H126" s="121">
        <f t="shared" si="7"/>
        <v>0</v>
      </c>
      <c r="I126" s="121">
        <f t="shared" si="8"/>
        <v>0</v>
      </c>
    </row>
    <row r="127" spans="1:9" ht="17.100000000000001" hidden="1" customHeight="1" outlineLevel="1" x14ac:dyDescent="0.25">
      <c r="A127" s="108">
        <v>26</v>
      </c>
      <c r="B127" s="131">
        <f t="shared" si="9"/>
        <v>43496</v>
      </c>
      <c r="C127" s="155"/>
      <c r="D127" s="117">
        <f t="shared" si="6"/>
        <v>43497</v>
      </c>
      <c r="E127" s="163"/>
      <c r="F127" s="121">
        <v>0</v>
      </c>
      <c r="G127" s="163"/>
      <c r="H127" s="121">
        <f t="shared" si="7"/>
        <v>0</v>
      </c>
      <c r="I127" s="121">
        <f t="shared" si="8"/>
        <v>0</v>
      </c>
    </row>
    <row r="128" spans="1:9" ht="17.100000000000001" hidden="1" customHeight="1" outlineLevel="1" x14ac:dyDescent="0.25">
      <c r="A128" s="108">
        <v>27</v>
      </c>
      <c r="B128" s="131">
        <f t="shared" si="9"/>
        <v>43524</v>
      </c>
      <c r="C128" s="155"/>
      <c r="D128" s="117">
        <f t="shared" si="6"/>
        <v>43525</v>
      </c>
      <c r="E128" s="163"/>
      <c r="F128" s="121">
        <v>0</v>
      </c>
      <c r="G128" s="163"/>
      <c r="H128" s="121">
        <f t="shared" si="7"/>
        <v>0</v>
      </c>
      <c r="I128" s="121">
        <f t="shared" si="8"/>
        <v>0</v>
      </c>
    </row>
    <row r="129" spans="1:9" ht="17.100000000000001" hidden="1" customHeight="1" outlineLevel="1" x14ac:dyDescent="0.25">
      <c r="A129" s="108">
        <v>28</v>
      </c>
      <c r="B129" s="131">
        <f t="shared" si="9"/>
        <v>43555</v>
      </c>
      <c r="C129" s="155"/>
      <c r="D129" s="117">
        <f t="shared" si="6"/>
        <v>43556</v>
      </c>
      <c r="E129" s="163"/>
      <c r="F129" s="121">
        <v>0</v>
      </c>
      <c r="G129" s="163"/>
      <c r="H129" s="121">
        <f t="shared" si="7"/>
        <v>0</v>
      </c>
      <c r="I129" s="121">
        <f t="shared" si="8"/>
        <v>0</v>
      </c>
    </row>
    <row r="130" spans="1:9" ht="17.100000000000001" hidden="1" customHeight="1" outlineLevel="1" x14ac:dyDescent="0.25">
      <c r="A130" s="108">
        <v>29</v>
      </c>
      <c r="B130" s="131">
        <f t="shared" si="9"/>
        <v>43585</v>
      </c>
      <c r="C130" s="155"/>
      <c r="D130" s="117">
        <f t="shared" si="6"/>
        <v>43586</v>
      </c>
      <c r="E130" s="163"/>
      <c r="F130" s="121">
        <v>0</v>
      </c>
      <c r="G130" s="163"/>
      <c r="H130" s="121">
        <f t="shared" si="7"/>
        <v>0</v>
      </c>
      <c r="I130" s="121">
        <f t="shared" si="8"/>
        <v>0</v>
      </c>
    </row>
    <row r="131" spans="1:9" ht="17.100000000000001" hidden="1" customHeight="1" outlineLevel="1" x14ac:dyDescent="0.25">
      <c r="A131" s="108">
        <v>30</v>
      </c>
      <c r="B131" s="131">
        <f t="shared" si="9"/>
        <v>43616</v>
      </c>
      <c r="C131" s="155"/>
      <c r="D131" s="117">
        <f t="shared" si="6"/>
        <v>43617</v>
      </c>
      <c r="E131" s="163"/>
      <c r="F131" s="121">
        <v>0</v>
      </c>
      <c r="G131" s="163"/>
      <c r="H131" s="121">
        <f t="shared" si="7"/>
        <v>0</v>
      </c>
      <c r="I131" s="121">
        <f t="shared" si="8"/>
        <v>0</v>
      </c>
    </row>
    <row r="132" spans="1:9" ht="17.100000000000001" hidden="1" customHeight="1" outlineLevel="1" x14ac:dyDescent="0.25">
      <c r="A132" s="108">
        <v>31</v>
      </c>
      <c r="B132" s="131">
        <f t="shared" si="9"/>
        <v>43646</v>
      </c>
      <c r="C132" s="155"/>
      <c r="D132" s="117">
        <f t="shared" si="6"/>
        <v>43647</v>
      </c>
      <c r="E132" s="163"/>
      <c r="F132" s="121">
        <v>0</v>
      </c>
      <c r="G132" s="163"/>
      <c r="H132" s="121">
        <f t="shared" si="7"/>
        <v>0</v>
      </c>
      <c r="I132" s="121">
        <f t="shared" si="8"/>
        <v>0</v>
      </c>
    </row>
    <row r="133" spans="1:9" ht="17.100000000000001" hidden="1" customHeight="1" outlineLevel="1" x14ac:dyDescent="0.25">
      <c r="A133" s="108">
        <v>32</v>
      </c>
      <c r="B133" s="131">
        <f t="shared" si="9"/>
        <v>43677</v>
      </c>
      <c r="C133" s="155"/>
      <c r="D133" s="117">
        <f t="shared" si="6"/>
        <v>43678</v>
      </c>
      <c r="E133" s="163"/>
      <c r="F133" s="121">
        <v>0</v>
      </c>
      <c r="G133" s="163"/>
      <c r="H133" s="121">
        <f t="shared" si="7"/>
        <v>0</v>
      </c>
      <c r="I133" s="121">
        <f t="shared" si="8"/>
        <v>0</v>
      </c>
    </row>
    <row r="134" spans="1:9" ht="17.100000000000001" hidden="1" customHeight="1" outlineLevel="1" x14ac:dyDescent="0.25">
      <c r="A134" s="108">
        <f>+A11+1</f>
        <v>1</v>
      </c>
      <c r="B134" s="131">
        <f t="shared" si="9"/>
        <v>43708</v>
      </c>
      <c r="C134" s="155"/>
      <c r="D134" s="117">
        <f t="shared" si="6"/>
        <v>43709</v>
      </c>
      <c r="E134" s="163"/>
      <c r="F134" s="121">
        <v>0</v>
      </c>
      <c r="G134" s="163"/>
      <c r="H134" s="206">
        <f>+F134</f>
        <v>0</v>
      </c>
      <c r="I134" s="206">
        <f>+F134-H134</f>
        <v>0</v>
      </c>
    </row>
    <row r="135" spans="1:9" ht="17.100000000000001" hidden="1" customHeight="1" outlineLevel="1" x14ac:dyDescent="0.25">
      <c r="A135" s="108">
        <f>+A134+1</f>
        <v>2</v>
      </c>
      <c r="B135" s="131">
        <f t="shared" si="9"/>
        <v>43738</v>
      </c>
      <c r="C135" s="155"/>
      <c r="D135" s="117">
        <f t="shared" si="6"/>
        <v>43739</v>
      </c>
      <c r="E135" s="163"/>
      <c r="F135" s="121">
        <v>0</v>
      </c>
      <c r="G135" s="163"/>
      <c r="H135" s="206">
        <f t="shared" ref="H135:H202" si="10">+F135</f>
        <v>0</v>
      </c>
      <c r="I135" s="206">
        <f t="shared" ref="I135:I183" si="11">+F135-H135</f>
        <v>0</v>
      </c>
    </row>
    <row r="136" spans="1:9" ht="17.100000000000001" hidden="1" customHeight="1" outlineLevel="1" x14ac:dyDescent="0.25">
      <c r="A136" s="108">
        <f t="shared" ref="A136:A199" si="12">+A135+1</f>
        <v>3</v>
      </c>
      <c r="B136" s="131">
        <f t="shared" si="9"/>
        <v>43769</v>
      </c>
      <c r="C136" s="155"/>
      <c r="D136" s="117">
        <f t="shared" si="6"/>
        <v>43770</v>
      </c>
      <c r="E136" s="163"/>
      <c r="F136" s="121">
        <v>0</v>
      </c>
      <c r="G136" s="163"/>
      <c r="H136" s="206">
        <f t="shared" si="10"/>
        <v>0</v>
      </c>
      <c r="I136" s="206">
        <f t="shared" si="11"/>
        <v>0</v>
      </c>
    </row>
    <row r="137" spans="1:9" ht="17.100000000000001" hidden="1" customHeight="1" outlineLevel="1" x14ac:dyDescent="0.25">
      <c r="A137" s="108">
        <f t="shared" si="12"/>
        <v>4</v>
      </c>
      <c r="B137" s="131">
        <f t="shared" si="9"/>
        <v>43799</v>
      </c>
      <c r="C137" s="155"/>
      <c r="D137" s="117">
        <f t="shared" si="6"/>
        <v>43800</v>
      </c>
      <c r="E137" s="163"/>
      <c r="F137" s="121">
        <v>0</v>
      </c>
      <c r="G137" s="163"/>
      <c r="H137" s="206">
        <f t="shared" si="10"/>
        <v>0</v>
      </c>
      <c r="I137" s="206">
        <f t="shared" si="11"/>
        <v>0</v>
      </c>
    </row>
    <row r="138" spans="1:9" ht="17.100000000000001" hidden="1" customHeight="1" outlineLevel="1" x14ac:dyDescent="0.25">
      <c r="A138" s="108">
        <f t="shared" si="12"/>
        <v>5</v>
      </c>
      <c r="B138" s="131">
        <f t="shared" si="9"/>
        <v>43830</v>
      </c>
      <c r="C138" s="155"/>
      <c r="D138" s="117">
        <f t="shared" si="6"/>
        <v>43831</v>
      </c>
      <c r="E138" s="163"/>
      <c r="F138" s="121">
        <v>0</v>
      </c>
      <c r="G138" s="163"/>
      <c r="H138" s="206">
        <f t="shared" si="10"/>
        <v>0</v>
      </c>
      <c r="I138" s="206">
        <f t="shared" si="11"/>
        <v>0</v>
      </c>
    </row>
    <row r="139" spans="1:9" ht="17.100000000000001" hidden="1" customHeight="1" outlineLevel="1" x14ac:dyDescent="0.25">
      <c r="A139" s="108">
        <f t="shared" si="12"/>
        <v>6</v>
      </c>
      <c r="B139" s="131">
        <f t="shared" si="9"/>
        <v>43861</v>
      </c>
      <c r="C139" s="155"/>
      <c r="D139" s="117">
        <f t="shared" si="6"/>
        <v>43862</v>
      </c>
      <c r="E139" s="163"/>
      <c r="F139" s="121">
        <v>0</v>
      </c>
      <c r="G139" s="163"/>
      <c r="H139" s="206">
        <f t="shared" si="10"/>
        <v>0</v>
      </c>
      <c r="I139" s="206">
        <f t="shared" si="11"/>
        <v>0</v>
      </c>
    </row>
    <row r="140" spans="1:9" ht="17.100000000000001" hidden="1" customHeight="1" outlineLevel="1" x14ac:dyDescent="0.25">
      <c r="A140" s="108">
        <f t="shared" si="12"/>
        <v>7</v>
      </c>
      <c r="B140" s="131">
        <f t="shared" si="9"/>
        <v>43890</v>
      </c>
      <c r="C140" s="155"/>
      <c r="D140" s="117">
        <f t="shared" si="6"/>
        <v>43891</v>
      </c>
      <c r="E140" s="163"/>
      <c r="F140" s="121">
        <v>0</v>
      </c>
      <c r="G140" s="163"/>
      <c r="H140" s="206">
        <f t="shared" si="10"/>
        <v>0</v>
      </c>
      <c r="I140" s="206">
        <f t="shared" si="11"/>
        <v>0</v>
      </c>
    </row>
    <row r="141" spans="1:9" ht="17.100000000000001" hidden="1" customHeight="1" outlineLevel="1" x14ac:dyDescent="0.25">
      <c r="A141" s="108">
        <f t="shared" si="12"/>
        <v>8</v>
      </c>
      <c r="B141" s="131">
        <f t="shared" si="9"/>
        <v>43921</v>
      </c>
      <c r="C141" s="155"/>
      <c r="D141" s="117">
        <f t="shared" si="6"/>
        <v>43922</v>
      </c>
      <c r="E141" s="163"/>
      <c r="F141" s="121">
        <v>0</v>
      </c>
      <c r="G141" s="163"/>
      <c r="H141" s="206">
        <f t="shared" si="10"/>
        <v>0</v>
      </c>
      <c r="I141" s="206">
        <f t="shared" si="11"/>
        <v>0</v>
      </c>
    </row>
    <row r="142" spans="1:9" ht="17.100000000000001" hidden="1" customHeight="1" outlineLevel="1" x14ac:dyDescent="0.25">
      <c r="A142" s="108">
        <f t="shared" si="12"/>
        <v>9</v>
      </c>
      <c r="B142" s="131">
        <f t="shared" si="9"/>
        <v>43951</v>
      </c>
      <c r="C142" s="155"/>
      <c r="D142" s="117">
        <f t="shared" si="6"/>
        <v>43952</v>
      </c>
      <c r="E142" s="163"/>
      <c r="F142" s="121">
        <v>0</v>
      </c>
      <c r="G142" s="163"/>
      <c r="H142" s="206">
        <f t="shared" si="10"/>
        <v>0</v>
      </c>
      <c r="I142" s="206">
        <f t="shared" si="11"/>
        <v>0</v>
      </c>
    </row>
    <row r="143" spans="1:9" ht="17.100000000000001" hidden="1" customHeight="1" outlineLevel="1" x14ac:dyDescent="0.25">
      <c r="A143" s="108">
        <f>+A142+1</f>
        <v>10</v>
      </c>
      <c r="B143" s="131">
        <f>EOMONTH(B142,1)</f>
        <v>43982</v>
      </c>
      <c r="C143" s="155"/>
      <c r="D143" s="117">
        <f>EDATE(D142,1)</f>
        <v>43983</v>
      </c>
      <c r="E143" s="163"/>
      <c r="F143" s="121">
        <v>0</v>
      </c>
      <c r="G143" s="163"/>
      <c r="H143" s="206">
        <f t="shared" si="10"/>
        <v>0</v>
      </c>
      <c r="I143" s="206">
        <f t="shared" si="11"/>
        <v>0</v>
      </c>
    </row>
    <row r="144" spans="1:9" ht="17.100000000000001" hidden="1" customHeight="1" outlineLevel="1" x14ac:dyDescent="0.25">
      <c r="A144" s="108">
        <f t="shared" si="12"/>
        <v>11</v>
      </c>
      <c r="B144" s="131">
        <f t="shared" si="9"/>
        <v>44012</v>
      </c>
      <c r="C144" s="155"/>
      <c r="D144" s="117">
        <f t="shared" si="6"/>
        <v>44013</v>
      </c>
      <c r="E144" s="163"/>
      <c r="F144" s="121">
        <v>0</v>
      </c>
      <c r="G144" s="163"/>
      <c r="H144" s="206">
        <f t="shared" si="10"/>
        <v>0</v>
      </c>
      <c r="I144" s="206">
        <f t="shared" si="11"/>
        <v>0</v>
      </c>
    </row>
    <row r="145" spans="1:9" ht="17.100000000000001" hidden="1" customHeight="1" outlineLevel="1" x14ac:dyDescent="0.25">
      <c r="A145" s="108">
        <f t="shared" si="12"/>
        <v>12</v>
      </c>
      <c r="B145" s="131">
        <f t="shared" si="9"/>
        <v>44043</v>
      </c>
      <c r="C145" s="155"/>
      <c r="D145" s="117">
        <f t="shared" si="6"/>
        <v>44044</v>
      </c>
      <c r="E145" s="163"/>
      <c r="F145" s="121">
        <v>0</v>
      </c>
      <c r="G145" s="163"/>
      <c r="H145" s="206">
        <f t="shared" si="10"/>
        <v>0</v>
      </c>
      <c r="I145" s="206">
        <f t="shared" si="11"/>
        <v>0</v>
      </c>
    </row>
    <row r="146" spans="1:9" ht="17.100000000000001" hidden="1" customHeight="1" outlineLevel="1" x14ac:dyDescent="0.25">
      <c r="A146" s="108">
        <f t="shared" si="12"/>
        <v>13</v>
      </c>
      <c r="B146" s="131">
        <f t="shared" si="9"/>
        <v>44074</v>
      </c>
      <c r="C146" s="155"/>
      <c r="D146" s="117">
        <f t="shared" si="6"/>
        <v>44075</v>
      </c>
      <c r="E146" s="163"/>
      <c r="F146" s="121">
        <v>0</v>
      </c>
      <c r="G146" s="163"/>
      <c r="H146" s="206">
        <f t="shared" si="10"/>
        <v>0</v>
      </c>
      <c r="I146" s="206">
        <f t="shared" si="11"/>
        <v>0</v>
      </c>
    </row>
    <row r="147" spans="1:9" ht="17.100000000000001" hidden="1" customHeight="1" outlineLevel="1" x14ac:dyDescent="0.25">
      <c r="A147" s="108">
        <f t="shared" si="12"/>
        <v>14</v>
      </c>
      <c r="B147" s="131">
        <f t="shared" si="9"/>
        <v>44104</v>
      </c>
      <c r="C147" s="155"/>
      <c r="D147" s="117">
        <f t="shared" si="6"/>
        <v>44105</v>
      </c>
      <c r="E147" s="163"/>
      <c r="F147" s="121">
        <v>0</v>
      </c>
      <c r="G147" s="163"/>
      <c r="H147" s="206">
        <f t="shared" si="10"/>
        <v>0</v>
      </c>
      <c r="I147" s="206">
        <f t="shared" si="11"/>
        <v>0</v>
      </c>
    </row>
    <row r="148" spans="1:9" ht="17.100000000000001" hidden="1" customHeight="1" outlineLevel="1" x14ac:dyDescent="0.25">
      <c r="A148" s="108">
        <f t="shared" si="12"/>
        <v>15</v>
      </c>
      <c r="B148" s="131">
        <f t="shared" si="9"/>
        <v>44135</v>
      </c>
      <c r="C148" s="155"/>
      <c r="D148" s="117">
        <f t="shared" si="6"/>
        <v>44136</v>
      </c>
      <c r="E148" s="163"/>
      <c r="F148" s="121">
        <v>0</v>
      </c>
      <c r="G148" s="163"/>
      <c r="H148" s="206">
        <f t="shared" si="10"/>
        <v>0</v>
      </c>
      <c r="I148" s="206">
        <f t="shared" si="11"/>
        <v>0</v>
      </c>
    </row>
    <row r="149" spans="1:9" ht="17.100000000000001" hidden="1" customHeight="1" outlineLevel="1" x14ac:dyDescent="0.25">
      <c r="A149" s="108">
        <f t="shared" si="12"/>
        <v>16</v>
      </c>
      <c r="B149" s="131">
        <f t="shared" si="9"/>
        <v>44165</v>
      </c>
      <c r="C149" s="155"/>
      <c r="D149" s="117">
        <f t="shared" si="6"/>
        <v>44166</v>
      </c>
      <c r="E149" s="163"/>
      <c r="F149" s="121">
        <v>0</v>
      </c>
      <c r="G149" s="163"/>
      <c r="H149" s="206">
        <f t="shared" si="10"/>
        <v>0</v>
      </c>
      <c r="I149" s="206">
        <f t="shared" si="11"/>
        <v>0</v>
      </c>
    </row>
    <row r="150" spans="1:9" ht="17.100000000000001" hidden="1" customHeight="1" outlineLevel="1" x14ac:dyDescent="0.25">
      <c r="A150" s="108">
        <f t="shared" si="12"/>
        <v>17</v>
      </c>
      <c r="B150" s="131">
        <f t="shared" si="9"/>
        <v>44196</v>
      </c>
      <c r="C150" s="155"/>
      <c r="D150" s="117">
        <f t="shared" si="6"/>
        <v>44197</v>
      </c>
      <c r="E150" s="163"/>
      <c r="F150" s="121">
        <v>0</v>
      </c>
      <c r="G150" s="163"/>
      <c r="H150" s="206">
        <f t="shared" si="10"/>
        <v>0</v>
      </c>
      <c r="I150" s="206">
        <f t="shared" si="11"/>
        <v>0</v>
      </c>
    </row>
    <row r="151" spans="1:9" ht="17.100000000000001" hidden="1" customHeight="1" outlineLevel="1" x14ac:dyDescent="0.25">
      <c r="A151" s="108">
        <f t="shared" si="12"/>
        <v>18</v>
      </c>
      <c r="B151" s="131">
        <f t="shared" si="9"/>
        <v>44227</v>
      </c>
      <c r="C151" s="155"/>
      <c r="D151" s="117">
        <f t="shared" si="6"/>
        <v>44228</v>
      </c>
      <c r="E151" s="163"/>
      <c r="F151" s="121">
        <v>0</v>
      </c>
      <c r="G151" s="163"/>
      <c r="H151" s="206">
        <f t="shared" si="10"/>
        <v>0</v>
      </c>
      <c r="I151" s="206">
        <f t="shared" si="11"/>
        <v>0</v>
      </c>
    </row>
    <row r="152" spans="1:9" ht="17.100000000000001" hidden="1" customHeight="1" outlineLevel="1" x14ac:dyDescent="0.25">
      <c r="A152" s="108">
        <f t="shared" si="12"/>
        <v>19</v>
      </c>
      <c r="B152" s="131">
        <f t="shared" si="9"/>
        <v>44255</v>
      </c>
      <c r="C152" s="155"/>
      <c r="D152" s="117">
        <f t="shared" si="6"/>
        <v>44256</v>
      </c>
      <c r="E152" s="163"/>
      <c r="F152" s="121">
        <v>0</v>
      </c>
      <c r="G152" s="163"/>
      <c r="H152" s="206">
        <f t="shared" si="10"/>
        <v>0</v>
      </c>
      <c r="I152" s="206">
        <f t="shared" si="11"/>
        <v>0</v>
      </c>
    </row>
    <row r="153" spans="1:9" ht="17.100000000000001" hidden="1" customHeight="1" outlineLevel="1" x14ac:dyDescent="0.25">
      <c r="A153" s="108">
        <f t="shared" si="12"/>
        <v>20</v>
      </c>
      <c r="B153" s="131">
        <f t="shared" si="9"/>
        <v>44286</v>
      </c>
      <c r="C153" s="155"/>
      <c r="D153" s="117">
        <f t="shared" si="6"/>
        <v>44287</v>
      </c>
      <c r="E153" s="163"/>
      <c r="F153" s="121">
        <v>0</v>
      </c>
      <c r="G153" s="163"/>
      <c r="H153" s="206">
        <f t="shared" si="10"/>
        <v>0</v>
      </c>
      <c r="I153" s="206">
        <f t="shared" si="11"/>
        <v>0</v>
      </c>
    </row>
    <row r="154" spans="1:9" ht="17.100000000000001" hidden="1" customHeight="1" outlineLevel="1" x14ac:dyDescent="0.25">
      <c r="A154" s="108">
        <f t="shared" si="12"/>
        <v>21</v>
      </c>
      <c r="B154" s="131">
        <f t="shared" si="9"/>
        <v>44316</v>
      </c>
      <c r="C154" s="155"/>
      <c r="D154" s="117">
        <f t="shared" si="6"/>
        <v>44317</v>
      </c>
      <c r="E154" s="163"/>
      <c r="F154" s="121">
        <v>0</v>
      </c>
      <c r="G154" s="163"/>
      <c r="H154" s="206">
        <f t="shared" si="10"/>
        <v>0</v>
      </c>
      <c r="I154" s="206">
        <f t="shared" si="11"/>
        <v>0</v>
      </c>
    </row>
    <row r="155" spans="1:9" ht="17.100000000000001" hidden="1" customHeight="1" outlineLevel="1" x14ac:dyDescent="0.25">
      <c r="A155" s="108">
        <f t="shared" si="12"/>
        <v>22</v>
      </c>
      <c r="B155" s="131">
        <f t="shared" si="9"/>
        <v>44347</v>
      </c>
      <c r="C155" s="155"/>
      <c r="D155" s="117">
        <f t="shared" si="6"/>
        <v>44348</v>
      </c>
      <c r="E155" s="163"/>
      <c r="F155" s="121">
        <v>0</v>
      </c>
      <c r="G155" s="163"/>
      <c r="H155" s="206">
        <f t="shared" si="10"/>
        <v>0</v>
      </c>
      <c r="I155" s="206">
        <f t="shared" si="11"/>
        <v>0</v>
      </c>
    </row>
    <row r="156" spans="1:9" ht="17.100000000000001" hidden="1" customHeight="1" outlineLevel="1" x14ac:dyDescent="0.25">
      <c r="A156" s="108">
        <f t="shared" si="12"/>
        <v>23</v>
      </c>
      <c r="B156" s="131">
        <f t="shared" si="9"/>
        <v>44377</v>
      </c>
      <c r="C156" s="155"/>
      <c r="D156" s="117">
        <f t="shared" ref="D156:D201" si="13">EDATE(D155,1)</f>
        <v>44378</v>
      </c>
      <c r="E156" s="163"/>
      <c r="F156" s="121">
        <v>0</v>
      </c>
      <c r="G156" s="163"/>
      <c r="H156" s="206">
        <f t="shared" si="10"/>
        <v>0</v>
      </c>
      <c r="I156" s="206">
        <f t="shared" si="11"/>
        <v>0</v>
      </c>
    </row>
    <row r="157" spans="1:9" ht="17.100000000000001" hidden="1" customHeight="1" outlineLevel="1" x14ac:dyDescent="0.25">
      <c r="A157" s="108">
        <f t="shared" si="12"/>
        <v>24</v>
      </c>
      <c r="B157" s="131">
        <f t="shared" si="9"/>
        <v>44408</v>
      </c>
      <c r="C157" s="155"/>
      <c r="D157" s="117">
        <f t="shared" si="13"/>
        <v>44409</v>
      </c>
      <c r="E157" s="163"/>
      <c r="F157" s="121">
        <v>0</v>
      </c>
      <c r="G157" s="163"/>
      <c r="H157" s="206">
        <f t="shared" si="10"/>
        <v>0</v>
      </c>
      <c r="I157" s="206">
        <f t="shared" si="11"/>
        <v>0</v>
      </c>
    </row>
    <row r="158" spans="1:9" ht="17.100000000000001" hidden="1" customHeight="1" outlineLevel="1" x14ac:dyDescent="0.25">
      <c r="A158" s="108">
        <f t="shared" si="12"/>
        <v>25</v>
      </c>
      <c r="B158" s="131">
        <f t="shared" si="9"/>
        <v>44439</v>
      </c>
      <c r="C158" s="155"/>
      <c r="D158" s="117">
        <f t="shared" si="13"/>
        <v>44440</v>
      </c>
      <c r="E158" s="163"/>
      <c r="F158" s="121">
        <v>0</v>
      </c>
      <c r="G158" s="163"/>
      <c r="H158" s="206">
        <f t="shared" si="10"/>
        <v>0</v>
      </c>
      <c r="I158" s="206">
        <f t="shared" si="11"/>
        <v>0</v>
      </c>
    </row>
    <row r="159" spans="1:9" ht="17.100000000000001" hidden="1" customHeight="1" outlineLevel="1" x14ac:dyDescent="0.25">
      <c r="A159" s="108">
        <f t="shared" si="12"/>
        <v>26</v>
      </c>
      <c r="B159" s="131">
        <f t="shared" si="9"/>
        <v>44469</v>
      </c>
      <c r="C159" s="155"/>
      <c r="D159" s="117">
        <f t="shared" si="13"/>
        <v>44470</v>
      </c>
      <c r="E159" s="163"/>
      <c r="F159" s="121">
        <v>0</v>
      </c>
      <c r="G159" s="163"/>
      <c r="H159" s="206">
        <f t="shared" si="10"/>
        <v>0</v>
      </c>
      <c r="I159" s="206">
        <f t="shared" si="11"/>
        <v>0</v>
      </c>
    </row>
    <row r="160" spans="1:9" ht="17.100000000000001" hidden="1" customHeight="1" outlineLevel="1" x14ac:dyDescent="0.25">
      <c r="A160" s="108">
        <f t="shared" si="12"/>
        <v>27</v>
      </c>
      <c r="B160" s="131">
        <f t="shared" si="9"/>
        <v>44500</v>
      </c>
      <c r="C160" s="155"/>
      <c r="D160" s="117">
        <f t="shared" si="13"/>
        <v>44501</v>
      </c>
      <c r="E160" s="163"/>
      <c r="F160" s="121">
        <v>0</v>
      </c>
      <c r="G160" s="163"/>
      <c r="H160" s="206">
        <f t="shared" si="10"/>
        <v>0</v>
      </c>
      <c r="I160" s="206">
        <f t="shared" si="11"/>
        <v>0</v>
      </c>
    </row>
    <row r="161" spans="1:9" ht="17.100000000000001" hidden="1" customHeight="1" outlineLevel="1" x14ac:dyDescent="0.25">
      <c r="A161" s="108">
        <f t="shared" si="12"/>
        <v>28</v>
      </c>
      <c r="B161" s="131">
        <f t="shared" si="9"/>
        <v>44530</v>
      </c>
      <c r="C161" s="155"/>
      <c r="D161" s="117">
        <f t="shared" si="13"/>
        <v>44531</v>
      </c>
      <c r="E161" s="163"/>
      <c r="F161" s="121">
        <v>0</v>
      </c>
      <c r="G161" s="163"/>
      <c r="H161" s="206">
        <f t="shared" si="10"/>
        <v>0</v>
      </c>
      <c r="I161" s="206">
        <f t="shared" si="11"/>
        <v>0</v>
      </c>
    </row>
    <row r="162" spans="1:9" ht="17.100000000000001" hidden="1" customHeight="1" outlineLevel="1" x14ac:dyDescent="0.25">
      <c r="A162" s="108">
        <f t="shared" si="12"/>
        <v>29</v>
      </c>
      <c r="B162" s="131">
        <f t="shared" si="9"/>
        <v>44561</v>
      </c>
      <c r="C162" s="155"/>
      <c r="D162" s="117">
        <f t="shared" si="13"/>
        <v>44562</v>
      </c>
      <c r="E162" s="163"/>
      <c r="F162" s="121">
        <v>0</v>
      </c>
      <c r="G162" s="163"/>
      <c r="H162" s="206">
        <f t="shared" si="10"/>
        <v>0</v>
      </c>
      <c r="I162" s="206">
        <f t="shared" si="11"/>
        <v>0</v>
      </c>
    </row>
    <row r="163" spans="1:9" ht="17.100000000000001" hidden="1" customHeight="1" outlineLevel="1" x14ac:dyDescent="0.25">
      <c r="A163" s="108">
        <f t="shared" si="12"/>
        <v>30</v>
      </c>
      <c r="B163" s="131">
        <f t="shared" si="9"/>
        <v>44592</v>
      </c>
      <c r="C163" s="155"/>
      <c r="D163" s="117">
        <f t="shared" si="13"/>
        <v>44593</v>
      </c>
      <c r="E163" s="163"/>
      <c r="F163" s="121">
        <v>0</v>
      </c>
      <c r="G163" s="163"/>
      <c r="H163" s="206">
        <f t="shared" si="10"/>
        <v>0</v>
      </c>
      <c r="I163" s="206">
        <f t="shared" si="11"/>
        <v>0</v>
      </c>
    </row>
    <row r="164" spans="1:9" ht="17.100000000000001" hidden="1" customHeight="1" outlineLevel="1" x14ac:dyDescent="0.25">
      <c r="A164" s="108">
        <f t="shared" si="12"/>
        <v>31</v>
      </c>
      <c r="B164" s="131">
        <f t="shared" si="9"/>
        <v>44620</v>
      </c>
      <c r="C164" s="155"/>
      <c r="D164" s="117">
        <f t="shared" si="13"/>
        <v>44621</v>
      </c>
      <c r="E164" s="163"/>
      <c r="F164" s="121">
        <v>0</v>
      </c>
      <c r="G164" s="163"/>
      <c r="H164" s="206">
        <f t="shared" si="10"/>
        <v>0</v>
      </c>
      <c r="I164" s="206">
        <f t="shared" si="11"/>
        <v>0</v>
      </c>
    </row>
    <row r="165" spans="1:9" ht="17.100000000000001" hidden="1" customHeight="1" outlineLevel="1" x14ac:dyDescent="0.25">
      <c r="A165" s="108">
        <f t="shared" si="12"/>
        <v>32</v>
      </c>
      <c r="B165" s="131">
        <f t="shared" si="9"/>
        <v>44651</v>
      </c>
      <c r="C165" s="155"/>
      <c r="D165" s="117">
        <f t="shared" si="13"/>
        <v>44652</v>
      </c>
      <c r="E165" s="163"/>
      <c r="F165" s="121">
        <v>0</v>
      </c>
      <c r="G165" s="163"/>
      <c r="H165" s="206">
        <f t="shared" si="10"/>
        <v>0</v>
      </c>
      <c r="I165" s="206">
        <f t="shared" si="11"/>
        <v>0</v>
      </c>
    </row>
    <row r="166" spans="1:9" ht="17.100000000000001" hidden="1" customHeight="1" outlineLevel="1" x14ac:dyDescent="0.25">
      <c r="A166" s="108">
        <f t="shared" si="12"/>
        <v>33</v>
      </c>
      <c r="B166" s="131">
        <f t="shared" si="9"/>
        <v>44681</v>
      </c>
      <c r="C166" s="155"/>
      <c r="D166" s="117">
        <f t="shared" si="13"/>
        <v>44682</v>
      </c>
      <c r="E166" s="163"/>
      <c r="F166" s="121">
        <v>0</v>
      </c>
      <c r="G166" s="163"/>
      <c r="H166" s="206">
        <f t="shared" si="10"/>
        <v>0</v>
      </c>
      <c r="I166" s="206">
        <f t="shared" si="11"/>
        <v>0</v>
      </c>
    </row>
    <row r="167" spans="1:9" ht="17.100000000000001" hidden="1" customHeight="1" outlineLevel="1" x14ac:dyDescent="0.25">
      <c r="A167" s="108">
        <f t="shared" si="12"/>
        <v>34</v>
      </c>
      <c r="B167" s="131">
        <f t="shared" si="9"/>
        <v>44712</v>
      </c>
      <c r="C167" s="155"/>
      <c r="D167" s="117">
        <f t="shared" si="13"/>
        <v>44713</v>
      </c>
      <c r="E167" s="163"/>
      <c r="F167" s="121">
        <v>0</v>
      </c>
      <c r="G167" s="163"/>
      <c r="H167" s="206">
        <f t="shared" si="10"/>
        <v>0</v>
      </c>
      <c r="I167" s="206">
        <f t="shared" si="11"/>
        <v>0</v>
      </c>
    </row>
    <row r="168" spans="1:9" ht="17.100000000000001" hidden="1" customHeight="1" outlineLevel="1" x14ac:dyDescent="0.25">
      <c r="A168" s="108">
        <f t="shared" si="12"/>
        <v>35</v>
      </c>
      <c r="B168" s="131">
        <f t="shared" si="9"/>
        <v>44742</v>
      </c>
      <c r="C168" s="155"/>
      <c r="D168" s="117">
        <f t="shared" si="13"/>
        <v>44743</v>
      </c>
      <c r="E168" s="163"/>
      <c r="F168" s="121">
        <v>0</v>
      </c>
      <c r="G168" s="163"/>
      <c r="H168" s="206">
        <f t="shared" si="10"/>
        <v>0</v>
      </c>
      <c r="I168" s="206">
        <f t="shared" si="11"/>
        <v>0</v>
      </c>
    </row>
    <row r="169" spans="1:9" ht="17.100000000000001" hidden="1" customHeight="1" outlineLevel="1" x14ac:dyDescent="0.25">
      <c r="A169" s="108">
        <f t="shared" si="12"/>
        <v>36</v>
      </c>
      <c r="B169" s="131">
        <f t="shared" si="9"/>
        <v>44773</v>
      </c>
      <c r="C169" s="140">
        <f>'Att(1of6)(JP-Non)'!C171</f>
        <v>4.7493880000000002E-2</v>
      </c>
      <c r="D169" s="117">
        <f t="shared" si="13"/>
        <v>44774</v>
      </c>
      <c r="E169" s="117">
        <f t="shared" ref="E169:E201" si="14">EOMONTH(D169,1)</f>
        <v>44834</v>
      </c>
      <c r="F169" s="121">
        <f>+'[272]Members (07.2022)'!$K$35</f>
        <v>2808.5</v>
      </c>
      <c r="G169" s="117">
        <f t="shared" ref="G169:G201" si="15">E169</f>
        <v>44834</v>
      </c>
      <c r="H169" s="121">
        <f t="shared" si="10"/>
        <v>2808.5</v>
      </c>
      <c r="I169" s="121">
        <f t="shared" si="11"/>
        <v>0</v>
      </c>
    </row>
    <row r="170" spans="1:9" ht="17.100000000000001" hidden="1" customHeight="1" outlineLevel="1" x14ac:dyDescent="0.25">
      <c r="A170" s="108">
        <f t="shared" si="12"/>
        <v>37</v>
      </c>
      <c r="B170" s="131">
        <f t="shared" si="9"/>
        <v>44804</v>
      </c>
      <c r="C170" s="140">
        <f>'Att(1of6)(JP-Non)'!C172</f>
        <v>3.0638189999999999E-2</v>
      </c>
      <c r="D170" s="117">
        <f t="shared" si="13"/>
        <v>44805</v>
      </c>
      <c r="E170" s="117">
        <f t="shared" si="14"/>
        <v>44865</v>
      </c>
      <c r="F170" s="121">
        <f>+'[272]Members (08.2022) '!$K$31</f>
        <v>19319.259999999998</v>
      </c>
      <c r="G170" s="117">
        <f t="shared" si="15"/>
        <v>44865</v>
      </c>
      <c r="H170" s="121">
        <f t="shared" si="10"/>
        <v>19319.259999999998</v>
      </c>
      <c r="I170" s="121">
        <f t="shared" si="11"/>
        <v>0</v>
      </c>
    </row>
    <row r="171" spans="1:9" ht="17.100000000000001" hidden="1" customHeight="1" outlineLevel="1" x14ac:dyDescent="0.25">
      <c r="A171" s="108">
        <f t="shared" si="12"/>
        <v>38</v>
      </c>
      <c r="B171" s="131">
        <f t="shared" si="9"/>
        <v>44834</v>
      </c>
      <c r="C171" s="140">
        <f>'Att(1of6)(JP-Non)'!C173</f>
        <v>4.1599219999999999E-2</v>
      </c>
      <c r="D171" s="117">
        <f t="shared" si="13"/>
        <v>44835</v>
      </c>
      <c r="E171" s="117">
        <f t="shared" si="14"/>
        <v>44895</v>
      </c>
      <c r="F171" s="121">
        <f>+'[272]Members (09.2022)'!$K$31</f>
        <v>2396.14</v>
      </c>
      <c r="G171" s="117">
        <f t="shared" si="15"/>
        <v>44895</v>
      </c>
      <c r="H171" s="121">
        <f t="shared" si="10"/>
        <v>2396.14</v>
      </c>
      <c r="I171" s="121">
        <f t="shared" si="11"/>
        <v>0</v>
      </c>
    </row>
    <row r="172" spans="1:9" ht="17.100000000000001" hidden="1" customHeight="1" outlineLevel="1" x14ac:dyDescent="0.25">
      <c r="A172" s="108">
        <f t="shared" si="12"/>
        <v>39</v>
      </c>
      <c r="B172" s="131">
        <f t="shared" si="9"/>
        <v>44865</v>
      </c>
      <c r="C172" s="140">
        <f>'Att(1of6)(JP-Non)'!C174</f>
        <v>3.2982659999999997E-2</v>
      </c>
      <c r="D172" s="117">
        <f t="shared" si="13"/>
        <v>44866</v>
      </c>
      <c r="E172" s="117">
        <f t="shared" si="14"/>
        <v>44926</v>
      </c>
      <c r="F172" s="121">
        <f>+'[272]Members (10.2022)'!$K$31</f>
        <v>18061.490000000002</v>
      </c>
      <c r="G172" s="117">
        <f t="shared" si="15"/>
        <v>44926</v>
      </c>
      <c r="H172" s="121">
        <f t="shared" si="10"/>
        <v>18061.490000000002</v>
      </c>
      <c r="I172" s="121">
        <f t="shared" si="11"/>
        <v>0</v>
      </c>
    </row>
    <row r="173" spans="1:9" ht="17.100000000000001" hidden="1" customHeight="1" outlineLevel="1" x14ac:dyDescent="0.25">
      <c r="A173" s="108">
        <f t="shared" si="12"/>
        <v>40</v>
      </c>
      <c r="B173" s="131">
        <f t="shared" ref="B173:B201" si="16">EOMONTH(B172,1)</f>
        <v>44895</v>
      </c>
      <c r="C173" s="140">
        <f>'Att(1of6)(JP-Non)'!C175</f>
        <v>4.0698829999999998E-2</v>
      </c>
      <c r="D173" s="117">
        <f t="shared" si="13"/>
        <v>44896</v>
      </c>
      <c r="E173" s="117">
        <f t="shared" si="14"/>
        <v>44957</v>
      </c>
      <c r="F173" s="121">
        <f>+'[272]Member (11.2022)'!$K$31</f>
        <v>3402.35</v>
      </c>
      <c r="G173" s="117">
        <f t="shared" si="15"/>
        <v>44957</v>
      </c>
      <c r="H173" s="121">
        <f t="shared" si="10"/>
        <v>3402.35</v>
      </c>
      <c r="I173" s="121">
        <f t="shared" si="11"/>
        <v>0</v>
      </c>
    </row>
    <row r="174" spans="1:9" ht="17.100000000000001" hidden="1" customHeight="1" outlineLevel="1" x14ac:dyDescent="0.25">
      <c r="A174" s="108">
        <f t="shared" si="12"/>
        <v>41</v>
      </c>
      <c r="B174" s="131">
        <f t="shared" si="16"/>
        <v>44926</v>
      </c>
      <c r="C174" s="140">
        <f>'Att(1of6)(JP-Non)'!C176</f>
        <v>0.10631458000000001</v>
      </c>
      <c r="D174" s="117">
        <f t="shared" si="13"/>
        <v>44927</v>
      </c>
      <c r="E174" s="117">
        <f t="shared" si="14"/>
        <v>44985</v>
      </c>
      <c r="F174" s="121">
        <v>0</v>
      </c>
      <c r="G174" s="117">
        <f t="shared" si="15"/>
        <v>44985</v>
      </c>
      <c r="H174" s="121">
        <f t="shared" si="10"/>
        <v>0</v>
      </c>
      <c r="I174" s="206">
        <f t="shared" si="11"/>
        <v>0</v>
      </c>
    </row>
    <row r="175" spans="1:9" ht="17.100000000000001" hidden="1" customHeight="1" outlineLevel="1" x14ac:dyDescent="0.25">
      <c r="A175" s="108">
        <f t="shared" si="12"/>
        <v>42</v>
      </c>
      <c r="B175" s="131">
        <f t="shared" si="16"/>
        <v>44957</v>
      </c>
      <c r="C175" s="140">
        <f>'Att(1of6)(JP-Non)'!C177</f>
        <v>5.0254630000000002E-2</v>
      </c>
      <c r="D175" s="117">
        <f t="shared" si="13"/>
        <v>44958</v>
      </c>
      <c r="E175" s="117">
        <f t="shared" si="14"/>
        <v>45016</v>
      </c>
      <c r="F175" s="121">
        <v>0</v>
      </c>
      <c r="G175" s="117">
        <f t="shared" si="15"/>
        <v>45016</v>
      </c>
      <c r="H175" s="121">
        <f t="shared" si="10"/>
        <v>0</v>
      </c>
      <c r="I175" s="206">
        <f t="shared" si="11"/>
        <v>0</v>
      </c>
    </row>
    <row r="176" spans="1:9" ht="17.100000000000001" hidden="1" customHeight="1" outlineLevel="1" x14ac:dyDescent="0.25">
      <c r="A176" s="108">
        <f t="shared" si="12"/>
        <v>43</v>
      </c>
      <c r="B176" s="131">
        <f t="shared" si="16"/>
        <v>44985</v>
      </c>
      <c r="C176" s="140">
        <f>'Att(1of6)(JP-Non)'!C178</f>
        <v>4.6768179999999999E-2</v>
      </c>
      <c r="D176" s="117">
        <f t="shared" si="13"/>
        <v>44986</v>
      </c>
      <c r="E176" s="117">
        <f t="shared" si="14"/>
        <v>45046</v>
      </c>
      <c r="F176" s="121">
        <v>0</v>
      </c>
      <c r="G176" s="117">
        <f t="shared" si="15"/>
        <v>45046</v>
      </c>
      <c r="H176" s="121">
        <f t="shared" si="10"/>
        <v>0</v>
      </c>
      <c r="I176" s="206">
        <f t="shared" si="11"/>
        <v>0</v>
      </c>
    </row>
    <row r="177" spans="1:9" ht="17.100000000000001" hidden="1" customHeight="1" outlineLevel="1" x14ac:dyDescent="0.25">
      <c r="A177" s="108">
        <f t="shared" si="12"/>
        <v>44</v>
      </c>
      <c r="B177" s="131">
        <f t="shared" si="16"/>
        <v>45016</v>
      </c>
      <c r="C177" s="140">
        <f>'Att(1of6)(JP-Non)'!C179</f>
        <v>6.4901299999999995E-2</v>
      </c>
      <c r="D177" s="117">
        <f t="shared" si="13"/>
        <v>45017</v>
      </c>
      <c r="E177" s="117">
        <f t="shared" si="14"/>
        <v>45077</v>
      </c>
      <c r="F177" s="121">
        <v>0</v>
      </c>
      <c r="G177" s="117">
        <f t="shared" si="15"/>
        <v>45077</v>
      </c>
      <c r="H177" s="121">
        <f t="shared" si="10"/>
        <v>0</v>
      </c>
      <c r="I177" s="206">
        <f t="shared" si="11"/>
        <v>0</v>
      </c>
    </row>
    <row r="178" spans="1:9" ht="17.100000000000001" hidden="1" customHeight="1" outlineLevel="1" x14ac:dyDescent="0.25">
      <c r="A178" s="108">
        <f t="shared" si="12"/>
        <v>45</v>
      </c>
      <c r="B178" s="131">
        <f t="shared" si="16"/>
        <v>45046</v>
      </c>
      <c r="C178" s="140">
        <f>'Att(1of6)(JP-Non)'!C180</f>
        <v>6.2863630000000004E-2</v>
      </c>
      <c r="D178" s="117">
        <f t="shared" si="13"/>
        <v>45047</v>
      </c>
      <c r="E178" s="117">
        <f t="shared" si="14"/>
        <v>45107</v>
      </c>
      <c r="F178" s="121">
        <v>0</v>
      </c>
      <c r="G178" s="117">
        <f t="shared" si="15"/>
        <v>45107</v>
      </c>
      <c r="H178" s="121">
        <f t="shared" si="10"/>
        <v>0</v>
      </c>
      <c r="I178" s="206">
        <f t="shared" si="11"/>
        <v>0</v>
      </c>
    </row>
    <row r="179" spans="1:9" ht="17.100000000000001" hidden="1" customHeight="1" outlineLevel="1" x14ac:dyDescent="0.25">
      <c r="A179" s="108">
        <f t="shared" si="12"/>
        <v>46</v>
      </c>
      <c r="B179" s="131">
        <f t="shared" si="16"/>
        <v>45077</v>
      </c>
      <c r="C179" s="140">
        <f>'Att(1of6)(JP-Non)'!C181</f>
        <v>8.1644729999999999E-2</v>
      </c>
      <c r="D179" s="117">
        <f t="shared" si="13"/>
        <v>45078</v>
      </c>
      <c r="E179" s="117">
        <f t="shared" si="14"/>
        <v>45138</v>
      </c>
      <c r="F179" s="121">
        <v>0</v>
      </c>
      <c r="G179" s="117">
        <f t="shared" si="15"/>
        <v>45138</v>
      </c>
      <c r="H179" s="121">
        <f t="shared" si="10"/>
        <v>0</v>
      </c>
      <c r="I179" s="206">
        <f t="shared" si="11"/>
        <v>0</v>
      </c>
    </row>
    <row r="180" spans="1:9" ht="17.100000000000001" customHeight="1" collapsed="1" x14ac:dyDescent="0.25">
      <c r="A180" s="108">
        <v>1</v>
      </c>
      <c r="B180" s="131">
        <f t="shared" si="16"/>
        <v>45107</v>
      </c>
      <c r="C180" s="140">
        <f>'Att(1of6)(JP-Non)'!C182</f>
        <v>7.4411459999999999E-2</v>
      </c>
      <c r="D180" s="117">
        <f t="shared" si="13"/>
        <v>45108</v>
      </c>
      <c r="E180" s="117">
        <f t="shared" si="14"/>
        <v>45169</v>
      </c>
      <c r="F180" s="121">
        <v>0</v>
      </c>
      <c r="G180" s="117">
        <f t="shared" si="15"/>
        <v>45169</v>
      </c>
      <c r="H180" s="121">
        <f t="shared" si="10"/>
        <v>0</v>
      </c>
      <c r="I180" s="206">
        <f t="shared" si="11"/>
        <v>0</v>
      </c>
    </row>
    <row r="181" spans="1:9" ht="17.100000000000001" customHeight="1" x14ac:dyDescent="0.25">
      <c r="A181" s="108">
        <f t="shared" si="12"/>
        <v>2</v>
      </c>
      <c r="B181" s="131">
        <f t="shared" si="16"/>
        <v>45138</v>
      </c>
      <c r="C181" s="140">
        <f>'Att(1of6)(JP-Non)'!C183</f>
        <v>7.5493160000000004E-2</v>
      </c>
      <c r="D181" s="117">
        <f t="shared" si="13"/>
        <v>45139</v>
      </c>
      <c r="E181" s="117">
        <f t="shared" si="14"/>
        <v>45199</v>
      </c>
      <c r="F181" s="121">
        <v>0</v>
      </c>
      <c r="G181" s="117">
        <f t="shared" si="15"/>
        <v>45199</v>
      </c>
      <c r="H181" s="121">
        <f t="shared" si="10"/>
        <v>0</v>
      </c>
      <c r="I181" s="206">
        <f t="shared" si="11"/>
        <v>0</v>
      </c>
    </row>
    <row r="182" spans="1:9" ht="17.100000000000001" customHeight="1" x14ac:dyDescent="0.25">
      <c r="A182" s="108">
        <f t="shared" si="12"/>
        <v>3</v>
      </c>
      <c r="B182" s="131">
        <f t="shared" si="16"/>
        <v>45169</v>
      </c>
      <c r="C182" s="140">
        <f>'Att(1of6)(JP-Non)'!C184</f>
        <v>6.5876210000000004E-2</v>
      </c>
      <c r="D182" s="117">
        <f t="shared" si="13"/>
        <v>45170</v>
      </c>
      <c r="E182" s="117">
        <f t="shared" si="14"/>
        <v>45230</v>
      </c>
      <c r="F182" s="121">
        <v>0</v>
      </c>
      <c r="G182" s="117">
        <f t="shared" si="15"/>
        <v>45230</v>
      </c>
      <c r="H182" s="121">
        <f t="shared" si="10"/>
        <v>0</v>
      </c>
      <c r="I182" s="206">
        <f t="shared" si="11"/>
        <v>0</v>
      </c>
    </row>
    <row r="183" spans="1:9" ht="17.100000000000001" customHeight="1" x14ac:dyDescent="0.25">
      <c r="A183" s="108">
        <f t="shared" si="12"/>
        <v>4</v>
      </c>
      <c r="B183" s="131">
        <f t="shared" si="16"/>
        <v>45199</v>
      </c>
      <c r="C183" s="140">
        <f>'Att(1of6)(JP-Non)'!C185</f>
        <v>6.4929429999999996E-2</v>
      </c>
      <c r="D183" s="117">
        <f t="shared" si="13"/>
        <v>45200</v>
      </c>
      <c r="E183" s="117">
        <f t="shared" si="14"/>
        <v>45260</v>
      </c>
      <c r="F183" s="121">
        <v>0</v>
      </c>
      <c r="G183" s="117">
        <f t="shared" si="15"/>
        <v>45260</v>
      </c>
      <c r="H183" s="121">
        <f t="shared" si="10"/>
        <v>0</v>
      </c>
      <c r="I183" s="206">
        <f t="shared" si="11"/>
        <v>0</v>
      </c>
    </row>
    <row r="184" spans="1:9" ht="17.100000000000001" customHeight="1" x14ac:dyDescent="0.25">
      <c r="A184" s="108">
        <f t="shared" si="12"/>
        <v>5</v>
      </c>
      <c r="B184" s="131">
        <f t="shared" si="16"/>
        <v>45230</v>
      </c>
      <c r="C184" s="140">
        <f>'Att(1of6)(JP-Non)'!C186</f>
        <v>7.7310950000000003E-2</v>
      </c>
      <c r="D184" s="117">
        <f t="shared" si="13"/>
        <v>45231</v>
      </c>
      <c r="E184" s="117">
        <f t="shared" si="14"/>
        <v>45291</v>
      </c>
      <c r="F184" s="121">
        <v>0</v>
      </c>
      <c r="G184" s="117">
        <f t="shared" si="15"/>
        <v>45291</v>
      </c>
      <c r="H184" s="121">
        <f t="shared" ref="H184:H201" si="17">+F184</f>
        <v>0</v>
      </c>
      <c r="I184" s="206">
        <f t="shared" ref="I184:I201" si="18">+F184-H184</f>
        <v>0</v>
      </c>
    </row>
    <row r="185" spans="1:9" ht="17.100000000000001" customHeight="1" x14ac:dyDescent="0.25">
      <c r="A185" s="108">
        <f t="shared" si="12"/>
        <v>6</v>
      </c>
      <c r="B185" s="131">
        <f t="shared" si="16"/>
        <v>45260</v>
      </c>
      <c r="C185" s="140">
        <f>'Att(1of6)(JP-Non)'!C187</f>
        <v>7.9029470000000004E-2</v>
      </c>
      <c r="D185" s="117">
        <f t="shared" si="13"/>
        <v>45261</v>
      </c>
      <c r="E185" s="117">
        <f t="shared" si="14"/>
        <v>45322</v>
      </c>
      <c r="F185" s="121">
        <v>0</v>
      </c>
      <c r="G185" s="117">
        <f t="shared" si="15"/>
        <v>45322</v>
      </c>
      <c r="H185" s="121">
        <f t="shared" si="17"/>
        <v>0</v>
      </c>
      <c r="I185" s="206">
        <f t="shared" si="18"/>
        <v>0</v>
      </c>
    </row>
    <row r="186" spans="1:9" ht="17.100000000000001" customHeight="1" x14ac:dyDescent="0.25">
      <c r="A186" s="108">
        <f t="shared" si="12"/>
        <v>7</v>
      </c>
      <c r="B186" s="131">
        <f t="shared" si="16"/>
        <v>45291</v>
      </c>
      <c r="C186" s="140">
        <f>'Att(1of6)(JP-Non)'!C188</f>
        <v>8.48048E-2</v>
      </c>
      <c r="D186" s="117">
        <f t="shared" si="13"/>
        <v>45292</v>
      </c>
      <c r="E186" s="117">
        <f t="shared" si="14"/>
        <v>45351</v>
      </c>
      <c r="F186" s="121">
        <v>0</v>
      </c>
      <c r="G186" s="117">
        <f t="shared" si="15"/>
        <v>45351</v>
      </c>
      <c r="H186" s="121">
        <f t="shared" si="17"/>
        <v>0</v>
      </c>
      <c r="I186" s="206">
        <f t="shared" si="18"/>
        <v>0</v>
      </c>
    </row>
    <row r="187" spans="1:9" ht="17.100000000000001" customHeight="1" x14ac:dyDescent="0.25">
      <c r="A187" s="108">
        <f t="shared" si="12"/>
        <v>8</v>
      </c>
      <c r="B187" s="131">
        <f t="shared" si="16"/>
        <v>45322</v>
      </c>
      <c r="C187" s="140">
        <f>'Att(1of6)(JP-Non)'!C189</f>
        <v>7.1640460000000003E-2</v>
      </c>
      <c r="D187" s="117">
        <f t="shared" si="13"/>
        <v>45323</v>
      </c>
      <c r="E187" s="117">
        <f t="shared" si="14"/>
        <v>45382</v>
      </c>
      <c r="F187" s="121">
        <v>0</v>
      </c>
      <c r="G187" s="117">
        <f t="shared" si="15"/>
        <v>45382</v>
      </c>
      <c r="H187" s="121">
        <f t="shared" si="17"/>
        <v>0</v>
      </c>
      <c r="I187" s="206">
        <f t="shared" si="18"/>
        <v>0</v>
      </c>
    </row>
    <row r="188" spans="1:9" ht="17.100000000000001" customHeight="1" x14ac:dyDescent="0.25">
      <c r="A188" s="108">
        <f t="shared" si="12"/>
        <v>9</v>
      </c>
      <c r="B188" s="131">
        <f t="shared" si="16"/>
        <v>45351</v>
      </c>
      <c r="C188" s="140">
        <f>'Att(1of6)(JP-Non)'!C190</f>
        <v>5.6475690000000002E-2</v>
      </c>
      <c r="D188" s="117">
        <f t="shared" si="13"/>
        <v>45352</v>
      </c>
      <c r="E188" s="117">
        <f t="shared" si="14"/>
        <v>45412</v>
      </c>
      <c r="F188" s="121">
        <v>0</v>
      </c>
      <c r="G188" s="117">
        <f t="shared" si="15"/>
        <v>45412</v>
      </c>
      <c r="H188" s="121">
        <f t="shared" si="17"/>
        <v>0</v>
      </c>
      <c r="I188" s="206">
        <f t="shared" si="18"/>
        <v>0</v>
      </c>
    </row>
    <row r="189" spans="1:9" ht="17.100000000000001" customHeight="1" x14ac:dyDescent="0.25">
      <c r="A189" s="108">
        <f t="shared" si="12"/>
        <v>10</v>
      </c>
      <c r="B189" s="131">
        <f t="shared" si="16"/>
        <v>45382</v>
      </c>
      <c r="C189" s="140">
        <f>'Att(1of6)(JP-Non)'!C191</f>
        <v>7.6254279999999994E-2</v>
      </c>
      <c r="D189" s="117">
        <f t="shared" si="13"/>
        <v>45383</v>
      </c>
      <c r="E189" s="117">
        <f t="shared" si="14"/>
        <v>45443</v>
      </c>
      <c r="F189" s="121">
        <v>0</v>
      </c>
      <c r="G189" s="117">
        <f t="shared" si="15"/>
        <v>45443</v>
      </c>
      <c r="H189" s="121">
        <f t="shared" si="17"/>
        <v>0</v>
      </c>
      <c r="I189" s="206">
        <f t="shared" si="18"/>
        <v>0</v>
      </c>
    </row>
    <row r="190" spans="1:9" ht="17.100000000000001" customHeight="1" x14ac:dyDescent="0.25">
      <c r="A190" s="108">
        <f t="shared" si="12"/>
        <v>11</v>
      </c>
      <c r="B190" s="131">
        <f t="shared" si="16"/>
        <v>45412</v>
      </c>
      <c r="C190" s="140">
        <f>'Att(1of6)(JP-Non)'!C192</f>
        <v>7.5138930000000007E-2</v>
      </c>
      <c r="D190" s="117">
        <f t="shared" si="13"/>
        <v>45413</v>
      </c>
      <c r="E190" s="117">
        <f t="shared" si="14"/>
        <v>45473</v>
      </c>
      <c r="F190" s="121">
        <v>0</v>
      </c>
      <c r="G190" s="117">
        <f t="shared" si="15"/>
        <v>45473</v>
      </c>
      <c r="H190" s="121">
        <f t="shared" si="17"/>
        <v>0</v>
      </c>
      <c r="I190" s="206">
        <f t="shared" si="18"/>
        <v>0</v>
      </c>
    </row>
    <row r="191" spans="1:9" ht="17.100000000000001" customHeight="1" x14ac:dyDescent="0.25">
      <c r="A191" s="108">
        <f t="shared" si="12"/>
        <v>12</v>
      </c>
      <c r="B191" s="131">
        <f t="shared" si="16"/>
        <v>45443</v>
      </c>
      <c r="C191" s="140">
        <f>'Att(1of6)(JP-Non)'!C193</f>
        <v>7.7712069999999994E-2</v>
      </c>
      <c r="D191" s="117">
        <f t="shared" si="13"/>
        <v>45444</v>
      </c>
      <c r="E191" s="117">
        <f t="shared" si="14"/>
        <v>45504</v>
      </c>
      <c r="F191" s="121">
        <v>0</v>
      </c>
      <c r="G191" s="117">
        <f t="shared" si="15"/>
        <v>45504</v>
      </c>
      <c r="H191" s="121">
        <f t="shared" si="17"/>
        <v>0</v>
      </c>
      <c r="I191" s="206">
        <f t="shared" si="18"/>
        <v>0</v>
      </c>
    </row>
    <row r="192" spans="1:9" ht="17.100000000000001" customHeight="1" x14ac:dyDescent="0.25">
      <c r="A192" s="108">
        <f t="shared" si="12"/>
        <v>13</v>
      </c>
      <c r="B192" s="131">
        <f t="shared" si="16"/>
        <v>45473</v>
      </c>
      <c r="C192" s="140">
        <f>'Att(1of6)(JP-Non)'!C194</f>
        <v>8.6303729999999995E-2</v>
      </c>
      <c r="D192" s="117">
        <f t="shared" si="13"/>
        <v>45474</v>
      </c>
      <c r="E192" s="117">
        <f t="shared" si="14"/>
        <v>45535</v>
      </c>
      <c r="F192" s="121">
        <v>0</v>
      </c>
      <c r="G192" s="117">
        <f t="shared" si="15"/>
        <v>45535</v>
      </c>
      <c r="H192" s="121">
        <f t="shared" si="17"/>
        <v>0</v>
      </c>
      <c r="I192" s="206">
        <f t="shared" si="18"/>
        <v>0</v>
      </c>
    </row>
    <row r="193" spans="1:16" ht="17.100000000000001" customHeight="1" x14ac:dyDescent="0.25">
      <c r="A193" s="108">
        <f t="shared" si="12"/>
        <v>14</v>
      </c>
      <c r="B193" s="131">
        <f t="shared" si="16"/>
        <v>45504</v>
      </c>
      <c r="C193" s="140">
        <f>'Att(1of6)(JP-Non)'!C195</f>
        <v>7.8004019999999993E-2</v>
      </c>
      <c r="D193" s="117">
        <f t="shared" si="13"/>
        <v>45505</v>
      </c>
      <c r="E193" s="117">
        <f t="shared" si="14"/>
        <v>45565</v>
      </c>
      <c r="F193" s="121">
        <v>0</v>
      </c>
      <c r="G193" s="117">
        <f t="shared" si="15"/>
        <v>45565</v>
      </c>
      <c r="H193" s="121">
        <f t="shared" si="17"/>
        <v>0</v>
      </c>
      <c r="I193" s="206">
        <f t="shared" si="18"/>
        <v>0</v>
      </c>
    </row>
    <row r="194" spans="1:16" ht="17.100000000000001" customHeight="1" x14ac:dyDescent="0.25">
      <c r="A194" s="108">
        <f t="shared" si="12"/>
        <v>15</v>
      </c>
      <c r="B194" s="131">
        <f t="shared" si="16"/>
        <v>45535</v>
      </c>
      <c r="C194" s="140">
        <f>'Att(1of6)(JP-Non)'!C196</f>
        <v>6.874218E-2</v>
      </c>
      <c r="D194" s="117">
        <f t="shared" si="13"/>
        <v>45536</v>
      </c>
      <c r="E194" s="117">
        <f t="shared" si="14"/>
        <v>45596</v>
      </c>
      <c r="F194" s="121">
        <v>0</v>
      </c>
      <c r="G194" s="117">
        <f t="shared" si="15"/>
        <v>45596</v>
      </c>
      <c r="H194" s="121">
        <f t="shared" si="17"/>
        <v>0</v>
      </c>
      <c r="I194" s="206">
        <f t="shared" si="18"/>
        <v>0</v>
      </c>
    </row>
    <row r="195" spans="1:16" ht="17.100000000000001" customHeight="1" x14ac:dyDescent="0.25">
      <c r="A195" s="108">
        <f t="shared" si="12"/>
        <v>16</v>
      </c>
      <c r="B195" s="131">
        <f t="shared" si="16"/>
        <v>45565</v>
      </c>
      <c r="C195" s="140">
        <f>'Att(1of6)(JP-Non)'!C197</f>
        <v>6.7934670000000003E-2</v>
      </c>
      <c r="D195" s="117">
        <f t="shared" si="13"/>
        <v>45566</v>
      </c>
      <c r="E195" s="117">
        <f t="shared" si="14"/>
        <v>45626</v>
      </c>
      <c r="F195" s="121">
        <v>0</v>
      </c>
      <c r="G195" s="117">
        <f t="shared" si="15"/>
        <v>45626</v>
      </c>
      <c r="H195" s="121">
        <f t="shared" si="17"/>
        <v>0</v>
      </c>
      <c r="I195" s="206">
        <f t="shared" si="18"/>
        <v>0</v>
      </c>
    </row>
    <row r="196" spans="1:16" ht="17.100000000000001" customHeight="1" x14ac:dyDescent="0.25">
      <c r="A196" s="108">
        <f t="shared" si="12"/>
        <v>17</v>
      </c>
      <c r="B196" s="131">
        <f t="shared" si="16"/>
        <v>45596</v>
      </c>
      <c r="C196" s="140">
        <f>'Att(1of6)(JP-Non)'!C198</f>
        <v>6.7684969999999997E-2</v>
      </c>
      <c r="D196" s="117">
        <f t="shared" si="13"/>
        <v>45597</v>
      </c>
      <c r="E196" s="117">
        <f t="shared" si="14"/>
        <v>45657</v>
      </c>
      <c r="F196" s="121">
        <v>0</v>
      </c>
      <c r="G196" s="117">
        <f t="shared" si="15"/>
        <v>45657</v>
      </c>
      <c r="H196" s="121">
        <f t="shared" si="17"/>
        <v>0</v>
      </c>
      <c r="I196" s="206">
        <f t="shared" si="18"/>
        <v>0</v>
      </c>
    </row>
    <row r="197" spans="1:16" ht="17.100000000000001" customHeight="1" x14ac:dyDescent="0.25">
      <c r="A197" s="108">
        <f t="shared" si="12"/>
        <v>18</v>
      </c>
      <c r="B197" s="131">
        <f t="shared" si="16"/>
        <v>45626</v>
      </c>
      <c r="C197" s="140">
        <f>'Att(1of6)(JP-Non)'!C199</f>
        <v>7.9953739999999995E-2</v>
      </c>
      <c r="D197" s="117">
        <f t="shared" si="13"/>
        <v>45627</v>
      </c>
      <c r="E197" s="117">
        <f t="shared" si="14"/>
        <v>45688</v>
      </c>
      <c r="F197" s="121">
        <v>0</v>
      </c>
      <c r="G197" s="117">
        <f t="shared" si="15"/>
        <v>45688</v>
      </c>
      <c r="H197" s="121">
        <f t="shared" si="17"/>
        <v>0</v>
      </c>
      <c r="I197" s="206">
        <f t="shared" si="18"/>
        <v>0</v>
      </c>
    </row>
    <row r="198" spans="1:16" ht="17.100000000000001" customHeight="1" x14ac:dyDescent="0.25">
      <c r="A198" s="108">
        <f t="shared" si="12"/>
        <v>19</v>
      </c>
      <c r="B198" s="131">
        <f t="shared" si="16"/>
        <v>45657</v>
      </c>
      <c r="C198" s="140">
        <f>'Att(1of6)(JP-Non)'!C200</f>
        <v>7.5819269999999994E-2</v>
      </c>
      <c r="D198" s="117">
        <f t="shared" si="13"/>
        <v>45658</v>
      </c>
      <c r="E198" s="117">
        <f t="shared" si="14"/>
        <v>45716</v>
      </c>
      <c r="F198" s="121">
        <v>0</v>
      </c>
      <c r="G198" s="117">
        <f t="shared" si="15"/>
        <v>45716</v>
      </c>
      <c r="H198" s="121">
        <f t="shared" si="17"/>
        <v>0</v>
      </c>
      <c r="I198" s="206">
        <f t="shared" si="18"/>
        <v>0</v>
      </c>
    </row>
    <row r="199" spans="1:16" ht="17.100000000000001" customHeight="1" x14ac:dyDescent="0.25">
      <c r="A199" s="108">
        <f t="shared" si="12"/>
        <v>20</v>
      </c>
      <c r="B199" s="131">
        <f t="shared" si="16"/>
        <v>45688</v>
      </c>
      <c r="C199" s="140">
        <f>'Att(1of6)(JP-Non)'!C201</f>
        <v>7.1409169999999994E-2</v>
      </c>
      <c r="D199" s="117">
        <f t="shared" si="13"/>
        <v>45689</v>
      </c>
      <c r="E199" s="117">
        <f t="shared" si="14"/>
        <v>45747</v>
      </c>
      <c r="F199" s="121">
        <v>0</v>
      </c>
      <c r="G199" s="117">
        <f t="shared" si="15"/>
        <v>45747</v>
      </c>
      <c r="H199" s="121">
        <f t="shared" si="17"/>
        <v>0</v>
      </c>
      <c r="I199" s="206">
        <f t="shared" si="18"/>
        <v>0</v>
      </c>
    </row>
    <row r="200" spans="1:16" ht="17.100000000000001" hidden="1" customHeight="1" x14ac:dyDescent="0.25">
      <c r="A200" s="108">
        <f t="shared" ref="A200:A201" si="19">+A199+1</f>
        <v>21</v>
      </c>
      <c r="B200" s="131">
        <f t="shared" si="16"/>
        <v>45716</v>
      </c>
      <c r="C200" s="140">
        <f>'Att(1of6)(JP-Non)'!C202</f>
        <v>5.6928850000000003E-2</v>
      </c>
      <c r="D200" s="117">
        <f t="shared" si="13"/>
        <v>45717</v>
      </c>
      <c r="E200" s="117">
        <f t="shared" si="14"/>
        <v>45777</v>
      </c>
      <c r="F200" s="121">
        <v>0</v>
      </c>
      <c r="G200" s="117">
        <f t="shared" si="15"/>
        <v>45777</v>
      </c>
      <c r="H200" s="121">
        <f t="shared" si="17"/>
        <v>0</v>
      </c>
      <c r="I200" s="206">
        <f t="shared" si="18"/>
        <v>0</v>
      </c>
    </row>
    <row r="201" spans="1:16" ht="17.100000000000001" hidden="1" customHeight="1" x14ac:dyDescent="0.25">
      <c r="A201" s="108">
        <f t="shared" si="19"/>
        <v>22</v>
      </c>
      <c r="B201" s="131">
        <f t="shared" si="16"/>
        <v>45747</v>
      </c>
      <c r="C201" s="140">
        <f>'Att(1of6)(JP-Non)'!C203</f>
        <v>6.0677380000000003E-2</v>
      </c>
      <c r="D201" s="117">
        <f t="shared" si="13"/>
        <v>45748</v>
      </c>
      <c r="E201" s="117">
        <f t="shared" si="14"/>
        <v>45808</v>
      </c>
      <c r="F201" s="121">
        <v>0</v>
      </c>
      <c r="G201" s="117">
        <f t="shared" si="15"/>
        <v>45808</v>
      </c>
      <c r="H201" s="121">
        <f t="shared" si="17"/>
        <v>0</v>
      </c>
      <c r="I201" s="206">
        <f t="shared" si="18"/>
        <v>0</v>
      </c>
    </row>
    <row r="202" spans="1:16" ht="5.25" customHeight="1" x14ac:dyDescent="0.25">
      <c r="B202" s="132"/>
      <c r="C202" s="141"/>
      <c r="D202" s="124"/>
      <c r="E202" s="124"/>
      <c r="F202" s="125"/>
      <c r="G202" s="124"/>
      <c r="H202" s="125">
        <f t="shared" si="10"/>
        <v>0</v>
      </c>
      <c r="I202" s="125"/>
    </row>
    <row r="203" spans="1:16" s="120" customFormat="1" ht="17.100000000000001" customHeight="1" collapsed="1" x14ac:dyDescent="0.25">
      <c r="A203" s="137"/>
      <c r="B203" s="137"/>
      <c r="C203" s="137"/>
      <c r="D203" s="111"/>
      <c r="E203" s="111"/>
      <c r="F203" s="112"/>
      <c r="G203" s="112"/>
      <c r="H203" s="112"/>
      <c r="I203" s="112"/>
      <c r="K203" s="133"/>
      <c r="L203" s="133"/>
      <c r="M203" s="133"/>
      <c r="N203" s="133"/>
      <c r="O203" s="133"/>
      <c r="P203" s="133"/>
    </row>
    <row r="204" spans="1:16" s="111" customFormat="1" ht="17.100000000000001" customHeight="1" x14ac:dyDescent="0.25">
      <c r="A204" s="137"/>
      <c r="B204" s="205"/>
      <c r="C204" s="137"/>
      <c r="D204" s="120"/>
      <c r="F204" s="112"/>
      <c r="G204" s="112"/>
      <c r="H204" s="112"/>
      <c r="I204" s="112"/>
      <c r="J204" s="120"/>
      <c r="K204" s="133"/>
      <c r="L204" s="133"/>
      <c r="M204" s="133"/>
      <c r="N204" s="133"/>
      <c r="O204" s="133"/>
      <c r="P204" s="133"/>
    </row>
    <row r="205" spans="1:16" s="126" customFormat="1" ht="17.45" customHeight="1" x14ac:dyDescent="0.25">
      <c r="A205" s="108"/>
      <c r="B205" s="108"/>
      <c r="C205" s="108"/>
      <c r="F205" s="115"/>
      <c r="G205" s="115"/>
      <c r="H205" s="115"/>
      <c r="I205" s="115"/>
      <c r="J205" s="107"/>
      <c r="K205" s="110"/>
      <c r="L205" s="110"/>
      <c r="M205" s="110"/>
      <c r="N205" s="110"/>
      <c r="O205" s="110"/>
      <c r="P205" s="110"/>
    </row>
    <row r="206" spans="1:16" s="126" customFormat="1" x14ac:dyDescent="0.25">
      <c r="A206" s="107"/>
      <c r="B206" s="107"/>
      <c r="C206" s="107"/>
      <c r="F206" s="115"/>
      <c r="G206" s="115"/>
      <c r="H206" s="115"/>
      <c r="I206" s="115"/>
      <c r="J206" s="107"/>
      <c r="K206" s="110"/>
      <c r="L206" s="110"/>
      <c r="M206" s="110"/>
      <c r="N206" s="110"/>
      <c r="O206" s="110"/>
      <c r="P206" s="110"/>
    </row>
  </sheetData>
  <mergeCells count="14">
    <mergeCell ref="A1:J1"/>
    <mergeCell ref="A2:J2"/>
    <mergeCell ref="A3:J3"/>
    <mergeCell ref="A4:J4"/>
    <mergeCell ref="B7:I7"/>
    <mergeCell ref="B6:I6"/>
    <mergeCell ref="H9:H11"/>
    <mergeCell ref="I9:I11"/>
    <mergeCell ref="B9:B11"/>
    <mergeCell ref="C9:C11"/>
    <mergeCell ref="D9:D11"/>
    <mergeCell ref="E9:E11"/>
    <mergeCell ref="F9:F11"/>
    <mergeCell ref="G9:G11"/>
  </mergeCells>
  <pageMargins left="0.5" right="0.5" top="1" bottom="1.05" header="0.375" footer="0.25"/>
  <pageSetup scale="80" orientation="landscape" r:id="rId1"/>
  <headerFooter alignWithMargins="0">
    <oddFooter>&amp;L&amp;"Century Schoolbook,Bold"&amp;12Case No. 2025-00052
Attachment (6 of 6) for Response to Staff's First Request Item 2
Witness: Rebecca L. (Becky) Shelton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U291"/>
  <sheetViews>
    <sheetView workbookViewId="0">
      <pane xSplit="1" ySplit="8" topLeftCell="B9" activePane="bottomRight" state="frozen"/>
      <selection pane="topRight" activeCell="B1" sqref="B1"/>
      <selection pane="bottomLeft" activeCell="A9" sqref="A9"/>
      <selection pane="bottomRight" activeCell="A11" sqref="A11"/>
    </sheetView>
  </sheetViews>
  <sheetFormatPr defaultColWidth="9.140625" defaultRowHeight="12.75" outlineLevelRow="1" x14ac:dyDescent="0.2"/>
  <cols>
    <col min="1" max="1" width="53.140625" style="170" customWidth="1"/>
    <col min="2" max="21" width="11.5703125" style="170" customWidth="1"/>
    <col min="22" max="16384" width="9.140625" style="170"/>
  </cols>
  <sheetData>
    <row r="2" spans="1:21" x14ac:dyDescent="0.2">
      <c r="A2" s="169" t="s">
        <v>132</v>
      </c>
      <c r="E2" s="171" t="s">
        <v>159</v>
      </c>
    </row>
    <row r="3" spans="1:21" x14ac:dyDescent="0.2">
      <c r="A3" s="172" t="s">
        <v>134</v>
      </c>
      <c r="E3" s="168">
        <v>18</v>
      </c>
    </row>
    <row r="4" spans="1:21" x14ac:dyDescent="0.2">
      <c r="D4" s="173"/>
    </row>
    <row r="5" spans="1:21" x14ac:dyDescent="0.2">
      <c r="A5" s="174" t="s">
        <v>135</v>
      </c>
      <c r="D5" s="173"/>
    </row>
    <row r="6" spans="1:21" x14ac:dyDescent="0.2">
      <c r="A6" s="175" t="s">
        <v>136</v>
      </c>
      <c r="B6" s="175"/>
      <c r="D6" s="176"/>
      <c r="E6" s="177">
        <f>EOMONTH(E7,-E3+1)</f>
        <v>45169</v>
      </c>
    </row>
    <row r="7" spans="1:21" x14ac:dyDescent="0.2">
      <c r="A7" s="175" t="s">
        <v>137</v>
      </c>
      <c r="B7" s="175"/>
      <c r="D7" s="176"/>
      <c r="E7" s="171">
        <v>45688</v>
      </c>
      <c r="F7" s="178" t="s">
        <v>138</v>
      </c>
    </row>
    <row r="8" spans="1:21" ht="13.9" customHeight="1" x14ac:dyDescent="0.2">
      <c r="D8" s="175"/>
    </row>
    <row r="9" spans="1:21" ht="13.9" customHeight="1" x14ac:dyDescent="0.2">
      <c r="A9" s="179" t="s">
        <v>139</v>
      </c>
      <c r="B9" s="180"/>
      <c r="C9" s="181"/>
      <c r="D9" s="181"/>
      <c r="E9" s="181"/>
      <c r="F9" s="181"/>
      <c r="G9" s="181"/>
      <c r="H9" s="181"/>
      <c r="I9" s="181"/>
      <c r="J9" s="181"/>
      <c r="K9" s="181"/>
      <c r="L9" s="181"/>
      <c r="M9" s="181"/>
      <c r="N9" s="181"/>
      <c r="O9" s="181"/>
      <c r="P9" s="181"/>
      <c r="Q9" s="181"/>
      <c r="R9" s="181"/>
      <c r="S9" s="181"/>
      <c r="T9" s="236" t="s">
        <v>133</v>
      </c>
      <c r="U9" s="236"/>
    </row>
    <row r="10" spans="1:21" s="186" customFormat="1" ht="19.5" customHeight="1" x14ac:dyDescent="0.2">
      <c r="A10" s="182" t="s">
        <v>140</v>
      </c>
      <c r="B10" s="183">
        <f>E6</f>
        <v>45169</v>
      </c>
      <c r="C10" s="183">
        <f>EOMONTH(B10,1)</f>
        <v>45199</v>
      </c>
      <c r="D10" s="183">
        <f t="shared" ref="D10:U10" si="0">EOMONTH(C10,1)</f>
        <v>45230</v>
      </c>
      <c r="E10" s="183">
        <f t="shared" si="0"/>
        <v>45260</v>
      </c>
      <c r="F10" s="183">
        <f t="shared" si="0"/>
        <v>45291</v>
      </c>
      <c r="G10" s="183">
        <f t="shared" si="0"/>
        <v>45322</v>
      </c>
      <c r="H10" s="183">
        <f t="shared" si="0"/>
        <v>45351</v>
      </c>
      <c r="I10" s="183">
        <f t="shared" si="0"/>
        <v>45382</v>
      </c>
      <c r="J10" s="183">
        <f t="shared" si="0"/>
        <v>45412</v>
      </c>
      <c r="K10" s="183">
        <f t="shared" si="0"/>
        <v>45443</v>
      </c>
      <c r="L10" s="183">
        <f t="shared" si="0"/>
        <v>45473</v>
      </c>
      <c r="M10" s="183">
        <f t="shared" si="0"/>
        <v>45504</v>
      </c>
      <c r="N10" s="183">
        <f t="shared" si="0"/>
        <v>45535</v>
      </c>
      <c r="O10" s="183">
        <f t="shared" si="0"/>
        <v>45565</v>
      </c>
      <c r="P10" s="183">
        <f t="shared" si="0"/>
        <v>45596</v>
      </c>
      <c r="Q10" s="183">
        <f t="shared" si="0"/>
        <v>45626</v>
      </c>
      <c r="R10" s="183">
        <f t="shared" si="0"/>
        <v>45657</v>
      </c>
      <c r="S10" s="183">
        <f t="shared" si="0"/>
        <v>45688</v>
      </c>
      <c r="T10" s="188">
        <f t="shared" si="0"/>
        <v>45716</v>
      </c>
      <c r="U10" s="185">
        <f t="shared" si="0"/>
        <v>45747</v>
      </c>
    </row>
    <row r="11" spans="1:21" ht="19.5" customHeight="1" outlineLevel="1" x14ac:dyDescent="0.2">
      <c r="A11" s="187" t="s">
        <v>141</v>
      </c>
      <c r="B11" s="167">
        <v>6.5876210000000004E-2</v>
      </c>
      <c r="C11" s="152">
        <v>6.4929429999999996E-2</v>
      </c>
      <c r="D11" s="152">
        <v>7.7310950000000003E-2</v>
      </c>
      <c r="E11" s="152">
        <v>7.9029470000000004E-2</v>
      </c>
      <c r="F11" s="152">
        <v>8.48048E-2</v>
      </c>
      <c r="G11" s="152">
        <v>7.1640460000000003E-2</v>
      </c>
      <c r="H11" s="152">
        <v>5.6475690000000002E-2</v>
      </c>
      <c r="I11" s="152">
        <v>7.6254279999999994E-2</v>
      </c>
      <c r="J11" s="152">
        <v>7.5138930000000007E-2</v>
      </c>
      <c r="K11" s="152">
        <v>7.7712069999999994E-2</v>
      </c>
      <c r="L11" s="152">
        <v>8.6303729999999995E-2</v>
      </c>
      <c r="M11" s="152">
        <v>7.8004019999999993E-2</v>
      </c>
      <c r="N11" s="152">
        <v>6.874218E-2</v>
      </c>
      <c r="O11" s="152">
        <v>6.7934670000000003E-2</v>
      </c>
      <c r="P11" s="152">
        <v>6.7684969999999997E-2</v>
      </c>
      <c r="Q11" s="152">
        <v>7.9953739999999995E-2</v>
      </c>
      <c r="R11" s="152">
        <v>7.5819269999999994E-2</v>
      </c>
      <c r="S11" s="207">
        <v>7.1409169999999994E-2</v>
      </c>
      <c r="T11" s="151">
        <v>5.6928850000000003E-2</v>
      </c>
      <c r="U11" s="153"/>
    </row>
    <row r="12" spans="1:21" ht="19.5" customHeight="1" x14ac:dyDescent="0.2">
      <c r="A12" s="187" t="s">
        <v>142</v>
      </c>
      <c r="B12" s="183">
        <f>EOMONTH(B10,1)</f>
        <v>45199</v>
      </c>
      <c r="C12" s="183">
        <f>EOMONTH(B12,1)</f>
        <v>45230</v>
      </c>
      <c r="D12" s="183">
        <f t="shared" ref="D12:U13" si="1">EOMONTH(C12,1)</f>
        <v>45260</v>
      </c>
      <c r="E12" s="183">
        <f t="shared" si="1"/>
        <v>45291</v>
      </c>
      <c r="F12" s="183">
        <f t="shared" si="1"/>
        <v>45322</v>
      </c>
      <c r="G12" s="183">
        <f t="shared" si="1"/>
        <v>45351</v>
      </c>
      <c r="H12" s="183">
        <f t="shared" si="1"/>
        <v>45382</v>
      </c>
      <c r="I12" s="183">
        <f t="shared" si="1"/>
        <v>45412</v>
      </c>
      <c r="J12" s="183">
        <f t="shared" si="1"/>
        <v>45443</v>
      </c>
      <c r="K12" s="183">
        <f t="shared" si="1"/>
        <v>45473</v>
      </c>
      <c r="L12" s="183">
        <f t="shared" si="1"/>
        <v>45504</v>
      </c>
      <c r="M12" s="183">
        <f t="shared" si="1"/>
        <v>45535</v>
      </c>
      <c r="N12" s="183">
        <f t="shared" si="1"/>
        <v>45565</v>
      </c>
      <c r="O12" s="183">
        <f t="shared" si="1"/>
        <v>45596</v>
      </c>
      <c r="P12" s="183">
        <f t="shared" si="1"/>
        <v>45626</v>
      </c>
      <c r="Q12" s="183">
        <f t="shared" si="1"/>
        <v>45657</v>
      </c>
      <c r="R12" s="183">
        <f t="shared" si="1"/>
        <v>45688</v>
      </c>
      <c r="S12" s="183">
        <f t="shared" si="1"/>
        <v>45716</v>
      </c>
      <c r="T12" s="188">
        <f t="shared" si="1"/>
        <v>45747</v>
      </c>
      <c r="U12" s="184">
        <f t="shared" si="1"/>
        <v>45777</v>
      </c>
    </row>
    <row r="13" spans="1:21" ht="19.5" customHeight="1" x14ac:dyDescent="0.2">
      <c r="A13" s="187" t="s">
        <v>143</v>
      </c>
      <c r="B13" s="183">
        <f>EOMONTH(B10,2)</f>
        <v>45230</v>
      </c>
      <c r="C13" s="183">
        <f>EOMONTH(B13,1)</f>
        <v>45260</v>
      </c>
      <c r="D13" s="183">
        <f t="shared" si="1"/>
        <v>45291</v>
      </c>
      <c r="E13" s="183">
        <f t="shared" si="1"/>
        <v>45322</v>
      </c>
      <c r="F13" s="183">
        <f t="shared" si="1"/>
        <v>45351</v>
      </c>
      <c r="G13" s="183">
        <f t="shared" si="1"/>
        <v>45382</v>
      </c>
      <c r="H13" s="183">
        <f t="shared" si="1"/>
        <v>45412</v>
      </c>
      <c r="I13" s="183">
        <f t="shared" si="1"/>
        <v>45443</v>
      </c>
      <c r="J13" s="183">
        <f t="shared" si="1"/>
        <v>45473</v>
      </c>
      <c r="K13" s="183">
        <f t="shared" si="1"/>
        <v>45504</v>
      </c>
      <c r="L13" s="183">
        <f t="shared" si="1"/>
        <v>45535</v>
      </c>
      <c r="M13" s="183">
        <f t="shared" si="1"/>
        <v>45565</v>
      </c>
      <c r="N13" s="183">
        <f t="shared" si="1"/>
        <v>45596</v>
      </c>
      <c r="O13" s="183">
        <f t="shared" si="1"/>
        <v>45626</v>
      </c>
      <c r="P13" s="183">
        <f t="shared" si="1"/>
        <v>45657</v>
      </c>
      <c r="Q13" s="183">
        <f t="shared" si="1"/>
        <v>45688</v>
      </c>
      <c r="R13" s="183">
        <f t="shared" si="1"/>
        <v>45716</v>
      </c>
      <c r="S13" s="183">
        <f t="shared" si="1"/>
        <v>45747</v>
      </c>
      <c r="T13" s="188">
        <f t="shared" si="1"/>
        <v>45777</v>
      </c>
      <c r="U13" s="184">
        <f t="shared" si="1"/>
        <v>45808</v>
      </c>
    </row>
    <row r="14" spans="1:21" x14ac:dyDescent="0.2">
      <c r="A14" s="189"/>
      <c r="B14" s="190"/>
      <c r="C14" s="190"/>
      <c r="D14" s="190"/>
      <c r="E14" s="190"/>
      <c r="F14" s="190"/>
      <c r="G14" s="190"/>
      <c r="H14" s="190"/>
      <c r="I14" s="190"/>
      <c r="J14" s="190"/>
      <c r="K14" s="190"/>
      <c r="L14" s="190"/>
      <c r="M14" s="190"/>
      <c r="N14" s="190"/>
      <c r="O14" s="190"/>
      <c r="P14" s="190"/>
      <c r="Q14" s="190"/>
      <c r="R14" s="190"/>
      <c r="S14" s="190"/>
      <c r="T14" s="192"/>
      <c r="U14" s="191"/>
    </row>
    <row r="15" spans="1:21" s="193" customFormat="1" x14ac:dyDescent="0.2">
      <c r="T15" s="237"/>
      <c r="U15" s="238"/>
    </row>
    <row r="16" spans="1:21" x14ac:dyDescent="0.2">
      <c r="A16" s="194" t="s">
        <v>144</v>
      </c>
      <c r="B16" s="195"/>
      <c r="C16" s="196"/>
      <c r="D16" s="196"/>
      <c r="E16" s="196"/>
      <c r="F16" s="196"/>
      <c r="G16" s="196"/>
      <c r="H16" s="196"/>
      <c r="I16" s="196"/>
      <c r="J16" s="196"/>
      <c r="K16" s="196"/>
      <c r="L16" s="196"/>
      <c r="M16" s="196"/>
      <c r="N16" s="196"/>
      <c r="O16" s="196"/>
      <c r="P16" s="196"/>
      <c r="Q16" s="196"/>
      <c r="R16" s="196"/>
      <c r="S16" s="196"/>
      <c r="T16" s="236" t="s">
        <v>133</v>
      </c>
      <c r="U16" s="236"/>
    </row>
    <row r="17" spans="1:21" ht="23.25" customHeight="1" x14ac:dyDescent="0.2">
      <c r="A17" s="182" t="s">
        <v>145</v>
      </c>
      <c r="B17" s="197">
        <f>B12</f>
        <v>45199</v>
      </c>
      <c r="C17" s="197">
        <f t="shared" ref="C17:U18" si="2">C12</f>
        <v>45230</v>
      </c>
      <c r="D17" s="197">
        <f t="shared" si="2"/>
        <v>45260</v>
      </c>
      <c r="E17" s="197">
        <f t="shared" si="2"/>
        <v>45291</v>
      </c>
      <c r="F17" s="197">
        <f t="shared" si="2"/>
        <v>45322</v>
      </c>
      <c r="G17" s="197">
        <f t="shared" si="2"/>
        <v>45351</v>
      </c>
      <c r="H17" s="197">
        <f t="shared" si="2"/>
        <v>45382</v>
      </c>
      <c r="I17" s="197">
        <f t="shared" si="2"/>
        <v>45412</v>
      </c>
      <c r="J17" s="197">
        <f t="shared" si="2"/>
        <v>45443</v>
      </c>
      <c r="K17" s="197">
        <f t="shared" si="2"/>
        <v>45473</v>
      </c>
      <c r="L17" s="197">
        <f t="shared" si="2"/>
        <v>45504</v>
      </c>
      <c r="M17" s="197">
        <f t="shared" si="2"/>
        <v>45535</v>
      </c>
      <c r="N17" s="197">
        <f t="shared" si="2"/>
        <v>45565</v>
      </c>
      <c r="O17" s="197">
        <f t="shared" si="2"/>
        <v>45596</v>
      </c>
      <c r="P17" s="197">
        <f t="shared" si="2"/>
        <v>45626</v>
      </c>
      <c r="Q17" s="197">
        <f t="shared" si="2"/>
        <v>45657</v>
      </c>
      <c r="R17" s="197">
        <f t="shared" si="2"/>
        <v>45688</v>
      </c>
      <c r="S17" s="197">
        <f t="shared" si="2"/>
        <v>45716</v>
      </c>
      <c r="T17" s="188">
        <f t="shared" si="2"/>
        <v>45747</v>
      </c>
      <c r="U17" s="184">
        <f t="shared" si="2"/>
        <v>45777</v>
      </c>
    </row>
    <row r="18" spans="1:21" s="186" customFormat="1" ht="21" customHeight="1" x14ac:dyDescent="0.2">
      <c r="A18" s="187" t="s">
        <v>146</v>
      </c>
      <c r="B18" s="183">
        <f t="shared" ref="B18:R18" si="3">B13</f>
        <v>45230</v>
      </c>
      <c r="C18" s="183">
        <f t="shared" si="3"/>
        <v>45260</v>
      </c>
      <c r="D18" s="183">
        <f t="shared" si="3"/>
        <v>45291</v>
      </c>
      <c r="E18" s="183">
        <f t="shared" si="3"/>
        <v>45322</v>
      </c>
      <c r="F18" s="183">
        <f t="shared" si="3"/>
        <v>45351</v>
      </c>
      <c r="G18" s="183">
        <f t="shared" si="3"/>
        <v>45382</v>
      </c>
      <c r="H18" s="183">
        <f t="shared" si="3"/>
        <v>45412</v>
      </c>
      <c r="I18" s="183">
        <f t="shared" si="3"/>
        <v>45443</v>
      </c>
      <c r="J18" s="183">
        <f t="shared" si="3"/>
        <v>45473</v>
      </c>
      <c r="K18" s="183">
        <f t="shared" si="3"/>
        <v>45504</v>
      </c>
      <c r="L18" s="183">
        <f t="shared" si="3"/>
        <v>45535</v>
      </c>
      <c r="M18" s="183">
        <f t="shared" si="3"/>
        <v>45565</v>
      </c>
      <c r="N18" s="183">
        <f t="shared" si="3"/>
        <v>45596</v>
      </c>
      <c r="O18" s="183">
        <f t="shared" si="3"/>
        <v>45626</v>
      </c>
      <c r="P18" s="183">
        <f t="shared" si="3"/>
        <v>45657</v>
      </c>
      <c r="Q18" s="183">
        <f t="shared" si="3"/>
        <v>45688</v>
      </c>
      <c r="R18" s="183">
        <f t="shared" si="3"/>
        <v>45716</v>
      </c>
      <c r="S18" s="183">
        <f t="shared" si="2"/>
        <v>45747</v>
      </c>
      <c r="T18" s="188">
        <f t="shared" si="2"/>
        <v>45777</v>
      </c>
      <c r="U18" s="184">
        <f t="shared" si="2"/>
        <v>45808</v>
      </c>
    </row>
    <row r="19" spans="1:21" s="186" customFormat="1" ht="21" customHeight="1" x14ac:dyDescent="0.2">
      <c r="A19" s="187" t="s">
        <v>147</v>
      </c>
      <c r="B19" s="183">
        <f t="shared" ref="B19:U19" si="4">EOMONTH(B13,1)</f>
        <v>45260</v>
      </c>
      <c r="C19" s="183">
        <f t="shared" si="4"/>
        <v>45291</v>
      </c>
      <c r="D19" s="183">
        <f t="shared" si="4"/>
        <v>45322</v>
      </c>
      <c r="E19" s="183">
        <f t="shared" si="4"/>
        <v>45351</v>
      </c>
      <c r="F19" s="183">
        <f t="shared" si="4"/>
        <v>45382</v>
      </c>
      <c r="G19" s="183">
        <f t="shared" si="4"/>
        <v>45412</v>
      </c>
      <c r="H19" s="183">
        <f t="shared" si="4"/>
        <v>45443</v>
      </c>
      <c r="I19" s="183">
        <f t="shared" si="4"/>
        <v>45473</v>
      </c>
      <c r="J19" s="183">
        <f t="shared" si="4"/>
        <v>45504</v>
      </c>
      <c r="K19" s="183">
        <f t="shared" si="4"/>
        <v>45535</v>
      </c>
      <c r="L19" s="183">
        <f t="shared" si="4"/>
        <v>45565</v>
      </c>
      <c r="M19" s="183">
        <f t="shared" si="4"/>
        <v>45596</v>
      </c>
      <c r="N19" s="183">
        <f t="shared" si="4"/>
        <v>45626</v>
      </c>
      <c r="O19" s="183">
        <f t="shared" si="4"/>
        <v>45657</v>
      </c>
      <c r="P19" s="183">
        <f t="shared" si="4"/>
        <v>45688</v>
      </c>
      <c r="Q19" s="183">
        <f t="shared" si="4"/>
        <v>45716</v>
      </c>
      <c r="R19" s="183">
        <f t="shared" si="4"/>
        <v>45747</v>
      </c>
      <c r="S19" s="183">
        <f t="shared" si="4"/>
        <v>45777</v>
      </c>
      <c r="T19" s="188">
        <f t="shared" si="4"/>
        <v>45808</v>
      </c>
      <c r="U19" s="184">
        <f t="shared" si="4"/>
        <v>45838</v>
      </c>
    </row>
    <row r="20" spans="1:21" x14ac:dyDescent="0.2">
      <c r="A20" s="198"/>
      <c r="B20" s="199"/>
      <c r="C20" s="199"/>
      <c r="D20" s="199"/>
      <c r="E20" s="199"/>
      <c r="F20" s="199"/>
      <c r="G20" s="199"/>
      <c r="H20" s="199"/>
      <c r="I20" s="199"/>
      <c r="J20" s="199"/>
      <c r="K20" s="199"/>
      <c r="L20" s="199"/>
      <c r="M20" s="199"/>
      <c r="N20" s="199"/>
      <c r="O20" s="199"/>
      <c r="P20" s="199"/>
      <c r="Q20" s="199"/>
      <c r="R20" s="199"/>
      <c r="S20" s="199"/>
      <c r="T20" s="208"/>
      <c r="U20" s="200"/>
    </row>
    <row r="21" spans="1:21" x14ac:dyDescent="0.2">
      <c r="A21" s="198"/>
      <c r="B21" s="199"/>
      <c r="C21" s="199"/>
      <c r="D21" s="199"/>
      <c r="E21" s="199"/>
      <c r="F21" s="199"/>
      <c r="G21" s="199"/>
      <c r="H21" s="199"/>
      <c r="I21" s="199"/>
      <c r="J21" s="199"/>
      <c r="K21" s="199"/>
      <c r="L21" s="199"/>
      <c r="M21" s="199"/>
      <c r="N21" s="199"/>
      <c r="O21" s="199"/>
      <c r="P21" s="199"/>
      <c r="Q21" s="199"/>
      <c r="R21" s="199"/>
      <c r="S21" s="199"/>
      <c r="T21" s="208"/>
      <c r="U21" s="200"/>
    </row>
    <row r="22" spans="1:21" x14ac:dyDescent="0.2">
      <c r="A22" s="201"/>
      <c r="B22" s="202"/>
      <c r="C22" s="202"/>
      <c r="D22" s="202"/>
      <c r="E22" s="202"/>
      <c r="F22" s="202"/>
      <c r="G22" s="202"/>
      <c r="H22" s="202"/>
      <c r="I22" s="202"/>
      <c r="J22" s="202"/>
      <c r="K22" s="202"/>
      <c r="L22" s="202"/>
      <c r="M22" s="202"/>
      <c r="N22" s="202"/>
      <c r="O22" s="202"/>
      <c r="P22" s="202"/>
      <c r="Q22" s="202"/>
      <c r="R22" s="202"/>
      <c r="S22" s="202"/>
      <c r="T22" s="209"/>
      <c r="U22" s="203"/>
    </row>
    <row r="23" spans="1:21" x14ac:dyDescent="0.2">
      <c r="B23" s="204"/>
      <c r="C23" s="204"/>
      <c r="D23" s="166"/>
      <c r="E23" s="204"/>
      <c r="F23" s="204"/>
      <c r="G23" s="204"/>
      <c r="H23" s="204"/>
      <c r="I23" s="204"/>
      <c r="J23" s="204"/>
      <c r="K23" s="204"/>
      <c r="L23" s="204"/>
      <c r="M23" s="204"/>
      <c r="N23" s="204"/>
      <c r="O23" s="204"/>
      <c r="P23" s="204"/>
      <c r="Q23" s="204"/>
      <c r="R23" s="204"/>
      <c r="S23" s="204"/>
    </row>
    <row r="24" spans="1:21" x14ac:dyDescent="0.2">
      <c r="B24" s="204"/>
      <c r="C24" s="204"/>
      <c r="D24" s="165"/>
      <c r="E24" s="204"/>
      <c r="F24" s="204"/>
      <c r="G24" s="204"/>
      <c r="H24" s="204"/>
      <c r="I24" s="204"/>
      <c r="J24" s="204"/>
      <c r="K24" s="204"/>
      <c r="L24" s="204"/>
      <c r="M24" s="204"/>
      <c r="N24" s="204"/>
      <c r="O24" s="204"/>
      <c r="P24" s="204"/>
      <c r="Q24" s="204"/>
      <c r="R24" s="204"/>
      <c r="S24" s="204"/>
    </row>
    <row r="25" spans="1:21" x14ac:dyDescent="0.2">
      <c r="B25" s="204"/>
      <c r="C25" s="204"/>
      <c r="D25" s="204"/>
      <c r="E25" s="204"/>
      <c r="F25" s="204"/>
      <c r="G25" s="204"/>
      <c r="H25" s="204"/>
      <c r="I25" s="204"/>
      <c r="J25" s="204"/>
      <c r="K25" s="204"/>
      <c r="L25" s="204"/>
      <c r="M25" s="204"/>
      <c r="N25" s="204"/>
      <c r="O25" s="204"/>
      <c r="P25" s="204"/>
      <c r="Q25" s="204"/>
      <c r="R25" s="204"/>
      <c r="S25" s="204"/>
    </row>
    <row r="26" spans="1:21" x14ac:dyDescent="0.2">
      <c r="B26" s="204"/>
      <c r="C26" s="204"/>
      <c r="D26" s="204"/>
      <c r="E26" s="204"/>
      <c r="F26" s="204"/>
      <c r="G26" s="204"/>
      <c r="H26" s="204"/>
      <c r="I26" s="204"/>
      <c r="J26" s="204"/>
      <c r="K26" s="204"/>
      <c r="L26" s="204"/>
      <c r="M26" s="204"/>
      <c r="N26" s="204"/>
      <c r="O26" s="204"/>
      <c r="P26" s="204"/>
      <c r="Q26" s="204"/>
      <c r="R26" s="204"/>
      <c r="S26" s="204"/>
    </row>
    <row r="27" spans="1:21" x14ac:dyDescent="0.2">
      <c r="B27" s="204"/>
      <c r="C27" s="204"/>
      <c r="D27" s="204"/>
      <c r="E27" s="204"/>
      <c r="F27" s="204"/>
      <c r="G27" s="204"/>
      <c r="H27" s="204"/>
      <c r="I27" s="204"/>
      <c r="J27" s="204"/>
      <c r="K27" s="204"/>
      <c r="L27" s="204"/>
      <c r="M27" s="204"/>
      <c r="N27" s="204"/>
      <c r="O27" s="204"/>
      <c r="P27" s="204"/>
      <c r="Q27" s="204"/>
      <c r="R27" s="204"/>
      <c r="S27" s="204"/>
    </row>
    <row r="28" spans="1:21" x14ac:dyDescent="0.2">
      <c r="B28" s="204"/>
    </row>
    <row r="29" spans="1:21" x14ac:dyDescent="0.2">
      <c r="B29" s="204"/>
    </row>
    <row r="30" spans="1:21" x14ac:dyDescent="0.2">
      <c r="B30" s="204"/>
    </row>
    <row r="31" spans="1:21" x14ac:dyDescent="0.2">
      <c r="B31" s="204"/>
    </row>
    <row r="32" spans="1:21" x14ac:dyDescent="0.2">
      <c r="B32" s="204"/>
    </row>
    <row r="33" spans="2:2" x14ac:dyDescent="0.2">
      <c r="B33" s="204"/>
    </row>
    <row r="34" spans="2:2" x14ac:dyDescent="0.2">
      <c r="B34" s="204"/>
    </row>
    <row r="35" spans="2:2" x14ac:dyDescent="0.2">
      <c r="B35" s="204"/>
    </row>
    <row r="36" spans="2:2" x14ac:dyDescent="0.2">
      <c r="B36" s="204"/>
    </row>
    <row r="37" spans="2:2" x14ac:dyDescent="0.2">
      <c r="B37" s="204"/>
    </row>
    <row r="38" spans="2:2" x14ac:dyDescent="0.2">
      <c r="B38" s="204"/>
    </row>
    <row r="39" spans="2:2" x14ac:dyDescent="0.2">
      <c r="B39" s="204"/>
    </row>
    <row r="40" spans="2:2" x14ac:dyDescent="0.2">
      <c r="B40" s="204"/>
    </row>
    <row r="41" spans="2:2" x14ac:dyDescent="0.2">
      <c r="B41" s="204"/>
    </row>
    <row r="42" spans="2:2" x14ac:dyDescent="0.2">
      <c r="B42" s="204"/>
    </row>
    <row r="43" spans="2:2" x14ac:dyDescent="0.2">
      <c r="B43" s="204"/>
    </row>
    <row r="44" spans="2:2" x14ac:dyDescent="0.2">
      <c r="B44" s="204"/>
    </row>
    <row r="45" spans="2:2" x14ac:dyDescent="0.2">
      <c r="B45" s="204"/>
    </row>
    <row r="46" spans="2:2" x14ac:dyDescent="0.2">
      <c r="B46" s="204"/>
    </row>
    <row r="47" spans="2:2" x14ac:dyDescent="0.2">
      <c r="B47" s="204"/>
    </row>
    <row r="48" spans="2:2" x14ac:dyDescent="0.2">
      <c r="B48" s="204"/>
    </row>
    <row r="49" spans="2:2" x14ac:dyDescent="0.2">
      <c r="B49" s="204"/>
    </row>
    <row r="50" spans="2:2" x14ac:dyDescent="0.2">
      <c r="B50" s="204"/>
    </row>
    <row r="51" spans="2:2" x14ac:dyDescent="0.2">
      <c r="B51" s="204"/>
    </row>
    <row r="52" spans="2:2" x14ac:dyDescent="0.2">
      <c r="B52" s="204"/>
    </row>
    <row r="53" spans="2:2" x14ac:dyDescent="0.2">
      <c r="B53" s="204"/>
    </row>
    <row r="54" spans="2:2" x14ac:dyDescent="0.2">
      <c r="B54" s="204"/>
    </row>
    <row r="55" spans="2:2" x14ac:dyDescent="0.2">
      <c r="B55" s="204"/>
    </row>
    <row r="56" spans="2:2" x14ac:dyDescent="0.2">
      <c r="B56" s="204"/>
    </row>
    <row r="57" spans="2:2" x14ac:dyDescent="0.2">
      <c r="B57" s="204"/>
    </row>
    <row r="58" spans="2:2" x14ac:dyDescent="0.2">
      <c r="B58" s="204"/>
    </row>
    <row r="59" spans="2:2" x14ac:dyDescent="0.2">
      <c r="B59" s="204"/>
    </row>
    <row r="60" spans="2:2" x14ac:dyDescent="0.2">
      <c r="B60" s="204"/>
    </row>
    <row r="61" spans="2:2" x14ac:dyDescent="0.2">
      <c r="B61" s="204"/>
    </row>
    <row r="62" spans="2:2" x14ac:dyDescent="0.2">
      <c r="B62" s="204"/>
    </row>
    <row r="63" spans="2:2" x14ac:dyDescent="0.2">
      <c r="B63" s="204"/>
    </row>
    <row r="64" spans="2:2" x14ac:dyDescent="0.2">
      <c r="B64" s="204"/>
    </row>
    <row r="65" spans="2:2" x14ac:dyDescent="0.2">
      <c r="B65" s="204"/>
    </row>
    <row r="66" spans="2:2" x14ac:dyDescent="0.2">
      <c r="B66" s="204"/>
    </row>
    <row r="67" spans="2:2" x14ac:dyDescent="0.2">
      <c r="B67" s="204"/>
    </row>
    <row r="68" spans="2:2" x14ac:dyDescent="0.2">
      <c r="B68" s="204"/>
    </row>
    <row r="69" spans="2:2" x14ac:dyDescent="0.2">
      <c r="B69" s="204"/>
    </row>
    <row r="70" spans="2:2" x14ac:dyDescent="0.2">
      <c r="B70" s="204"/>
    </row>
    <row r="71" spans="2:2" x14ac:dyDescent="0.2">
      <c r="B71" s="204"/>
    </row>
    <row r="72" spans="2:2" x14ac:dyDescent="0.2">
      <c r="B72" s="204"/>
    </row>
    <row r="73" spans="2:2" x14ac:dyDescent="0.2">
      <c r="B73" s="204"/>
    </row>
    <row r="74" spans="2:2" x14ac:dyDescent="0.2">
      <c r="B74" s="204"/>
    </row>
    <row r="75" spans="2:2" x14ac:dyDescent="0.2">
      <c r="B75" s="204"/>
    </row>
    <row r="76" spans="2:2" x14ac:dyDescent="0.2">
      <c r="B76" s="204"/>
    </row>
    <row r="77" spans="2:2" x14ac:dyDescent="0.2">
      <c r="B77" s="204"/>
    </row>
    <row r="78" spans="2:2" x14ac:dyDescent="0.2">
      <c r="B78" s="204"/>
    </row>
    <row r="79" spans="2:2" x14ac:dyDescent="0.2">
      <c r="B79" s="204"/>
    </row>
    <row r="80" spans="2:2" x14ac:dyDescent="0.2">
      <c r="B80" s="204"/>
    </row>
    <row r="81" spans="2:2" x14ac:dyDescent="0.2">
      <c r="B81" s="204"/>
    </row>
    <row r="82" spans="2:2" x14ac:dyDescent="0.2">
      <c r="B82" s="204"/>
    </row>
    <row r="83" spans="2:2" x14ac:dyDescent="0.2">
      <c r="B83" s="204"/>
    </row>
    <row r="84" spans="2:2" x14ac:dyDescent="0.2">
      <c r="B84" s="204"/>
    </row>
    <row r="85" spans="2:2" x14ac:dyDescent="0.2">
      <c r="B85" s="204"/>
    </row>
    <row r="86" spans="2:2" x14ac:dyDescent="0.2">
      <c r="B86" s="204"/>
    </row>
    <row r="87" spans="2:2" x14ac:dyDescent="0.2">
      <c r="B87" s="204"/>
    </row>
    <row r="88" spans="2:2" x14ac:dyDescent="0.2">
      <c r="B88" s="204"/>
    </row>
    <row r="89" spans="2:2" x14ac:dyDescent="0.2">
      <c r="B89" s="204"/>
    </row>
    <row r="90" spans="2:2" x14ac:dyDescent="0.2">
      <c r="B90" s="204"/>
    </row>
    <row r="91" spans="2:2" x14ac:dyDescent="0.2">
      <c r="B91" s="204"/>
    </row>
    <row r="92" spans="2:2" x14ac:dyDescent="0.2">
      <c r="B92" s="204"/>
    </row>
    <row r="93" spans="2:2" x14ac:dyDescent="0.2">
      <c r="B93" s="204"/>
    </row>
    <row r="94" spans="2:2" x14ac:dyDescent="0.2">
      <c r="B94" s="204"/>
    </row>
    <row r="95" spans="2:2" x14ac:dyDescent="0.2">
      <c r="B95" s="204"/>
    </row>
    <row r="96" spans="2:2" x14ac:dyDescent="0.2">
      <c r="B96" s="204"/>
    </row>
    <row r="97" spans="2:2" x14ac:dyDescent="0.2">
      <c r="B97" s="204"/>
    </row>
    <row r="98" spans="2:2" x14ac:dyDescent="0.2">
      <c r="B98" s="204"/>
    </row>
    <row r="99" spans="2:2" x14ac:dyDescent="0.2">
      <c r="B99" s="204"/>
    </row>
    <row r="100" spans="2:2" x14ac:dyDescent="0.2">
      <c r="B100" s="204"/>
    </row>
    <row r="101" spans="2:2" x14ac:dyDescent="0.2">
      <c r="B101" s="204"/>
    </row>
    <row r="102" spans="2:2" x14ac:dyDescent="0.2">
      <c r="B102" s="204"/>
    </row>
    <row r="103" spans="2:2" x14ac:dyDescent="0.2">
      <c r="B103" s="204"/>
    </row>
    <row r="104" spans="2:2" x14ac:dyDescent="0.2">
      <c r="B104" s="204"/>
    </row>
    <row r="105" spans="2:2" x14ac:dyDescent="0.2">
      <c r="B105" s="204"/>
    </row>
    <row r="106" spans="2:2" x14ac:dyDescent="0.2">
      <c r="B106" s="204"/>
    </row>
    <row r="107" spans="2:2" x14ac:dyDescent="0.2">
      <c r="B107" s="204"/>
    </row>
    <row r="108" spans="2:2" x14ac:dyDescent="0.2">
      <c r="B108" s="204"/>
    </row>
    <row r="109" spans="2:2" x14ac:dyDescent="0.2">
      <c r="B109" s="204"/>
    </row>
    <row r="110" spans="2:2" x14ac:dyDescent="0.2">
      <c r="B110" s="204"/>
    </row>
    <row r="111" spans="2:2" x14ac:dyDescent="0.2">
      <c r="B111" s="204"/>
    </row>
    <row r="112" spans="2:2" x14ac:dyDescent="0.2">
      <c r="B112" s="204"/>
    </row>
    <row r="113" spans="2:2" x14ac:dyDescent="0.2">
      <c r="B113" s="204"/>
    </row>
    <row r="114" spans="2:2" x14ac:dyDescent="0.2">
      <c r="B114" s="204"/>
    </row>
    <row r="115" spans="2:2" x14ac:dyDescent="0.2">
      <c r="B115" s="204"/>
    </row>
    <row r="116" spans="2:2" x14ac:dyDescent="0.2">
      <c r="B116" s="204"/>
    </row>
    <row r="117" spans="2:2" x14ac:dyDescent="0.2">
      <c r="B117" s="204"/>
    </row>
    <row r="118" spans="2:2" x14ac:dyDescent="0.2">
      <c r="B118" s="204"/>
    </row>
    <row r="119" spans="2:2" x14ac:dyDescent="0.2">
      <c r="B119" s="204"/>
    </row>
    <row r="120" spans="2:2" x14ac:dyDescent="0.2">
      <c r="B120" s="204"/>
    </row>
    <row r="121" spans="2:2" x14ac:dyDescent="0.2">
      <c r="B121" s="204"/>
    </row>
    <row r="122" spans="2:2" x14ac:dyDescent="0.2">
      <c r="B122" s="204"/>
    </row>
    <row r="123" spans="2:2" x14ac:dyDescent="0.2">
      <c r="B123" s="204"/>
    </row>
    <row r="124" spans="2:2" x14ac:dyDescent="0.2">
      <c r="B124" s="204"/>
    </row>
    <row r="125" spans="2:2" x14ac:dyDescent="0.2">
      <c r="B125" s="204"/>
    </row>
    <row r="126" spans="2:2" x14ac:dyDescent="0.2">
      <c r="B126" s="204"/>
    </row>
    <row r="127" spans="2:2" x14ac:dyDescent="0.2">
      <c r="B127" s="204"/>
    </row>
    <row r="128" spans="2:2" x14ac:dyDescent="0.2">
      <c r="B128" s="204"/>
    </row>
    <row r="129" spans="2:2" x14ac:dyDescent="0.2">
      <c r="B129" s="204"/>
    </row>
    <row r="130" spans="2:2" x14ac:dyDescent="0.2">
      <c r="B130" s="204"/>
    </row>
    <row r="131" spans="2:2" x14ac:dyDescent="0.2">
      <c r="B131" s="204"/>
    </row>
    <row r="132" spans="2:2" x14ac:dyDescent="0.2">
      <c r="B132" s="204"/>
    </row>
    <row r="133" spans="2:2" x14ac:dyDescent="0.2">
      <c r="B133" s="204"/>
    </row>
    <row r="134" spans="2:2" x14ac:dyDescent="0.2">
      <c r="B134" s="204"/>
    </row>
    <row r="135" spans="2:2" x14ac:dyDescent="0.2">
      <c r="B135" s="204"/>
    </row>
    <row r="136" spans="2:2" x14ac:dyDescent="0.2">
      <c r="B136" s="204"/>
    </row>
    <row r="137" spans="2:2" x14ac:dyDescent="0.2">
      <c r="B137" s="204"/>
    </row>
    <row r="138" spans="2:2" x14ac:dyDescent="0.2">
      <c r="B138" s="204"/>
    </row>
    <row r="139" spans="2:2" x14ac:dyDescent="0.2">
      <c r="B139" s="204"/>
    </row>
    <row r="140" spans="2:2" x14ac:dyDescent="0.2">
      <c r="B140" s="204"/>
    </row>
    <row r="141" spans="2:2" x14ac:dyDescent="0.2">
      <c r="B141" s="204"/>
    </row>
    <row r="142" spans="2:2" x14ac:dyDescent="0.2">
      <c r="B142" s="204"/>
    </row>
    <row r="143" spans="2:2" x14ac:dyDescent="0.2">
      <c r="B143" s="204"/>
    </row>
    <row r="144" spans="2:2" x14ac:dyDescent="0.2">
      <c r="B144" s="204"/>
    </row>
    <row r="145" spans="2:2" x14ac:dyDescent="0.2">
      <c r="B145" s="204"/>
    </row>
    <row r="146" spans="2:2" x14ac:dyDescent="0.2">
      <c r="B146" s="204"/>
    </row>
    <row r="147" spans="2:2" x14ac:dyDescent="0.2">
      <c r="B147" s="204"/>
    </row>
    <row r="148" spans="2:2" x14ac:dyDescent="0.2">
      <c r="B148" s="204"/>
    </row>
    <row r="149" spans="2:2" x14ac:dyDescent="0.2">
      <c r="B149" s="204"/>
    </row>
    <row r="150" spans="2:2" x14ac:dyDescent="0.2">
      <c r="B150" s="204"/>
    </row>
    <row r="151" spans="2:2" x14ac:dyDescent="0.2">
      <c r="B151" s="204"/>
    </row>
    <row r="152" spans="2:2" x14ac:dyDescent="0.2">
      <c r="B152" s="204"/>
    </row>
    <row r="153" spans="2:2" x14ac:dyDescent="0.2">
      <c r="B153" s="204"/>
    </row>
    <row r="154" spans="2:2" x14ac:dyDescent="0.2">
      <c r="B154" s="204"/>
    </row>
    <row r="155" spans="2:2" x14ac:dyDescent="0.2">
      <c r="B155" s="204"/>
    </row>
    <row r="156" spans="2:2" x14ac:dyDescent="0.2">
      <c r="B156" s="204"/>
    </row>
    <row r="157" spans="2:2" x14ac:dyDescent="0.2">
      <c r="B157" s="204"/>
    </row>
    <row r="158" spans="2:2" x14ac:dyDescent="0.2">
      <c r="B158" s="204"/>
    </row>
    <row r="159" spans="2:2" x14ac:dyDescent="0.2">
      <c r="B159" s="204"/>
    </row>
    <row r="160" spans="2:2" x14ac:dyDescent="0.2">
      <c r="B160" s="204"/>
    </row>
    <row r="161" spans="2:2" x14ac:dyDescent="0.2">
      <c r="B161" s="204"/>
    </row>
    <row r="162" spans="2:2" x14ac:dyDescent="0.2">
      <c r="B162" s="204"/>
    </row>
    <row r="163" spans="2:2" x14ac:dyDescent="0.2">
      <c r="B163" s="204"/>
    </row>
    <row r="164" spans="2:2" x14ac:dyDescent="0.2">
      <c r="B164" s="204"/>
    </row>
    <row r="165" spans="2:2" x14ac:dyDescent="0.2">
      <c r="B165" s="204"/>
    </row>
    <row r="166" spans="2:2" x14ac:dyDescent="0.2">
      <c r="B166" s="204"/>
    </row>
    <row r="167" spans="2:2" x14ac:dyDescent="0.2">
      <c r="B167" s="204"/>
    </row>
    <row r="168" spans="2:2" x14ac:dyDescent="0.2">
      <c r="B168" s="204"/>
    </row>
    <row r="169" spans="2:2" x14ac:dyDescent="0.2">
      <c r="B169" s="204"/>
    </row>
    <row r="170" spans="2:2" x14ac:dyDescent="0.2">
      <c r="B170" s="204"/>
    </row>
    <row r="171" spans="2:2" x14ac:dyDescent="0.2">
      <c r="B171" s="204"/>
    </row>
    <row r="172" spans="2:2" x14ac:dyDescent="0.2">
      <c r="B172" s="204"/>
    </row>
    <row r="173" spans="2:2" x14ac:dyDescent="0.2">
      <c r="B173" s="204"/>
    </row>
    <row r="174" spans="2:2" x14ac:dyDescent="0.2">
      <c r="B174" s="204"/>
    </row>
    <row r="175" spans="2:2" x14ac:dyDescent="0.2">
      <c r="B175" s="204"/>
    </row>
    <row r="176" spans="2:2" x14ac:dyDescent="0.2">
      <c r="B176" s="204"/>
    </row>
    <row r="177" spans="2:2" x14ac:dyDescent="0.2">
      <c r="B177" s="204"/>
    </row>
    <row r="178" spans="2:2" x14ac:dyDescent="0.2">
      <c r="B178" s="204"/>
    </row>
    <row r="179" spans="2:2" x14ac:dyDescent="0.2">
      <c r="B179" s="204"/>
    </row>
    <row r="180" spans="2:2" x14ac:dyDescent="0.2">
      <c r="B180" s="204"/>
    </row>
    <row r="181" spans="2:2" x14ac:dyDescent="0.2">
      <c r="B181" s="204"/>
    </row>
    <row r="182" spans="2:2" x14ac:dyDescent="0.2">
      <c r="B182" s="204"/>
    </row>
    <row r="183" spans="2:2" x14ac:dyDescent="0.2">
      <c r="B183" s="204"/>
    </row>
    <row r="184" spans="2:2" x14ac:dyDescent="0.2">
      <c r="B184" s="204"/>
    </row>
    <row r="185" spans="2:2" x14ac:dyDescent="0.2">
      <c r="B185" s="204"/>
    </row>
    <row r="186" spans="2:2" x14ac:dyDescent="0.2">
      <c r="B186" s="204"/>
    </row>
    <row r="187" spans="2:2" x14ac:dyDescent="0.2">
      <c r="B187" s="204"/>
    </row>
    <row r="188" spans="2:2" x14ac:dyDescent="0.2">
      <c r="B188" s="204"/>
    </row>
    <row r="189" spans="2:2" x14ac:dyDescent="0.2">
      <c r="B189" s="204"/>
    </row>
    <row r="190" spans="2:2" x14ac:dyDescent="0.2">
      <c r="B190" s="204"/>
    </row>
    <row r="191" spans="2:2" x14ac:dyDescent="0.2">
      <c r="B191" s="204"/>
    </row>
    <row r="192" spans="2:2" x14ac:dyDescent="0.2">
      <c r="B192" s="204"/>
    </row>
    <row r="193" spans="2:2" x14ac:dyDescent="0.2">
      <c r="B193" s="204"/>
    </row>
    <row r="194" spans="2:2" x14ac:dyDescent="0.2">
      <c r="B194" s="204"/>
    </row>
    <row r="195" spans="2:2" x14ac:dyDescent="0.2">
      <c r="B195" s="204"/>
    </row>
    <row r="196" spans="2:2" x14ac:dyDescent="0.2">
      <c r="B196" s="204"/>
    </row>
    <row r="197" spans="2:2" x14ac:dyDescent="0.2">
      <c r="B197" s="204"/>
    </row>
    <row r="198" spans="2:2" x14ac:dyDescent="0.2">
      <c r="B198" s="204"/>
    </row>
    <row r="199" spans="2:2" x14ac:dyDescent="0.2">
      <c r="B199" s="204"/>
    </row>
    <row r="200" spans="2:2" x14ac:dyDescent="0.2">
      <c r="B200" s="204"/>
    </row>
    <row r="201" spans="2:2" x14ac:dyDescent="0.2">
      <c r="B201" s="204"/>
    </row>
    <row r="202" spans="2:2" x14ac:dyDescent="0.2">
      <c r="B202" s="204"/>
    </row>
    <row r="203" spans="2:2" x14ac:dyDescent="0.2">
      <c r="B203" s="204"/>
    </row>
    <row r="204" spans="2:2" x14ac:dyDescent="0.2">
      <c r="B204" s="204"/>
    </row>
    <row r="205" spans="2:2" x14ac:dyDescent="0.2">
      <c r="B205" s="204"/>
    </row>
    <row r="206" spans="2:2" x14ac:dyDescent="0.2">
      <c r="B206" s="204"/>
    </row>
    <row r="207" spans="2:2" x14ac:dyDescent="0.2">
      <c r="B207" s="204"/>
    </row>
    <row r="208" spans="2:2" x14ac:dyDescent="0.2">
      <c r="B208" s="204"/>
    </row>
    <row r="209" spans="2:2" x14ac:dyDescent="0.2">
      <c r="B209" s="204"/>
    </row>
    <row r="210" spans="2:2" x14ac:dyDescent="0.2">
      <c r="B210" s="204"/>
    </row>
    <row r="211" spans="2:2" x14ac:dyDescent="0.2">
      <c r="B211" s="204"/>
    </row>
    <row r="212" spans="2:2" x14ac:dyDescent="0.2">
      <c r="B212" s="204"/>
    </row>
    <row r="213" spans="2:2" x14ac:dyDescent="0.2">
      <c r="B213" s="204"/>
    </row>
    <row r="214" spans="2:2" x14ac:dyDescent="0.2">
      <c r="B214" s="204"/>
    </row>
    <row r="215" spans="2:2" x14ac:dyDescent="0.2">
      <c r="B215" s="204"/>
    </row>
    <row r="216" spans="2:2" x14ac:dyDescent="0.2">
      <c r="B216" s="204"/>
    </row>
    <row r="217" spans="2:2" x14ac:dyDescent="0.2">
      <c r="B217" s="204"/>
    </row>
    <row r="218" spans="2:2" x14ac:dyDescent="0.2">
      <c r="B218" s="204"/>
    </row>
    <row r="219" spans="2:2" x14ac:dyDescent="0.2">
      <c r="B219" s="204"/>
    </row>
    <row r="220" spans="2:2" x14ac:dyDescent="0.2">
      <c r="B220" s="204"/>
    </row>
    <row r="221" spans="2:2" x14ac:dyDescent="0.2">
      <c r="B221" s="204"/>
    </row>
    <row r="222" spans="2:2" x14ac:dyDescent="0.2">
      <c r="B222" s="204"/>
    </row>
    <row r="223" spans="2:2" x14ac:dyDescent="0.2">
      <c r="B223" s="204"/>
    </row>
    <row r="224" spans="2:2" x14ac:dyDescent="0.2">
      <c r="B224" s="204"/>
    </row>
    <row r="225" spans="2:2" x14ac:dyDescent="0.2">
      <c r="B225" s="204"/>
    </row>
    <row r="226" spans="2:2" x14ac:dyDescent="0.2">
      <c r="B226" s="204"/>
    </row>
    <row r="227" spans="2:2" x14ac:dyDescent="0.2">
      <c r="B227" s="204"/>
    </row>
    <row r="228" spans="2:2" x14ac:dyDescent="0.2">
      <c r="B228" s="204"/>
    </row>
    <row r="229" spans="2:2" x14ac:dyDescent="0.2">
      <c r="B229" s="204"/>
    </row>
    <row r="230" spans="2:2" x14ac:dyDescent="0.2">
      <c r="B230" s="204"/>
    </row>
    <row r="231" spans="2:2" x14ac:dyDescent="0.2">
      <c r="B231" s="204"/>
    </row>
    <row r="232" spans="2:2" x14ac:dyDescent="0.2">
      <c r="B232" s="204"/>
    </row>
    <row r="233" spans="2:2" x14ac:dyDescent="0.2">
      <c r="B233" s="204"/>
    </row>
    <row r="234" spans="2:2" x14ac:dyDescent="0.2">
      <c r="B234" s="204"/>
    </row>
    <row r="235" spans="2:2" x14ac:dyDescent="0.2">
      <c r="B235" s="204"/>
    </row>
    <row r="236" spans="2:2" x14ac:dyDescent="0.2">
      <c r="B236" s="204"/>
    </row>
    <row r="237" spans="2:2" x14ac:dyDescent="0.2">
      <c r="B237" s="204"/>
    </row>
    <row r="238" spans="2:2" x14ac:dyDescent="0.2">
      <c r="B238" s="204"/>
    </row>
    <row r="239" spans="2:2" x14ac:dyDescent="0.2">
      <c r="B239" s="204"/>
    </row>
    <row r="240" spans="2:2" x14ac:dyDescent="0.2">
      <c r="B240" s="204"/>
    </row>
    <row r="241" spans="2:2" x14ac:dyDescent="0.2">
      <c r="B241" s="204"/>
    </row>
    <row r="242" spans="2:2" x14ac:dyDescent="0.2">
      <c r="B242" s="204"/>
    </row>
    <row r="243" spans="2:2" x14ac:dyDescent="0.2">
      <c r="B243" s="204"/>
    </row>
    <row r="244" spans="2:2" x14ac:dyDescent="0.2">
      <c r="B244" s="204"/>
    </row>
    <row r="245" spans="2:2" x14ac:dyDescent="0.2">
      <c r="B245" s="204"/>
    </row>
    <row r="246" spans="2:2" x14ac:dyDescent="0.2">
      <c r="B246" s="204"/>
    </row>
    <row r="247" spans="2:2" x14ac:dyDescent="0.2">
      <c r="B247" s="204"/>
    </row>
    <row r="248" spans="2:2" x14ac:dyDescent="0.2">
      <c r="B248" s="204"/>
    </row>
    <row r="249" spans="2:2" x14ac:dyDescent="0.2">
      <c r="B249" s="204"/>
    </row>
    <row r="250" spans="2:2" x14ac:dyDescent="0.2">
      <c r="B250" s="204"/>
    </row>
    <row r="251" spans="2:2" x14ac:dyDescent="0.2">
      <c r="B251" s="204"/>
    </row>
    <row r="252" spans="2:2" x14ac:dyDescent="0.2">
      <c r="B252" s="204"/>
    </row>
    <row r="253" spans="2:2" x14ac:dyDescent="0.2">
      <c r="B253" s="204"/>
    </row>
    <row r="254" spans="2:2" x14ac:dyDescent="0.2">
      <c r="B254" s="204"/>
    </row>
    <row r="255" spans="2:2" x14ac:dyDescent="0.2">
      <c r="B255" s="204"/>
    </row>
    <row r="256" spans="2:2" x14ac:dyDescent="0.2">
      <c r="B256" s="204"/>
    </row>
    <row r="257" spans="2:2" x14ac:dyDescent="0.2">
      <c r="B257" s="204"/>
    </row>
    <row r="258" spans="2:2" x14ac:dyDescent="0.2">
      <c r="B258" s="204"/>
    </row>
    <row r="259" spans="2:2" x14ac:dyDescent="0.2">
      <c r="B259" s="204"/>
    </row>
    <row r="260" spans="2:2" x14ac:dyDescent="0.2">
      <c r="B260" s="204"/>
    </row>
    <row r="261" spans="2:2" x14ac:dyDescent="0.2">
      <c r="B261" s="204"/>
    </row>
    <row r="262" spans="2:2" x14ac:dyDescent="0.2">
      <c r="B262" s="204"/>
    </row>
    <row r="263" spans="2:2" x14ac:dyDescent="0.2">
      <c r="B263" s="204"/>
    </row>
    <row r="264" spans="2:2" x14ac:dyDescent="0.2">
      <c r="B264" s="204"/>
    </row>
    <row r="265" spans="2:2" x14ac:dyDescent="0.2">
      <c r="B265" s="204"/>
    </row>
    <row r="266" spans="2:2" x14ac:dyDescent="0.2">
      <c r="B266" s="204"/>
    </row>
    <row r="267" spans="2:2" x14ac:dyDescent="0.2">
      <c r="B267" s="204"/>
    </row>
    <row r="268" spans="2:2" x14ac:dyDescent="0.2">
      <c r="B268" s="204"/>
    </row>
    <row r="269" spans="2:2" x14ac:dyDescent="0.2">
      <c r="B269" s="204"/>
    </row>
    <row r="270" spans="2:2" x14ac:dyDescent="0.2">
      <c r="B270" s="204"/>
    </row>
    <row r="271" spans="2:2" x14ac:dyDescent="0.2">
      <c r="B271" s="204"/>
    </row>
    <row r="272" spans="2:2" x14ac:dyDescent="0.2">
      <c r="B272" s="204"/>
    </row>
    <row r="273" spans="2:2" x14ac:dyDescent="0.2">
      <c r="B273" s="204"/>
    </row>
    <row r="274" spans="2:2" x14ac:dyDescent="0.2">
      <c r="B274" s="204"/>
    </row>
    <row r="275" spans="2:2" x14ac:dyDescent="0.2">
      <c r="B275" s="204"/>
    </row>
    <row r="276" spans="2:2" x14ac:dyDescent="0.2">
      <c r="B276" s="204"/>
    </row>
    <row r="277" spans="2:2" x14ac:dyDescent="0.2">
      <c r="B277" s="204"/>
    </row>
    <row r="278" spans="2:2" x14ac:dyDescent="0.2">
      <c r="B278" s="204"/>
    </row>
    <row r="279" spans="2:2" x14ac:dyDescent="0.2">
      <c r="B279" s="204"/>
    </row>
    <row r="280" spans="2:2" x14ac:dyDescent="0.2">
      <c r="B280" s="204"/>
    </row>
    <row r="281" spans="2:2" x14ac:dyDescent="0.2">
      <c r="B281" s="204"/>
    </row>
    <row r="282" spans="2:2" x14ac:dyDescent="0.2">
      <c r="B282" s="204"/>
    </row>
    <row r="283" spans="2:2" x14ac:dyDescent="0.2">
      <c r="B283" s="204"/>
    </row>
    <row r="284" spans="2:2" x14ac:dyDescent="0.2">
      <c r="B284" s="204"/>
    </row>
    <row r="285" spans="2:2" x14ac:dyDescent="0.2">
      <c r="B285" s="204"/>
    </row>
    <row r="286" spans="2:2" x14ac:dyDescent="0.2">
      <c r="B286" s="204"/>
    </row>
    <row r="287" spans="2:2" x14ac:dyDescent="0.2">
      <c r="B287" s="204"/>
    </row>
    <row r="288" spans="2:2" x14ac:dyDescent="0.2">
      <c r="B288" s="204"/>
    </row>
    <row r="289" spans="2:2" x14ac:dyDescent="0.2">
      <c r="B289" s="204"/>
    </row>
    <row r="290" spans="2:2" x14ac:dyDescent="0.2">
      <c r="B290" s="204"/>
    </row>
    <row r="291" spans="2:2" x14ac:dyDescent="0.2">
      <c r="B291" s="204"/>
    </row>
  </sheetData>
  <mergeCells count="3">
    <mergeCell ref="T9:U9"/>
    <mergeCell ref="T15:U15"/>
    <mergeCell ref="T16:U16"/>
  </mergeCells>
  <pageMargins left="0.2" right="0.2" top="0.75" bottom="0.75" header="0.3" footer="0.3"/>
  <pageSetup scale="14" fitToWidth="3" orientation="landscape" r:id="rId1"/>
  <headerFooter>
    <oddFooter>&amp;L&amp;Z&amp;F&amp;R&amp;A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Y37"/>
  <sheetViews>
    <sheetView workbookViewId="0">
      <selection activeCell="A7" sqref="A7"/>
    </sheetView>
  </sheetViews>
  <sheetFormatPr defaultColWidth="9.140625" defaultRowHeight="12.75" x14ac:dyDescent="0.2"/>
  <cols>
    <col min="1" max="1" width="5.42578125" style="2" customWidth="1"/>
    <col min="2" max="3" width="9.140625" style="2"/>
    <col min="4" max="4" width="32" style="2" customWidth="1"/>
    <col min="5" max="5" width="5" style="2" customWidth="1"/>
    <col min="6" max="6" width="1.7109375" style="2" customWidth="1"/>
    <col min="7" max="7" width="19.42578125" style="19" customWidth="1"/>
    <col min="8" max="9" width="9.140625" style="2"/>
    <col min="10" max="10" width="3.85546875" style="2" customWidth="1"/>
    <col min="11" max="12" width="9.140625" style="2"/>
    <col min="13" max="13" width="10.28515625" style="58" bestFit="1" customWidth="1"/>
    <col min="14" max="14" width="24.140625" style="2" customWidth="1"/>
    <col min="15" max="15" width="3.5703125" style="2" customWidth="1"/>
    <col min="16" max="16" width="14.5703125" style="58" customWidth="1"/>
    <col min="17" max="17" width="10.28515625" style="2" bestFit="1" customWidth="1"/>
    <col min="18" max="20" width="9.140625" style="2"/>
    <col min="21" max="21" width="28.28515625" style="2" bestFit="1" customWidth="1"/>
    <col min="22" max="22" width="15.7109375" style="2" bestFit="1" customWidth="1"/>
    <col min="23" max="24" width="14" style="2" bestFit="1" customWidth="1"/>
    <col min="25" max="16384" width="9.140625" style="2"/>
  </cols>
  <sheetData>
    <row r="1" spans="1:25" x14ac:dyDescent="0.2">
      <c r="A1" s="54" t="s">
        <v>30</v>
      </c>
    </row>
    <row r="2" spans="1:25" x14ac:dyDescent="0.2">
      <c r="A2" s="54" t="s">
        <v>31</v>
      </c>
    </row>
    <row r="3" spans="1:25" x14ac:dyDescent="0.2">
      <c r="A3" s="54" t="s">
        <v>32</v>
      </c>
    </row>
    <row r="4" spans="1:25" x14ac:dyDescent="0.2">
      <c r="A4" s="239">
        <v>41091</v>
      </c>
      <c r="B4" s="240"/>
    </row>
    <row r="5" spans="1:25" ht="14.25" x14ac:dyDescent="0.2">
      <c r="U5" s="87" t="s">
        <v>89</v>
      </c>
      <c r="V5" s="88" t="s">
        <v>81</v>
      </c>
      <c r="W5" s="88" t="s">
        <v>82</v>
      </c>
      <c r="X5" s="89" t="s">
        <v>83</v>
      </c>
      <c r="Y5" s="53"/>
    </row>
    <row r="6" spans="1:25" ht="14.25" x14ac:dyDescent="0.2">
      <c r="B6" s="57" t="str">
        <f>"Disposition of Energy (kWh) - Month of: "&amp;TEXT($A$4,"Mmmm YYYY")</f>
        <v>Disposition of Energy (kWh) - Month of: July 2012</v>
      </c>
      <c r="K6" s="57" t="str">
        <f>"Purchased Power - Month of: "&amp;TEXT($A$4,"Mmmm YYYY")</f>
        <v>Purchased Power - Month of: July 2012</v>
      </c>
      <c r="U6" s="90" t="s">
        <v>85</v>
      </c>
      <c r="V6" s="91">
        <v>2.055E-3</v>
      </c>
      <c r="W6" s="91">
        <v>2.055E-3</v>
      </c>
      <c r="X6" s="92">
        <v>2.055E-3</v>
      </c>
      <c r="Y6" s="53"/>
    </row>
    <row r="7" spans="1:25" ht="14.25" x14ac:dyDescent="0.2">
      <c r="J7" s="55"/>
      <c r="U7" s="93" t="s">
        <v>84</v>
      </c>
      <c r="V7" s="94">
        <v>136095885</v>
      </c>
      <c r="W7" s="94">
        <v>77753367</v>
      </c>
      <c r="X7" s="95">
        <v>49246040</v>
      </c>
      <c r="Y7" s="53"/>
    </row>
    <row r="8" spans="1:25" ht="14.25" x14ac:dyDescent="0.2">
      <c r="A8" s="56" t="s">
        <v>33</v>
      </c>
      <c r="B8" s="60" t="s">
        <v>34</v>
      </c>
      <c r="G8" s="59"/>
      <c r="J8" s="56" t="s">
        <v>57</v>
      </c>
      <c r="K8" s="60" t="s">
        <v>58</v>
      </c>
      <c r="U8" s="93" t="s">
        <v>86</v>
      </c>
      <c r="V8" s="96">
        <f>V6*V7</f>
        <v>279677.04367500002</v>
      </c>
      <c r="W8" s="96">
        <f>W6*W7</f>
        <v>159783.16918500001</v>
      </c>
      <c r="X8" s="97">
        <f>X6*X7</f>
        <v>101200.6122</v>
      </c>
      <c r="Y8" s="53"/>
    </row>
    <row r="9" spans="1:25" ht="14.25" x14ac:dyDescent="0.2">
      <c r="A9" s="55"/>
      <c r="J9" s="55"/>
      <c r="K9" s="60" t="s">
        <v>59</v>
      </c>
      <c r="P9" s="67"/>
      <c r="U9" s="93" t="s">
        <v>87</v>
      </c>
      <c r="V9" s="98" t="s">
        <v>88</v>
      </c>
      <c r="W9" s="99" t="s">
        <v>88</v>
      </c>
      <c r="X9" s="100" t="s">
        <v>88</v>
      </c>
      <c r="Y9" s="53"/>
    </row>
    <row r="10" spans="1:25" ht="14.25" x14ac:dyDescent="0.2">
      <c r="A10" s="56" t="s">
        <v>35</v>
      </c>
      <c r="B10" s="60" t="s">
        <v>38</v>
      </c>
      <c r="G10" s="59"/>
      <c r="J10" s="55"/>
      <c r="K10" s="60" t="s">
        <v>60</v>
      </c>
      <c r="P10" s="71"/>
      <c r="U10" s="93"/>
      <c r="V10" s="101"/>
      <c r="W10" s="101"/>
      <c r="X10" s="102"/>
      <c r="Y10" s="53"/>
    </row>
    <row r="11" spans="1:25" ht="14.25" x14ac:dyDescent="0.2">
      <c r="A11" s="56" t="s">
        <v>36</v>
      </c>
      <c r="B11" s="65" t="s">
        <v>39</v>
      </c>
      <c r="C11" s="66"/>
      <c r="D11" s="66"/>
      <c r="E11" s="66"/>
      <c r="G11" s="63"/>
      <c r="J11" s="55"/>
      <c r="K11" s="65" t="s">
        <v>61</v>
      </c>
      <c r="L11" s="66"/>
      <c r="M11" s="79"/>
      <c r="N11" s="66"/>
      <c r="P11" s="76"/>
      <c r="U11" s="93"/>
      <c r="V11" s="101"/>
      <c r="W11" s="103"/>
      <c r="X11" s="102"/>
      <c r="Y11" s="53"/>
    </row>
    <row r="12" spans="1:25" s="54" customFormat="1" ht="14.25" x14ac:dyDescent="0.2">
      <c r="A12" s="61" t="s">
        <v>37</v>
      </c>
      <c r="B12" s="54" t="s">
        <v>40</v>
      </c>
      <c r="G12" s="62">
        <f>SUM(G10:G11)</f>
        <v>0</v>
      </c>
      <c r="J12" s="61"/>
      <c r="K12" s="54" t="s">
        <v>62</v>
      </c>
      <c r="M12" s="72"/>
      <c r="P12" s="77">
        <f>P9+P10-P11</f>
        <v>0</v>
      </c>
      <c r="U12" s="93" t="s">
        <v>90</v>
      </c>
      <c r="V12" s="101"/>
      <c r="W12" s="101"/>
      <c r="X12" s="102"/>
      <c r="Y12" s="53"/>
    </row>
    <row r="13" spans="1:25" ht="14.25" x14ac:dyDescent="0.2">
      <c r="A13" s="55"/>
      <c r="J13" s="56" t="s">
        <v>63</v>
      </c>
      <c r="K13" s="65" t="s">
        <v>64</v>
      </c>
      <c r="L13" s="66"/>
      <c r="M13" s="79"/>
      <c r="N13" s="66"/>
      <c r="P13" s="69"/>
      <c r="U13" s="93" t="s">
        <v>91</v>
      </c>
      <c r="V13" s="94">
        <v>713618184</v>
      </c>
      <c r="W13" s="94">
        <v>194800</v>
      </c>
      <c r="X13" s="95">
        <v>0</v>
      </c>
      <c r="Y13" s="53"/>
    </row>
    <row r="14" spans="1:25" ht="15" thickBot="1" x14ac:dyDescent="0.25">
      <c r="A14" s="56" t="s">
        <v>41</v>
      </c>
      <c r="B14" s="65" t="s">
        <v>42</v>
      </c>
      <c r="C14" s="66"/>
      <c r="D14" s="66"/>
      <c r="E14" s="66"/>
      <c r="G14" s="64">
        <f>G8-G12</f>
        <v>0</v>
      </c>
      <c r="J14" s="56" t="s">
        <v>65</v>
      </c>
      <c r="K14" s="60" t="s">
        <v>66</v>
      </c>
      <c r="P14" s="78" t="e">
        <f>P9/P13</f>
        <v>#DIV/0!</v>
      </c>
      <c r="Q14" s="60" t="s">
        <v>67</v>
      </c>
      <c r="U14" s="93"/>
      <c r="V14" s="96">
        <f>V13*V6</f>
        <v>1466485.36812</v>
      </c>
      <c r="W14" s="96">
        <f>W13*W6</f>
        <v>400.31400000000002</v>
      </c>
      <c r="X14" s="102"/>
      <c r="Y14" s="53"/>
    </row>
    <row r="15" spans="1:25" ht="15" thickTop="1" x14ac:dyDescent="0.2">
      <c r="A15" s="55"/>
      <c r="J15" s="55"/>
      <c r="U15" s="93"/>
      <c r="V15" s="101"/>
      <c r="W15" s="101"/>
      <c r="X15" s="102"/>
      <c r="Y15" s="53"/>
    </row>
    <row r="16" spans="1:25" ht="14.25" x14ac:dyDescent="0.2">
      <c r="A16" s="55"/>
      <c r="J16" s="55"/>
      <c r="K16" s="57" t="s">
        <v>68</v>
      </c>
      <c r="U16" s="93"/>
      <c r="V16" s="101"/>
      <c r="W16" s="101"/>
      <c r="X16" s="102"/>
      <c r="Y16" s="53"/>
    </row>
    <row r="17" spans="1:25" ht="14.25" x14ac:dyDescent="0.2">
      <c r="A17" s="55"/>
      <c r="J17" s="55"/>
      <c r="U17" s="93"/>
      <c r="V17" s="91">
        <f>1460829.76/V13</f>
        <v>2.0470747421425014E-3</v>
      </c>
      <c r="W17" s="101"/>
      <c r="X17" s="102"/>
      <c r="Y17" s="53"/>
    </row>
    <row r="18" spans="1:25" x14ac:dyDescent="0.2">
      <c r="B18" s="57" t="str">
        <f>"(Over) or Under Recovery - Month of: "&amp;TEXT(EDATE($A$4,-1),"Mmmm YYYY")</f>
        <v>(Over) or Under Recovery - Month of: June 2012</v>
      </c>
      <c r="J18" s="56" t="s">
        <v>69</v>
      </c>
      <c r="K18" s="60" t="s">
        <v>72</v>
      </c>
      <c r="P18" s="80"/>
      <c r="U18" s="104"/>
      <c r="V18" s="105"/>
      <c r="W18" s="105"/>
      <c r="X18" s="106"/>
    </row>
    <row r="19" spans="1:25" x14ac:dyDescent="0.2">
      <c r="A19" s="55"/>
      <c r="J19" s="56" t="s">
        <v>70</v>
      </c>
      <c r="K19" s="60" t="s">
        <v>73</v>
      </c>
      <c r="P19" s="58" t="str">
        <f>TEXT(A4,"Mmmm YYYY")</f>
        <v>July 2012</v>
      </c>
    </row>
    <row r="20" spans="1:25" x14ac:dyDescent="0.2">
      <c r="A20" s="56" t="s">
        <v>43</v>
      </c>
      <c r="B20" s="60" t="s">
        <v>44</v>
      </c>
      <c r="G20" s="68">
        <v>0</v>
      </c>
      <c r="J20" s="56" t="s">
        <v>71</v>
      </c>
      <c r="K20" s="60" t="s">
        <v>74</v>
      </c>
      <c r="P20" s="81" t="e">
        <f>G14/G8</f>
        <v>#DIV/0!</v>
      </c>
    </row>
    <row r="21" spans="1:25" x14ac:dyDescent="0.2">
      <c r="A21" s="55"/>
      <c r="J21" s="55"/>
    </row>
    <row r="22" spans="1:25" x14ac:dyDescent="0.2">
      <c r="A22" s="56" t="s">
        <v>45</v>
      </c>
      <c r="B22" s="60" t="s">
        <v>46</v>
      </c>
      <c r="G22" s="59">
        <v>0</v>
      </c>
      <c r="J22" s="55"/>
    </row>
    <row r="23" spans="1:25" x14ac:dyDescent="0.2">
      <c r="A23" s="56" t="s">
        <v>47</v>
      </c>
      <c r="B23" s="65" t="s">
        <v>48</v>
      </c>
      <c r="C23" s="66"/>
      <c r="D23" s="66"/>
      <c r="E23" s="66"/>
      <c r="G23" s="69">
        <v>0</v>
      </c>
      <c r="J23" s="55"/>
      <c r="K23" s="57" t="s">
        <v>75</v>
      </c>
    </row>
    <row r="24" spans="1:25" ht="13.5" thickBot="1" x14ac:dyDescent="0.25">
      <c r="A24" s="56" t="s">
        <v>49</v>
      </c>
      <c r="B24" s="60" t="s">
        <v>50</v>
      </c>
      <c r="G24" s="70">
        <f>SUM(G22:G23)</f>
        <v>0</v>
      </c>
      <c r="J24" s="55"/>
    </row>
    <row r="25" spans="1:25" x14ac:dyDescent="0.2">
      <c r="A25" s="55"/>
      <c r="J25" s="56" t="s">
        <v>76</v>
      </c>
      <c r="K25" s="60" t="s">
        <v>79</v>
      </c>
      <c r="P25" s="82">
        <f>1-P18</f>
        <v>1</v>
      </c>
    </row>
    <row r="26" spans="1:25" x14ac:dyDescent="0.2">
      <c r="A26" s="56" t="s">
        <v>51</v>
      </c>
      <c r="B26" s="60" t="s">
        <v>52</v>
      </c>
      <c r="G26" s="67">
        <v>0</v>
      </c>
      <c r="J26" s="84" t="s">
        <v>77</v>
      </c>
      <c r="K26" s="65" t="s">
        <v>80</v>
      </c>
      <c r="L26" s="66"/>
      <c r="M26" s="79"/>
      <c r="N26" s="66"/>
      <c r="P26" s="85" t="e">
        <f>P12/P13</f>
        <v>#DIV/0!</v>
      </c>
      <c r="Q26" s="60" t="s">
        <v>67</v>
      </c>
    </row>
    <row r="27" spans="1:25" x14ac:dyDescent="0.2">
      <c r="A27" s="55"/>
      <c r="J27" s="56" t="s">
        <v>78</v>
      </c>
      <c r="K27" s="54" t="str">
        <f>"L20 / L19: ES Applicable to Billing Month: "&amp;TEXT(EDATE(A4,2),"Mmmm YYYY")</f>
        <v>L20 / L19: ES Applicable to Billing Month: September 2012</v>
      </c>
      <c r="P27" s="83" t="e">
        <f>P26/P25</f>
        <v>#DIV/0!</v>
      </c>
      <c r="Q27" s="54" t="s">
        <v>67</v>
      </c>
    </row>
    <row r="28" spans="1:25" x14ac:dyDescent="0.2">
      <c r="A28" s="56" t="s">
        <v>53</v>
      </c>
      <c r="B28" s="65" t="s">
        <v>54</v>
      </c>
      <c r="C28" s="66"/>
      <c r="D28" s="66"/>
      <c r="E28" s="66"/>
      <c r="G28" s="74">
        <f>G24*G20</f>
        <v>0</v>
      </c>
      <c r="J28" s="55"/>
    </row>
    <row r="29" spans="1:25" ht="13.5" thickBot="1" x14ac:dyDescent="0.25">
      <c r="A29" s="61" t="s">
        <v>55</v>
      </c>
      <c r="B29" s="54" t="s">
        <v>56</v>
      </c>
      <c r="C29" s="54"/>
      <c r="D29" s="54"/>
      <c r="E29" s="54"/>
      <c r="F29" s="54"/>
      <c r="G29" s="75">
        <f>G26-G28</f>
        <v>0</v>
      </c>
      <c r="J29" s="55"/>
    </row>
    <row r="30" spans="1:25" ht="13.5" thickTop="1" x14ac:dyDescent="0.2">
      <c r="A30" s="55"/>
      <c r="G30" s="73"/>
      <c r="J30" s="55"/>
      <c r="N30" s="19">
        <v>54544914</v>
      </c>
      <c r="P30" s="58" t="e">
        <f>$P$27*N30</f>
        <v>#DIV/0!</v>
      </c>
      <c r="Q30" s="58">
        <v>72959.47</v>
      </c>
      <c r="R30" s="86" t="e">
        <f>P30-Q30</f>
        <v>#DIV/0!</v>
      </c>
    </row>
    <row r="31" spans="1:25" x14ac:dyDescent="0.2">
      <c r="N31" s="19">
        <v>54511430</v>
      </c>
      <c r="P31" s="58" t="e">
        <f t="shared" ref="P31:P36" si="0">$P$27*N31</f>
        <v>#DIV/0!</v>
      </c>
      <c r="Q31" s="58">
        <v>72959.47</v>
      </c>
      <c r="R31" s="86" t="e">
        <f>P31-Q31</f>
        <v>#DIV/0!</v>
      </c>
    </row>
    <row r="32" spans="1:25" x14ac:dyDescent="0.2">
      <c r="N32" s="19">
        <v>55091996</v>
      </c>
      <c r="P32" s="58" t="e">
        <f t="shared" si="0"/>
        <v>#DIV/0!</v>
      </c>
      <c r="Q32" s="2">
        <v>-3308.48</v>
      </c>
    </row>
    <row r="33" spans="14:16" x14ac:dyDescent="0.2">
      <c r="N33" s="19"/>
      <c r="P33" s="58" t="e">
        <f t="shared" si="0"/>
        <v>#DIV/0!</v>
      </c>
    </row>
    <row r="34" spans="14:16" x14ac:dyDescent="0.2">
      <c r="N34" s="19"/>
      <c r="P34" s="58" t="e">
        <f t="shared" si="0"/>
        <v>#DIV/0!</v>
      </c>
    </row>
    <row r="35" spans="14:16" x14ac:dyDescent="0.2">
      <c r="N35" s="19"/>
      <c r="P35" s="58" t="e">
        <f t="shared" si="0"/>
        <v>#DIV/0!</v>
      </c>
    </row>
    <row r="36" spans="14:16" x14ac:dyDescent="0.2">
      <c r="N36" s="19"/>
      <c r="P36" s="58" t="e">
        <f t="shared" si="0"/>
        <v>#DIV/0!</v>
      </c>
    </row>
    <row r="37" spans="14:16" x14ac:dyDescent="0.2">
      <c r="N37" s="19"/>
    </row>
  </sheetData>
  <mergeCells count="1">
    <mergeCell ref="A4:B4"/>
  </mergeCells>
  <pageMargins left="0.7" right="0.7" top="0.75" bottom="0.75" header="0.3" footer="0.3"/>
  <pageSetup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35"/>
  <sheetViews>
    <sheetView workbookViewId="0">
      <pane xSplit="2" ySplit="6" topLeftCell="C16" activePane="bottomRight" state="frozen"/>
      <selection activeCell="A10" sqref="A10:H10"/>
      <selection pane="topRight" activeCell="A10" sqref="A10:H10"/>
      <selection pane="bottomLeft" activeCell="A10" sqref="A10:H10"/>
      <selection pane="bottomRight" activeCell="F21" sqref="F21"/>
    </sheetView>
  </sheetViews>
  <sheetFormatPr defaultColWidth="9.140625" defaultRowHeight="12.75" x14ac:dyDescent="0.2"/>
  <cols>
    <col min="1" max="1" width="9.140625" style="2"/>
    <col min="2" max="2" width="18.28515625" style="2" customWidth="1"/>
    <col min="3" max="3" width="20.7109375" style="3" customWidth="1"/>
    <col min="4" max="4" width="13.5703125" style="2" customWidth="1"/>
    <col min="5" max="5" width="20.7109375" style="3" customWidth="1"/>
    <col min="6" max="6" width="20.7109375" style="9" customWidth="1"/>
    <col min="7" max="7" width="3.42578125" style="2" customWidth="1"/>
    <col min="8" max="8" width="11" style="2" customWidth="1"/>
    <col min="9" max="10" width="13.85546875" style="18" customWidth="1"/>
    <col min="11" max="11" width="13.85546875" style="19" customWidth="1"/>
    <col min="12" max="12" width="16.7109375" style="3" customWidth="1"/>
    <col min="13" max="13" width="13.5703125" style="2" customWidth="1"/>
    <col min="14" max="16384" width="9.140625" style="2"/>
  </cols>
  <sheetData>
    <row r="1" spans="1:13" x14ac:dyDescent="0.2">
      <c r="A1" s="1" t="s">
        <v>7</v>
      </c>
      <c r="H1" s="41"/>
    </row>
    <row r="2" spans="1:13" x14ac:dyDescent="0.2">
      <c r="A2" s="1" t="s">
        <v>8</v>
      </c>
      <c r="H2" s="42"/>
    </row>
    <row r="3" spans="1:13" x14ac:dyDescent="0.2">
      <c r="A3" s="1" t="s">
        <v>9</v>
      </c>
    </row>
    <row r="4" spans="1:13" x14ac:dyDescent="0.2">
      <c r="A4" s="1" t="s">
        <v>10</v>
      </c>
    </row>
    <row r="5" spans="1:13" s="11" customFormat="1" x14ac:dyDescent="0.2">
      <c r="B5" s="12"/>
      <c r="C5" s="13" t="s">
        <v>13</v>
      </c>
      <c r="D5" s="12"/>
      <c r="E5" s="13" t="s">
        <v>14</v>
      </c>
      <c r="F5" s="14" t="s">
        <v>15</v>
      </c>
      <c r="H5" s="241" t="s">
        <v>23</v>
      </c>
      <c r="I5" s="242"/>
      <c r="J5" s="242"/>
      <c r="K5" s="242"/>
      <c r="L5" s="242"/>
      <c r="M5" s="242"/>
    </row>
    <row r="6" spans="1:13" s="4" customFormat="1" ht="70.5" customHeight="1" x14ac:dyDescent="0.2">
      <c r="B6" s="46" t="s">
        <v>29</v>
      </c>
      <c r="C6" s="43" t="s">
        <v>25</v>
      </c>
      <c r="D6" s="46" t="s">
        <v>11</v>
      </c>
      <c r="E6" s="43" t="s">
        <v>12</v>
      </c>
      <c r="F6" s="47" t="s">
        <v>16</v>
      </c>
      <c r="H6" s="20" t="s">
        <v>21</v>
      </c>
      <c r="I6" s="21" t="s">
        <v>19</v>
      </c>
      <c r="J6" s="21" t="s">
        <v>22</v>
      </c>
      <c r="K6" s="22" t="s">
        <v>18</v>
      </c>
      <c r="L6" s="23" t="s">
        <v>20</v>
      </c>
      <c r="M6" s="24" t="s">
        <v>24</v>
      </c>
    </row>
    <row r="7" spans="1:13" x14ac:dyDescent="0.2">
      <c r="B7" s="7">
        <v>39965</v>
      </c>
      <c r="C7" s="8">
        <v>0</v>
      </c>
      <c r="D7" s="7">
        <f t="shared" ref="D7:D18" si="0">EDATE(B7,-1)</f>
        <v>39934</v>
      </c>
      <c r="E7" s="16"/>
      <c r="F7" s="17"/>
      <c r="H7" s="33"/>
      <c r="I7" s="34"/>
      <c r="J7" s="35"/>
      <c r="K7" s="36"/>
      <c r="L7" s="37"/>
      <c r="M7" s="38"/>
    </row>
    <row r="8" spans="1:13" x14ac:dyDescent="0.2">
      <c r="B8" s="7">
        <f>EDATE(B7,1)</f>
        <v>39995</v>
      </c>
      <c r="C8" s="8">
        <v>0</v>
      </c>
      <c r="D8" s="7">
        <f t="shared" si="0"/>
        <v>39965</v>
      </c>
      <c r="E8" s="16"/>
      <c r="F8" s="17"/>
      <c r="H8" s="33"/>
      <c r="I8" s="34"/>
      <c r="J8" s="35"/>
      <c r="K8" s="36"/>
      <c r="L8" s="39"/>
      <c r="M8" s="40"/>
    </row>
    <row r="9" spans="1:13" x14ac:dyDescent="0.2">
      <c r="B9" s="7">
        <f t="shared" ref="B9:B36" si="1">EDATE(B8,1)</f>
        <v>40026</v>
      </c>
      <c r="C9" s="8">
        <v>1115222</v>
      </c>
      <c r="D9" s="7">
        <f t="shared" si="0"/>
        <v>39995</v>
      </c>
      <c r="E9" s="8" t="e">
        <f>'Att(1of6)(JP-Non)'!#REF!+'Att(1of6)(JP-Non)'!F14+'Att(1of6)(JP-Non)'!#REF!+'Att(4of6)(JP-Dedicated)'!#REF!+'Att(4of6)(JP-Dedicated)'!F12</f>
        <v>#REF!</v>
      </c>
      <c r="F9" s="10" t="e">
        <f t="shared" ref="F9:F14" si="2">ROUND(C9-E9,0.2)</f>
        <v>#REF!</v>
      </c>
      <c r="G9" s="44" t="s">
        <v>26</v>
      </c>
      <c r="H9" s="25">
        <f t="shared" ref="H9:H15" si="3">EDATE(B9,-2)</f>
        <v>39965</v>
      </c>
      <c r="I9" s="49">
        <v>2.7650000000000001E-3</v>
      </c>
      <c r="J9" s="26">
        <f t="shared" ref="J9:J15" si="4">EDATE(B9,-1)</f>
        <v>39995</v>
      </c>
      <c r="K9" s="51">
        <v>403335086</v>
      </c>
      <c r="L9" s="27">
        <f t="shared" ref="L9:L15" si="5">I9*K9</f>
        <v>1115221.5127900001</v>
      </c>
      <c r="M9" s="28">
        <f t="shared" ref="M9:M15" si="6">C9-L9</f>
        <v>0.48720999993383884</v>
      </c>
    </row>
    <row r="10" spans="1:13" x14ac:dyDescent="0.2">
      <c r="B10" s="7">
        <f t="shared" si="1"/>
        <v>40057</v>
      </c>
      <c r="C10" s="8">
        <v>2011351</v>
      </c>
      <c r="D10" s="7">
        <f t="shared" si="0"/>
        <v>40026</v>
      </c>
      <c r="E10" s="8" t="e">
        <f>'Att(1of6)(JP-Non)'!#REF!+'Att(1of6)(JP-Non)'!F15+'Att(1of6)(JP-Non)'!#REF!+'Att(4of6)(JP-Dedicated)'!#REF!+'Att(4of6)(JP-Dedicated)'!F13</f>
        <v>#REF!</v>
      </c>
      <c r="F10" s="10" t="e">
        <f t="shared" si="2"/>
        <v>#REF!</v>
      </c>
      <c r="H10" s="25">
        <f t="shared" si="3"/>
        <v>39995</v>
      </c>
      <c r="I10" s="49">
        <v>2.31E-3</v>
      </c>
      <c r="J10" s="26">
        <f t="shared" si="4"/>
        <v>40026</v>
      </c>
      <c r="K10" s="51">
        <v>870714832</v>
      </c>
      <c r="L10" s="27">
        <f t="shared" si="5"/>
        <v>2011351.26192</v>
      </c>
      <c r="M10" s="28">
        <f t="shared" si="6"/>
        <v>-0.26191999996080995</v>
      </c>
    </row>
    <row r="11" spans="1:13" x14ac:dyDescent="0.2">
      <c r="B11" s="7">
        <f t="shared" si="1"/>
        <v>40087</v>
      </c>
      <c r="C11" s="8">
        <v>1707161</v>
      </c>
      <c r="D11" s="7">
        <f t="shared" si="0"/>
        <v>40057</v>
      </c>
      <c r="E11" s="8" t="e">
        <f>'Att(1of6)(JP-Non)'!#REF!+'Att(1of6)(JP-Non)'!F16+'Att(1of6)(JP-Non)'!#REF!+'Att(4of6)(JP-Dedicated)'!#REF!+'Att(4of6)(JP-Dedicated)'!F14</f>
        <v>#REF!</v>
      </c>
      <c r="F11" s="10" t="e">
        <f t="shared" si="2"/>
        <v>#REF!</v>
      </c>
      <c r="H11" s="25">
        <f t="shared" si="3"/>
        <v>40026</v>
      </c>
      <c r="I11" s="49">
        <v>2.0820000000000001E-3</v>
      </c>
      <c r="J11" s="26">
        <f t="shared" si="4"/>
        <v>40057</v>
      </c>
      <c r="K11" s="51">
        <v>819961855</v>
      </c>
      <c r="L11" s="27">
        <f t="shared" si="5"/>
        <v>1707160.5821100001</v>
      </c>
      <c r="M11" s="28">
        <f t="shared" si="6"/>
        <v>0.4178899999242276</v>
      </c>
    </row>
    <row r="12" spans="1:13" x14ac:dyDescent="0.2">
      <c r="B12" s="7">
        <f t="shared" si="1"/>
        <v>40118</v>
      </c>
      <c r="C12" s="8">
        <v>1957775</v>
      </c>
      <c r="D12" s="7">
        <f t="shared" si="0"/>
        <v>40087</v>
      </c>
      <c r="E12" s="8" t="e">
        <f>'Att(1of6)(JP-Non)'!#REF!+'Att(1of6)(JP-Non)'!F17+'Att(1of6)(JP-Non)'!#REF!+'Att(4of6)(JP-Dedicated)'!#REF!+'Att(4of6)(JP-Dedicated)'!F15</f>
        <v>#REF!</v>
      </c>
      <c r="F12" s="10" t="e">
        <f t="shared" si="2"/>
        <v>#REF!</v>
      </c>
      <c r="H12" s="25">
        <f t="shared" si="3"/>
        <v>40057</v>
      </c>
      <c r="I12" s="49">
        <v>2.3509999999999998E-3</v>
      </c>
      <c r="J12" s="26">
        <f t="shared" si="4"/>
        <v>40087</v>
      </c>
      <c r="K12" s="51">
        <v>832741230</v>
      </c>
      <c r="L12" s="27">
        <f t="shared" si="5"/>
        <v>1957774.6317299998</v>
      </c>
      <c r="M12" s="28">
        <f t="shared" si="6"/>
        <v>0.36827000021003187</v>
      </c>
    </row>
    <row r="13" spans="1:13" x14ac:dyDescent="0.2">
      <c r="B13" s="7">
        <f t="shared" si="1"/>
        <v>40148</v>
      </c>
      <c r="C13" s="8">
        <v>1602336</v>
      </c>
      <c r="D13" s="7">
        <f t="shared" si="0"/>
        <v>40118</v>
      </c>
      <c r="E13" s="8" t="e">
        <f>'Att(1of6)(JP-Non)'!#REF!+'Att(1of6)(JP-Non)'!F18+'Att(1of6)(JP-Non)'!#REF!+'Att(4of6)(JP-Dedicated)'!#REF!+'Att(4of6)(JP-Dedicated)'!F16</f>
        <v>#REF!</v>
      </c>
      <c r="F13" s="10" t="e">
        <f t="shared" si="2"/>
        <v>#REF!</v>
      </c>
      <c r="H13" s="25">
        <f t="shared" si="3"/>
        <v>40087</v>
      </c>
      <c r="I13" s="49">
        <v>1.9759999999999999E-3</v>
      </c>
      <c r="J13" s="26">
        <f t="shared" si="4"/>
        <v>40118</v>
      </c>
      <c r="K13" s="51">
        <v>810898902</v>
      </c>
      <c r="L13" s="27">
        <f t="shared" si="5"/>
        <v>1602336.2303519999</v>
      </c>
      <c r="M13" s="28">
        <f t="shared" si="6"/>
        <v>-0.23035199986770749</v>
      </c>
    </row>
    <row r="14" spans="1:13" x14ac:dyDescent="0.2">
      <c r="B14" s="7">
        <f t="shared" si="1"/>
        <v>40179</v>
      </c>
      <c r="C14" s="8">
        <v>1982913</v>
      </c>
      <c r="D14" s="7">
        <f t="shared" si="0"/>
        <v>40148</v>
      </c>
      <c r="E14" s="8" t="e">
        <f>'Att(1of6)(JP-Non)'!#REF!+'Att(1of6)(JP-Non)'!F19+'Att(1of6)(JP-Non)'!#REF!+'Att(4of6)(JP-Dedicated)'!#REF!+'Att(4of6)(JP-Dedicated)'!F17</f>
        <v>#REF!</v>
      </c>
      <c r="F14" s="10" t="e">
        <f t="shared" si="2"/>
        <v>#REF!</v>
      </c>
      <c r="H14" s="25">
        <f t="shared" si="3"/>
        <v>40118</v>
      </c>
      <c r="I14" s="49">
        <v>2.173E-3</v>
      </c>
      <c r="J14" s="26">
        <f t="shared" si="4"/>
        <v>40148</v>
      </c>
      <c r="K14" s="51">
        <v>912523308</v>
      </c>
      <c r="L14" s="27">
        <f t="shared" si="5"/>
        <v>1982913.1482840001</v>
      </c>
      <c r="M14" s="28">
        <f t="shared" si="6"/>
        <v>-0.14828400011174381</v>
      </c>
    </row>
    <row r="15" spans="1:13" x14ac:dyDescent="0.2">
      <c r="B15" s="7">
        <f t="shared" si="1"/>
        <v>40210</v>
      </c>
      <c r="C15" s="8">
        <v>1869532</v>
      </c>
      <c r="D15" s="7">
        <f t="shared" si="0"/>
        <v>40179</v>
      </c>
      <c r="E15" s="8" t="e">
        <f>'Att(1of6)(JP-Non)'!#REF!+'Att(1of6)(JP-Non)'!F20+'Att(1of6)(JP-Non)'!#REF!+'Att(4of6)(JP-Dedicated)'!#REF!+'Att(4of6)(JP-Dedicated)'!F18</f>
        <v>#REF!</v>
      </c>
      <c r="F15" s="10" t="e">
        <f>ROUND(C15-E15,0.2)</f>
        <v>#REF!</v>
      </c>
      <c r="H15" s="25">
        <f t="shared" si="3"/>
        <v>40148</v>
      </c>
      <c r="I15" s="49">
        <v>1.9719999999999998E-3</v>
      </c>
      <c r="J15" s="26">
        <f t="shared" si="4"/>
        <v>40179</v>
      </c>
      <c r="K15" s="51">
        <v>948038699</v>
      </c>
      <c r="L15" s="27">
        <f t="shared" si="5"/>
        <v>1869532.3144279998</v>
      </c>
      <c r="M15" s="28">
        <f t="shared" si="6"/>
        <v>-0.31442799977958202</v>
      </c>
    </row>
    <row r="16" spans="1:13" x14ac:dyDescent="0.2">
      <c r="B16" s="7">
        <f t="shared" si="1"/>
        <v>40238</v>
      </c>
      <c r="C16" s="8">
        <v>1549277</v>
      </c>
      <c r="D16" s="7">
        <f t="shared" si="0"/>
        <v>40210</v>
      </c>
      <c r="E16" s="8" t="e">
        <f>'Att(1of6)(JP-Non)'!#REF!+'Att(1of6)(JP-Non)'!F21+'Att(1of6)(JP-Non)'!#REF!+'Att(4of6)(JP-Dedicated)'!#REF!+'Att(4of6)(JP-Dedicated)'!F19</f>
        <v>#REF!</v>
      </c>
      <c r="F16" s="10" t="e">
        <f t="shared" ref="F16:F32" si="7">ROUND(C16-E16,0.2)</f>
        <v>#REF!</v>
      </c>
      <c r="H16" s="25">
        <f>EDATE(B16,-2)</f>
        <v>40179</v>
      </c>
      <c r="I16" s="49">
        <v>1.8010000000000001E-3</v>
      </c>
      <c r="J16" s="26">
        <f>EDATE(B16,-1)</f>
        <v>40210</v>
      </c>
      <c r="K16" s="51">
        <v>860231564</v>
      </c>
      <c r="L16" s="27">
        <f>I16*K16</f>
        <v>1549277.0467640001</v>
      </c>
      <c r="M16" s="28">
        <f>C16-L16</f>
        <v>-4.6764000086113811E-2</v>
      </c>
    </row>
    <row r="17" spans="2:13" x14ac:dyDescent="0.2">
      <c r="B17" s="7">
        <f t="shared" si="1"/>
        <v>40269</v>
      </c>
      <c r="C17" s="8">
        <v>1816539</v>
      </c>
      <c r="D17" s="7">
        <f t="shared" si="0"/>
        <v>40238</v>
      </c>
      <c r="E17" s="8" t="e">
        <f>'Att(1of6)(JP-Non)'!#REF!+'Att(1of6)(JP-Non)'!F22+'Att(1of6)(JP-Non)'!#REF!+'Att(4of6)(JP-Dedicated)'!#REF!+'Att(4of6)(JP-Dedicated)'!F20</f>
        <v>#REF!</v>
      </c>
      <c r="F17" s="10" t="e">
        <f t="shared" si="7"/>
        <v>#REF!</v>
      </c>
      <c r="H17" s="25">
        <f>EDATE(B17,-2)</f>
        <v>40210</v>
      </c>
      <c r="I17" s="49">
        <v>2.0830000000000002E-3</v>
      </c>
      <c r="J17" s="26">
        <f>EDATE(B17,-1)</f>
        <v>40238</v>
      </c>
      <c r="K17" s="51">
        <v>872078048</v>
      </c>
      <c r="L17" s="27">
        <f>I17*K17</f>
        <v>1816538.5739840001</v>
      </c>
      <c r="M17" s="28">
        <f>C17-L17</f>
        <v>0.42601599986664951</v>
      </c>
    </row>
    <row r="18" spans="2:13" x14ac:dyDescent="0.2">
      <c r="B18" s="7">
        <f t="shared" si="1"/>
        <v>40299</v>
      </c>
      <c r="C18" s="8">
        <v>1874069</v>
      </c>
      <c r="D18" s="7">
        <f t="shared" si="0"/>
        <v>40269</v>
      </c>
      <c r="E18" s="8" t="e">
        <f>'Att(1of6)(JP-Non)'!#REF!+'Att(1of6)(JP-Non)'!F23+'Att(1of6)(JP-Non)'!#REF!+'Att(4of6)(JP-Dedicated)'!#REF!+'Att(4of6)(JP-Dedicated)'!F21</f>
        <v>#REF!</v>
      </c>
      <c r="F18" s="10" t="e">
        <f t="shared" si="7"/>
        <v>#REF!</v>
      </c>
      <c r="H18" s="25">
        <f t="shared" ref="H18:H32" si="8">EDATE(B18,-2)</f>
        <v>40238</v>
      </c>
      <c r="I18" s="49">
        <v>2.333E-3</v>
      </c>
      <c r="J18" s="26">
        <f t="shared" ref="J18:J32" si="9">EDATE(B18,-1)</f>
        <v>40269</v>
      </c>
      <c r="K18" s="51">
        <v>803287177</v>
      </c>
      <c r="L18" s="27">
        <f t="shared" ref="L18:L32" si="10">I18*K18</f>
        <v>1874068.983941</v>
      </c>
      <c r="M18" s="28">
        <f t="shared" ref="M18:M32" si="11">C18-L18</f>
        <v>1.6059000045061111E-2</v>
      </c>
    </row>
    <row r="19" spans="2:13" x14ac:dyDescent="0.2">
      <c r="B19" s="7">
        <f t="shared" si="1"/>
        <v>40330</v>
      </c>
      <c r="C19" s="8">
        <v>1888768</v>
      </c>
      <c r="D19" s="7">
        <f>EDATE(B19,-1)</f>
        <v>40299</v>
      </c>
      <c r="E19" s="8" t="e">
        <f>'Att(1of6)(JP-Non)'!#REF!+'Att(1of6)(JP-Non)'!F24+'Att(1of6)(JP-Non)'!#REF!+'Att(4of6)(JP-Dedicated)'!#REF!+'Att(4of6)(JP-Dedicated)'!F22</f>
        <v>#REF!</v>
      </c>
      <c r="F19" s="10" t="e">
        <f t="shared" si="7"/>
        <v>#REF!</v>
      </c>
      <c r="H19" s="25">
        <f t="shared" si="8"/>
        <v>40269</v>
      </c>
      <c r="I19" s="49">
        <v>2.222E-3</v>
      </c>
      <c r="J19" s="26">
        <f t="shared" si="9"/>
        <v>40299</v>
      </c>
      <c r="K19" s="51">
        <v>850030579</v>
      </c>
      <c r="L19" s="27">
        <f t="shared" si="10"/>
        <v>1888767.9465379999</v>
      </c>
      <c r="M19" s="28">
        <f t="shared" si="11"/>
        <v>5.3462000098079443E-2</v>
      </c>
    </row>
    <row r="20" spans="2:13" x14ac:dyDescent="0.2">
      <c r="B20" s="7">
        <f t="shared" si="1"/>
        <v>40360</v>
      </c>
      <c r="C20" s="8">
        <v>2003088</v>
      </c>
      <c r="D20" s="7">
        <f t="shared" ref="D20:D32" si="12">EDATE(B20,-1)</f>
        <v>40330</v>
      </c>
      <c r="E20" s="8" t="e">
        <f>'Att(1of6)(JP-Non)'!#REF!+'Att(1of6)(JP-Non)'!F25+'Att(1of6)(JP-Non)'!#REF!+'Att(4of6)(JP-Dedicated)'!#REF!+'Att(4of6)(JP-Dedicated)'!F23</f>
        <v>#REF!</v>
      </c>
      <c r="F20" s="10" t="e">
        <f t="shared" si="7"/>
        <v>#REF!</v>
      </c>
      <c r="H20" s="25">
        <f t="shared" si="8"/>
        <v>40299</v>
      </c>
      <c r="I20" s="49">
        <v>2.2369999999999998E-3</v>
      </c>
      <c r="J20" s="26">
        <f t="shared" si="9"/>
        <v>40330</v>
      </c>
      <c r="K20" s="51">
        <v>895434778</v>
      </c>
      <c r="L20" s="27">
        <f t="shared" si="10"/>
        <v>2003087.5983859999</v>
      </c>
      <c r="M20" s="28">
        <f t="shared" si="11"/>
        <v>0.40161400008946657</v>
      </c>
    </row>
    <row r="21" spans="2:13" x14ac:dyDescent="0.2">
      <c r="B21" s="7">
        <f t="shared" si="1"/>
        <v>40391</v>
      </c>
      <c r="C21" s="8">
        <v>2264505</v>
      </c>
      <c r="D21" s="7">
        <f t="shared" si="12"/>
        <v>40360</v>
      </c>
      <c r="E21" s="8" t="e">
        <f>'Att(1of6)(JP-Non)'!#REF!+'Att(1of6)(JP-Non)'!F26+'Att(1of6)(JP-Non)'!#REF!+'Att(4of6)(JP-Dedicated)'!#REF!+'Att(4of6)(JP-Dedicated)'!F24</f>
        <v>#REF!</v>
      </c>
      <c r="F21" s="10" t="e">
        <f t="shared" si="7"/>
        <v>#REF!</v>
      </c>
      <c r="H21" s="25">
        <f t="shared" si="8"/>
        <v>40330</v>
      </c>
      <c r="I21" s="49">
        <v>2.4190000000000001E-3</v>
      </c>
      <c r="J21" s="26">
        <f t="shared" si="9"/>
        <v>40360</v>
      </c>
      <c r="K21" s="51">
        <v>936132880</v>
      </c>
      <c r="L21" s="27">
        <f t="shared" si="10"/>
        <v>2264505.4367200001</v>
      </c>
      <c r="M21" s="28">
        <f t="shared" si="11"/>
        <v>-0.43672000011429191</v>
      </c>
    </row>
    <row r="22" spans="2:13" x14ac:dyDescent="0.2">
      <c r="B22" s="7">
        <f t="shared" si="1"/>
        <v>40422</v>
      </c>
      <c r="C22" s="8">
        <v>2177520</v>
      </c>
      <c r="D22" s="7">
        <f t="shared" si="12"/>
        <v>40391</v>
      </c>
      <c r="E22" s="8" t="e">
        <f>'Att(1of6)(JP-Non)'!#REF!+'Att(1of6)(JP-Non)'!F27+'Att(1of6)(JP-Non)'!#REF!+'Att(4of6)(JP-Dedicated)'!#REF!+'Att(4of6)(JP-Dedicated)'!F25</f>
        <v>#REF!</v>
      </c>
      <c r="F22" s="10" t="e">
        <f t="shared" si="7"/>
        <v>#REF!</v>
      </c>
      <c r="H22" s="25">
        <f t="shared" si="8"/>
        <v>40360</v>
      </c>
      <c r="I22" s="49">
        <v>2.3E-3</v>
      </c>
      <c r="J22" s="26">
        <f t="shared" si="9"/>
        <v>40391</v>
      </c>
      <c r="K22" s="51">
        <v>946747828</v>
      </c>
      <c r="L22" s="27">
        <f t="shared" si="10"/>
        <v>2177520.0044</v>
      </c>
      <c r="M22" s="28">
        <f t="shared" si="11"/>
        <v>-4.3999999761581421E-3</v>
      </c>
    </row>
    <row r="23" spans="2:13" x14ac:dyDescent="0.2">
      <c r="B23" s="7">
        <f t="shared" si="1"/>
        <v>40452</v>
      </c>
      <c r="C23" s="8">
        <v>1876541</v>
      </c>
      <c r="D23" s="7">
        <f t="shared" si="12"/>
        <v>40422</v>
      </c>
      <c r="E23" s="8" t="e">
        <f>'Att(1of6)(JP-Non)'!#REF!+'Att(1of6)(JP-Non)'!F28+'Att(1of6)(JP-Non)'!#REF!+'Att(4of6)(JP-Dedicated)'!#REF!+'Att(4of6)(JP-Dedicated)'!F26</f>
        <v>#REF!</v>
      </c>
      <c r="F23" s="10" t="e">
        <f t="shared" si="7"/>
        <v>#REF!</v>
      </c>
      <c r="H23" s="25">
        <f t="shared" si="8"/>
        <v>40391</v>
      </c>
      <c r="I23" s="49">
        <v>2.2369999999999998E-3</v>
      </c>
      <c r="J23" s="26">
        <f t="shared" si="9"/>
        <v>40422</v>
      </c>
      <c r="K23" s="51">
        <v>838864886</v>
      </c>
      <c r="L23" s="27">
        <f t="shared" si="10"/>
        <v>1876540.7499819999</v>
      </c>
      <c r="M23" s="28">
        <f t="shared" si="11"/>
        <v>0.25001800013706088</v>
      </c>
    </row>
    <row r="24" spans="2:13" x14ac:dyDescent="0.2">
      <c r="B24" s="7">
        <f t="shared" si="1"/>
        <v>40483</v>
      </c>
      <c r="C24" s="8">
        <v>1929144</v>
      </c>
      <c r="D24" s="7">
        <f t="shared" si="12"/>
        <v>40452</v>
      </c>
      <c r="E24" s="8" t="e">
        <f>'Att(1of6)(JP-Non)'!#REF!+'Att(1of6)(JP-Non)'!F29+'Att(1of6)(JP-Non)'!#REF!+'Att(4of6)(JP-Dedicated)'!#REF!+'Att(4of6)(JP-Dedicated)'!F27</f>
        <v>#REF!</v>
      </c>
      <c r="F24" s="10" t="e">
        <f t="shared" si="7"/>
        <v>#REF!</v>
      </c>
      <c r="H24" s="25">
        <f t="shared" si="8"/>
        <v>40422</v>
      </c>
      <c r="I24" s="49">
        <v>2.3609999999999998E-3</v>
      </c>
      <c r="J24" s="26">
        <f t="shared" si="9"/>
        <v>40452</v>
      </c>
      <c r="K24" s="51">
        <v>817087685</v>
      </c>
      <c r="L24" s="27">
        <f t="shared" si="10"/>
        <v>1929144.0242849998</v>
      </c>
      <c r="M24" s="28">
        <f t="shared" si="11"/>
        <v>-2.4284999817609787E-2</v>
      </c>
    </row>
    <row r="25" spans="2:13" x14ac:dyDescent="0.2">
      <c r="B25" s="7">
        <f t="shared" si="1"/>
        <v>40513</v>
      </c>
      <c r="C25" s="8">
        <v>2289180</v>
      </c>
      <c r="D25" s="7">
        <f t="shared" si="12"/>
        <v>40483</v>
      </c>
      <c r="E25" s="8" t="e">
        <f>'Att(1of6)(JP-Non)'!#REF!+'Att(1of6)(JP-Non)'!F30+'Att(1of6)(JP-Non)'!#REF!+'Att(4of6)(JP-Dedicated)'!#REF!+'Att(4of6)(JP-Dedicated)'!F28</f>
        <v>#REF!</v>
      </c>
      <c r="F25" s="10" t="e">
        <f t="shared" si="7"/>
        <v>#REF!</v>
      </c>
      <c r="H25" s="25">
        <f t="shared" si="8"/>
        <v>40452</v>
      </c>
      <c r="I25" s="49">
        <v>2.777E-3</v>
      </c>
      <c r="J25" s="26">
        <f t="shared" si="9"/>
        <v>40483</v>
      </c>
      <c r="K25" s="51">
        <v>824335603</v>
      </c>
      <c r="L25" s="27">
        <f t="shared" si="10"/>
        <v>2289179.9695310001</v>
      </c>
      <c r="M25" s="28">
        <f t="shared" si="11"/>
        <v>3.0468999873846769E-2</v>
      </c>
    </row>
    <row r="26" spans="2:13" x14ac:dyDescent="0.2">
      <c r="B26" s="7">
        <f t="shared" si="1"/>
        <v>40544</v>
      </c>
      <c r="C26" s="8">
        <v>2205567</v>
      </c>
      <c r="D26" s="7">
        <f t="shared" si="12"/>
        <v>40513</v>
      </c>
      <c r="E26" s="8" t="e">
        <f>'Att(1of6)(JP-Non)'!#REF!+'Att(1of6)(JP-Non)'!F31+'Att(1of6)(JP-Non)'!#REF!+'Att(4of6)(JP-Dedicated)'!#REF!+'Att(4of6)(JP-Dedicated)'!F29</f>
        <v>#REF!</v>
      </c>
      <c r="F26" s="10" t="e">
        <f t="shared" si="7"/>
        <v>#REF!</v>
      </c>
      <c r="H26" s="25">
        <f t="shared" si="8"/>
        <v>40483</v>
      </c>
      <c r="I26" s="49">
        <v>2.3280000000000002E-3</v>
      </c>
      <c r="J26" s="26">
        <f t="shared" si="9"/>
        <v>40513</v>
      </c>
      <c r="K26" s="51">
        <v>947408384</v>
      </c>
      <c r="L26" s="27">
        <f t="shared" si="10"/>
        <v>2205566.717952</v>
      </c>
      <c r="M26" s="28">
        <f t="shared" si="11"/>
        <v>0.28204800002276897</v>
      </c>
    </row>
    <row r="27" spans="2:13" x14ac:dyDescent="0.2">
      <c r="B27" s="7">
        <f t="shared" si="1"/>
        <v>40575</v>
      </c>
      <c r="C27" s="8">
        <v>1978729</v>
      </c>
      <c r="D27" s="7">
        <f t="shared" si="12"/>
        <v>40544</v>
      </c>
      <c r="E27" s="8" t="e">
        <f>'Att(1of6)(JP-Non)'!#REF!+'Att(1of6)(JP-Non)'!F32+'Att(1of6)(JP-Non)'!#REF!+'Att(4of6)(JP-Dedicated)'!#REF!+'Att(4of6)(JP-Dedicated)'!F30</f>
        <v>#REF!</v>
      </c>
      <c r="F27" s="10" t="e">
        <f t="shared" si="7"/>
        <v>#REF!</v>
      </c>
      <c r="H27" s="25">
        <f t="shared" si="8"/>
        <v>40513</v>
      </c>
      <c r="I27" s="49">
        <v>2.0569999999999998E-3</v>
      </c>
      <c r="J27" s="26">
        <f t="shared" si="9"/>
        <v>40544</v>
      </c>
      <c r="K27" s="51">
        <v>961948971</v>
      </c>
      <c r="L27" s="27">
        <f t="shared" si="10"/>
        <v>1978729.0333469999</v>
      </c>
      <c r="M27" s="28">
        <f t="shared" si="11"/>
        <v>-3.3346999902278185E-2</v>
      </c>
    </row>
    <row r="28" spans="2:13" x14ac:dyDescent="0.2">
      <c r="B28" s="7">
        <f t="shared" si="1"/>
        <v>40603</v>
      </c>
      <c r="C28" s="8">
        <v>1542279</v>
      </c>
      <c r="D28" s="7">
        <f t="shared" si="12"/>
        <v>40575</v>
      </c>
      <c r="E28" s="8" t="e">
        <f>'Att(1of6)(JP-Non)'!#REF!+'Att(1of6)(JP-Non)'!F33+'Att(1of6)(JP-Non)'!#REF!+'Att(4of6)(JP-Dedicated)'!#REF!+'Att(4of6)(JP-Dedicated)'!F31</f>
        <v>#REF!</v>
      </c>
      <c r="F28" s="10" t="e">
        <f t="shared" si="7"/>
        <v>#REF!</v>
      </c>
      <c r="H28" s="25">
        <f t="shared" si="8"/>
        <v>40544</v>
      </c>
      <c r="I28" s="49">
        <v>1.903E-3</v>
      </c>
      <c r="J28" s="26">
        <f t="shared" si="9"/>
        <v>40575</v>
      </c>
      <c r="K28" s="51">
        <v>810446264</v>
      </c>
      <c r="L28" s="27">
        <f t="shared" si="10"/>
        <v>1542279.2403919999</v>
      </c>
      <c r="M28" s="28">
        <f t="shared" si="11"/>
        <v>-0.24039199994876981</v>
      </c>
    </row>
    <row r="29" spans="2:13" x14ac:dyDescent="0.2">
      <c r="B29" s="7">
        <f t="shared" si="1"/>
        <v>40634</v>
      </c>
      <c r="C29" s="8">
        <v>1772372</v>
      </c>
      <c r="D29" s="7">
        <f t="shared" si="12"/>
        <v>40603</v>
      </c>
      <c r="E29" s="8" t="e">
        <f>'Att(1of6)(JP-Non)'!#REF!+'Att(1of6)(JP-Non)'!F34+'Att(1of6)(JP-Non)'!#REF!+'Att(4of6)(JP-Dedicated)'!#REF!+'Att(4of6)(JP-Dedicated)'!F32</f>
        <v>#REF!</v>
      </c>
      <c r="F29" s="10" t="e">
        <f t="shared" si="7"/>
        <v>#REF!</v>
      </c>
      <c r="H29" s="25">
        <f t="shared" si="8"/>
        <v>40575</v>
      </c>
      <c r="I29" s="49">
        <v>2.016E-3</v>
      </c>
      <c r="J29" s="26">
        <f t="shared" si="9"/>
        <v>40603</v>
      </c>
      <c r="K29" s="51">
        <v>879152796</v>
      </c>
      <c r="L29" s="27">
        <f t="shared" si="10"/>
        <v>1772372.0367360001</v>
      </c>
      <c r="M29" s="28">
        <f t="shared" si="11"/>
        <v>-3.6736000096425414E-2</v>
      </c>
    </row>
    <row r="30" spans="2:13" x14ac:dyDescent="0.2">
      <c r="B30" s="48">
        <f t="shared" si="1"/>
        <v>40664</v>
      </c>
      <c r="C30" s="8">
        <v>1938194</v>
      </c>
      <c r="D30" s="7">
        <f t="shared" si="12"/>
        <v>40634</v>
      </c>
      <c r="E30" s="8" t="e">
        <f>'Att(1of6)(JP-Non)'!#REF!+'Att(1of6)(JP-Non)'!F35+'Att(1of6)(JP-Non)'!#REF!+'Att(4of6)(JP-Dedicated)'!#REF!+'Att(4of6)(JP-Dedicated)'!F33</f>
        <v>#REF!</v>
      </c>
      <c r="F30" s="10" t="e">
        <f t="shared" si="7"/>
        <v>#REF!</v>
      </c>
      <c r="H30" s="25">
        <f t="shared" si="8"/>
        <v>40603</v>
      </c>
      <c r="I30" s="49">
        <v>2.369E-3</v>
      </c>
      <c r="J30" s="26">
        <f t="shared" si="9"/>
        <v>40634</v>
      </c>
      <c r="K30" s="51">
        <v>820604367</v>
      </c>
      <c r="L30" s="27">
        <f t="shared" si="10"/>
        <v>1944011.7454230001</v>
      </c>
      <c r="M30" s="28">
        <f t="shared" si="11"/>
        <v>-5817.7454230000731</v>
      </c>
    </row>
    <row r="31" spans="2:13" x14ac:dyDescent="0.2">
      <c r="B31" s="48">
        <f t="shared" si="1"/>
        <v>40695</v>
      </c>
      <c r="C31" s="8">
        <v>1514602</v>
      </c>
      <c r="D31" s="7">
        <f t="shared" si="12"/>
        <v>40664</v>
      </c>
      <c r="E31" s="8" t="e">
        <f>'Att(1of6)(JP-Non)'!#REF!+'Att(1of6)(JP-Non)'!F36+'Att(1of6)(JP-Non)'!#REF!+'Att(4of6)(JP-Dedicated)'!#REF!+'Att(4of6)(JP-Dedicated)'!F34</f>
        <v>#REF!</v>
      </c>
      <c r="F31" s="10" t="e">
        <f t="shared" si="7"/>
        <v>#REF!</v>
      </c>
      <c r="H31" s="25">
        <f t="shared" si="8"/>
        <v>40634</v>
      </c>
      <c r="I31" s="49">
        <v>1.748E-3</v>
      </c>
      <c r="J31" s="26">
        <f t="shared" si="9"/>
        <v>40664</v>
      </c>
      <c r="K31" s="51">
        <v>864021595</v>
      </c>
      <c r="L31" s="27">
        <f t="shared" si="10"/>
        <v>1510309.7480599999</v>
      </c>
      <c r="M31" s="28">
        <f t="shared" si="11"/>
        <v>4292.2519400001038</v>
      </c>
    </row>
    <row r="32" spans="2:13" x14ac:dyDescent="0.2">
      <c r="B32" s="7">
        <f t="shared" si="1"/>
        <v>40725</v>
      </c>
      <c r="C32" s="8">
        <v>2012880</v>
      </c>
      <c r="D32" s="7">
        <f t="shared" si="12"/>
        <v>40695</v>
      </c>
      <c r="E32" s="8" t="e">
        <f>'Att(1of6)(JP-Non)'!#REF!+'Att(1of6)(JP-Non)'!F37+'Att(1of6)(JP-Non)'!#REF!+'Att(4of6)(JP-Dedicated)'!#REF!+'Att(4of6)(JP-Dedicated)'!F35</f>
        <v>#REF!</v>
      </c>
      <c r="F32" s="10" t="e">
        <f t="shared" si="7"/>
        <v>#REF!</v>
      </c>
      <c r="H32" s="25">
        <f t="shared" si="8"/>
        <v>40664</v>
      </c>
      <c r="I32" s="49">
        <v>2.284E-3</v>
      </c>
      <c r="J32" s="26">
        <f t="shared" si="9"/>
        <v>40695</v>
      </c>
      <c r="K32" s="51">
        <v>881295826</v>
      </c>
      <c r="L32" s="27">
        <f t="shared" si="10"/>
        <v>2012879.666584</v>
      </c>
      <c r="M32" s="28">
        <f t="shared" si="11"/>
        <v>0.33341600000858307</v>
      </c>
    </row>
    <row r="33" spans="1:13" x14ac:dyDescent="0.2">
      <c r="B33" s="7">
        <f t="shared" si="1"/>
        <v>40756</v>
      </c>
      <c r="C33" s="8">
        <v>2016983</v>
      </c>
      <c r="D33" s="7">
        <f>EDATE(B33,-1)</f>
        <v>40725</v>
      </c>
      <c r="E33" s="8" t="e">
        <f>'Att(1of6)(JP-Non)'!#REF!+'Att(1of6)(JP-Non)'!F38+'Att(1of6)(JP-Non)'!#REF!+'Att(4of6)(JP-Dedicated)'!#REF!+'Att(4of6)(JP-Dedicated)'!F36</f>
        <v>#REF!</v>
      </c>
      <c r="F33" s="10" t="e">
        <f>ROUND(C33-E33,0.2)</f>
        <v>#REF!</v>
      </c>
      <c r="H33" s="25">
        <f>EDATE(B33,-2)</f>
        <v>40695</v>
      </c>
      <c r="I33" s="49">
        <v>2.1090000000000002E-3</v>
      </c>
      <c r="J33" s="26">
        <f>EDATE(B33,-1)</f>
        <v>40725</v>
      </c>
      <c r="K33" s="51">
        <v>956369264</v>
      </c>
      <c r="L33" s="27">
        <f>I33*K33</f>
        <v>2016982.7777760001</v>
      </c>
      <c r="M33" s="28">
        <f>C33-L33</f>
        <v>0.22222399991005659</v>
      </c>
    </row>
    <row r="34" spans="1:13" x14ac:dyDescent="0.2">
      <c r="B34" s="7">
        <f t="shared" si="1"/>
        <v>40787</v>
      </c>
      <c r="C34" s="8">
        <v>2037757</v>
      </c>
      <c r="D34" s="7">
        <f>EDATE(B34,-1)</f>
        <v>40756</v>
      </c>
      <c r="E34" s="8" t="e">
        <f>'Att(1of6)(JP-Non)'!#REF!+'Att(1of6)(JP-Non)'!F39+'Att(1of6)(JP-Non)'!#REF!+'Att(4of6)(JP-Dedicated)'!#REF!+'Att(4of6)(JP-Dedicated)'!F37</f>
        <v>#REF!</v>
      </c>
      <c r="F34" s="10" t="e">
        <f>ROUND(C34-E34,0.2)</f>
        <v>#REF!</v>
      </c>
      <c r="H34" s="25">
        <f>EDATE(B34,-2)</f>
        <v>40725</v>
      </c>
      <c r="I34" s="49">
        <v>2.2009999999999998E-3</v>
      </c>
      <c r="J34" s="26">
        <f>EDATE(B34,-1)</f>
        <v>40756</v>
      </c>
      <c r="K34" s="51">
        <v>925832222</v>
      </c>
      <c r="L34" s="27">
        <f>I34*K34</f>
        <v>2037756.7206219998</v>
      </c>
      <c r="M34" s="28">
        <f>C34-L34</f>
        <v>0.27937800018116832</v>
      </c>
    </row>
    <row r="35" spans="1:13" x14ac:dyDescent="0.2">
      <c r="B35" s="7">
        <f t="shared" si="1"/>
        <v>40817</v>
      </c>
      <c r="C35" s="8">
        <v>1610557</v>
      </c>
      <c r="D35" s="7">
        <f>EDATE(B35,-1)</f>
        <v>40787</v>
      </c>
      <c r="E35" s="8" t="e">
        <f>'Att(1of6)(JP-Non)'!#REF!+'Att(1of6)(JP-Non)'!F40+'Att(1of6)(JP-Non)'!#REF!+'Att(4of6)(JP-Dedicated)'!#REF!+'Att(4of6)(JP-Dedicated)'!F38</f>
        <v>#REF!</v>
      </c>
      <c r="F35" s="10" t="e">
        <f>ROUND(C35-E35,0.2)</f>
        <v>#REF!</v>
      </c>
      <c r="H35" s="25">
        <f>EDATE(B35,-2)</f>
        <v>40756</v>
      </c>
      <c r="I35" s="49">
        <v>1.9239999999999999E-3</v>
      </c>
      <c r="J35" s="26">
        <f>EDATE(B35,-1)</f>
        <v>40787</v>
      </c>
      <c r="K35" s="51">
        <v>837087680</v>
      </c>
      <c r="L35" s="27">
        <f>I35*K35</f>
        <v>1610556.6963199999</v>
      </c>
      <c r="M35" s="28">
        <f>C35-L35</f>
        <v>0.30368000012822449</v>
      </c>
    </row>
    <row r="36" spans="1:13" x14ac:dyDescent="0.2">
      <c r="B36" s="7">
        <f t="shared" si="1"/>
        <v>40848</v>
      </c>
      <c r="C36" s="8">
        <v>2078006</v>
      </c>
      <c r="D36" s="7">
        <f>EDATE(B36,-1)</f>
        <v>40817</v>
      </c>
      <c r="E36" s="8" t="e">
        <f>'Att(1of6)(JP-Non)'!#REF!+'Att(1of6)(JP-Non)'!F41+'Att(1of6)(JP-Non)'!#REF!+'Att(4of6)(JP-Dedicated)'!#REF!+'Att(4of6)(JP-Dedicated)'!F39</f>
        <v>#REF!</v>
      </c>
      <c r="F36" s="10" t="e">
        <f>ROUND(C36-E36,0.2)</f>
        <v>#REF!</v>
      </c>
      <c r="H36" s="29">
        <f>EDATE(B36,-2)</f>
        <v>40787</v>
      </c>
      <c r="I36" s="50">
        <v>2.4229999999999998E-3</v>
      </c>
      <c r="J36" s="30">
        <f>EDATE(B36,-1)</f>
        <v>40817</v>
      </c>
      <c r="K36" s="52">
        <v>857617102</v>
      </c>
      <c r="L36" s="31">
        <f>I36*K36</f>
        <v>2078006.2381459998</v>
      </c>
      <c r="M36" s="32">
        <f>C36-L36</f>
        <v>-0.23814599984325469</v>
      </c>
    </row>
    <row r="37" spans="1:13" x14ac:dyDescent="0.2">
      <c r="B37" s="5"/>
      <c r="D37" s="5"/>
    </row>
    <row r="38" spans="1:13" x14ac:dyDescent="0.2">
      <c r="A38" s="45" t="s">
        <v>27</v>
      </c>
      <c r="B38" s="15" t="s">
        <v>17</v>
      </c>
      <c r="D38" s="5"/>
    </row>
    <row r="39" spans="1:13" x14ac:dyDescent="0.2">
      <c r="A39" s="45" t="s">
        <v>26</v>
      </c>
      <c r="B39" s="15" t="s">
        <v>28</v>
      </c>
      <c r="D39" s="5"/>
    </row>
    <row r="40" spans="1:13" x14ac:dyDescent="0.2">
      <c r="B40" s="5"/>
      <c r="D40" s="5"/>
    </row>
    <row r="41" spans="1:13" x14ac:dyDescent="0.2">
      <c r="B41" s="5"/>
      <c r="D41" s="5"/>
    </row>
    <row r="42" spans="1:13" x14ac:dyDescent="0.2">
      <c r="B42" s="5"/>
      <c r="D42" s="5"/>
    </row>
    <row r="43" spans="1:13" x14ac:dyDescent="0.2">
      <c r="B43" s="5"/>
      <c r="D43" s="5"/>
    </row>
    <row r="44" spans="1:13" x14ac:dyDescent="0.2">
      <c r="B44" s="5"/>
      <c r="D44" s="5"/>
    </row>
    <row r="45" spans="1:13" x14ac:dyDescent="0.2">
      <c r="B45" s="5"/>
      <c r="D45" s="5"/>
    </row>
    <row r="46" spans="1:13" x14ac:dyDescent="0.2">
      <c r="B46" s="5"/>
      <c r="D46" s="5"/>
    </row>
    <row r="47" spans="1:13" x14ac:dyDescent="0.2">
      <c r="B47" s="5"/>
      <c r="D47" s="5"/>
    </row>
    <row r="48" spans="1:13" x14ac:dyDescent="0.2">
      <c r="B48" s="5"/>
      <c r="D48" s="5"/>
    </row>
    <row r="49" spans="2:4" x14ac:dyDescent="0.2">
      <c r="B49" s="5"/>
      <c r="D49" s="5"/>
    </row>
    <row r="50" spans="2:4" x14ac:dyDescent="0.2">
      <c r="B50" s="5"/>
      <c r="D50" s="5"/>
    </row>
    <row r="51" spans="2:4" x14ac:dyDescent="0.2">
      <c r="B51" s="5"/>
      <c r="D51" s="5"/>
    </row>
    <row r="52" spans="2:4" x14ac:dyDescent="0.2">
      <c r="B52" s="5"/>
      <c r="D52" s="5"/>
    </row>
    <row r="53" spans="2:4" x14ac:dyDescent="0.2">
      <c r="B53" s="5"/>
      <c r="D53" s="5"/>
    </row>
    <row r="54" spans="2:4" x14ac:dyDescent="0.2">
      <c r="B54" s="5"/>
      <c r="D54" s="5"/>
    </row>
    <row r="55" spans="2:4" x14ac:dyDescent="0.2">
      <c r="B55" s="5"/>
      <c r="D55" s="5"/>
    </row>
    <row r="56" spans="2:4" x14ac:dyDescent="0.2">
      <c r="B56" s="5"/>
      <c r="D56" s="5"/>
    </row>
    <row r="57" spans="2:4" x14ac:dyDescent="0.2">
      <c r="B57" s="5"/>
      <c r="D57" s="5"/>
    </row>
    <row r="58" spans="2:4" x14ac:dyDescent="0.2">
      <c r="B58" s="5"/>
      <c r="D58" s="5"/>
    </row>
    <row r="59" spans="2:4" x14ac:dyDescent="0.2">
      <c r="B59" s="5"/>
      <c r="D59" s="5"/>
    </row>
    <row r="60" spans="2:4" x14ac:dyDescent="0.2">
      <c r="B60" s="5"/>
      <c r="D60" s="5"/>
    </row>
    <row r="61" spans="2:4" x14ac:dyDescent="0.2">
      <c r="B61" s="5"/>
      <c r="D61" s="5"/>
    </row>
    <row r="62" spans="2:4" x14ac:dyDescent="0.2">
      <c r="B62" s="5"/>
      <c r="D62" s="5"/>
    </row>
    <row r="63" spans="2:4" x14ac:dyDescent="0.2">
      <c r="B63" s="5"/>
      <c r="D63" s="5"/>
    </row>
    <row r="64" spans="2:4" x14ac:dyDescent="0.2">
      <c r="B64" s="5"/>
      <c r="D64" s="5"/>
    </row>
    <row r="65" spans="2:4" x14ac:dyDescent="0.2">
      <c r="B65" s="5"/>
      <c r="D65" s="5"/>
    </row>
    <row r="66" spans="2:4" x14ac:dyDescent="0.2">
      <c r="B66" s="5"/>
      <c r="D66" s="5"/>
    </row>
    <row r="67" spans="2:4" x14ac:dyDescent="0.2">
      <c r="B67" s="5"/>
      <c r="D67" s="5"/>
    </row>
    <row r="68" spans="2:4" x14ac:dyDescent="0.2">
      <c r="B68" s="5"/>
      <c r="D68" s="5"/>
    </row>
    <row r="69" spans="2:4" x14ac:dyDescent="0.2">
      <c r="B69" s="5"/>
      <c r="D69" s="5"/>
    </row>
    <row r="70" spans="2:4" x14ac:dyDescent="0.2">
      <c r="B70" s="5"/>
      <c r="D70" s="5"/>
    </row>
    <row r="71" spans="2:4" x14ac:dyDescent="0.2">
      <c r="B71" s="5"/>
      <c r="D71" s="5"/>
    </row>
    <row r="72" spans="2:4" x14ac:dyDescent="0.2">
      <c r="B72" s="5"/>
      <c r="D72" s="5"/>
    </row>
    <row r="73" spans="2:4" x14ac:dyDescent="0.2">
      <c r="B73" s="5"/>
      <c r="D73" s="5"/>
    </row>
    <row r="74" spans="2:4" x14ac:dyDescent="0.2">
      <c r="B74" s="5"/>
      <c r="D74" s="5"/>
    </row>
    <row r="75" spans="2:4" x14ac:dyDescent="0.2">
      <c r="B75" s="5"/>
      <c r="D75" s="5"/>
    </row>
    <row r="76" spans="2:4" x14ac:dyDescent="0.2">
      <c r="B76" s="5"/>
      <c r="D76" s="5"/>
    </row>
    <row r="77" spans="2:4" x14ac:dyDescent="0.2">
      <c r="B77" s="5"/>
      <c r="D77" s="5"/>
    </row>
    <row r="78" spans="2:4" x14ac:dyDescent="0.2">
      <c r="B78" s="5"/>
      <c r="D78" s="5"/>
    </row>
    <row r="79" spans="2:4" x14ac:dyDescent="0.2">
      <c r="B79" s="5"/>
      <c r="D79" s="5"/>
    </row>
    <row r="80" spans="2:4" x14ac:dyDescent="0.2">
      <c r="B80" s="5"/>
      <c r="D80" s="5"/>
    </row>
    <row r="81" spans="2:4" x14ac:dyDescent="0.2">
      <c r="B81" s="5"/>
      <c r="D81" s="5"/>
    </row>
    <row r="82" spans="2:4" x14ac:dyDescent="0.2">
      <c r="B82" s="5"/>
      <c r="D82" s="5"/>
    </row>
    <row r="83" spans="2:4" x14ac:dyDescent="0.2">
      <c r="B83" s="5"/>
      <c r="D83" s="5"/>
    </row>
    <row r="84" spans="2:4" x14ac:dyDescent="0.2">
      <c r="B84" s="5"/>
      <c r="D84" s="5"/>
    </row>
    <row r="85" spans="2:4" x14ac:dyDescent="0.2">
      <c r="B85" s="5"/>
      <c r="D85" s="5"/>
    </row>
    <row r="86" spans="2:4" x14ac:dyDescent="0.2">
      <c r="B86" s="5"/>
      <c r="D86" s="5"/>
    </row>
    <row r="87" spans="2:4" x14ac:dyDescent="0.2">
      <c r="B87" s="5"/>
      <c r="D87" s="5"/>
    </row>
    <row r="88" spans="2:4" x14ac:dyDescent="0.2">
      <c r="B88" s="5"/>
      <c r="D88" s="5"/>
    </row>
    <row r="89" spans="2:4" x14ac:dyDescent="0.2">
      <c r="B89" s="5"/>
      <c r="D89" s="5"/>
    </row>
    <row r="90" spans="2:4" x14ac:dyDescent="0.2">
      <c r="B90" s="5"/>
      <c r="D90" s="5"/>
    </row>
    <row r="91" spans="2:4" x14ac:dyDescent="0.2">
      <c r="B91" s="5"/>
      <c r="D91" s="5"/>
    </row>
    <row r="92" spans="2:4" x14ac:dyDescent="0.2">
      <c r="B92" s="5"/>
      <c r="D92" s="5"/>
    </row>
    <row r="93" spans="2:4" x14ac:dyDescent="0.2">
      <c r="B93" s="5"/>
      <c r="D93" s="5"/>
    </row>
    <row r="94" spans="2:4" x14ac:dyDescent="0.2">
      <c r="B94" s="5"/>
      <c r="D94" s="5"/>
    </row>
    <row r="95" spans="2:4" x14ac:dyDescent="0.2">
      <c r="B95" s="5"/>
      <c r="D95" s="5"/>
    </row>
    <row r="96" spans="2:4" x14ac:dyDescent="0.2">
      <c r="B96" s="5"/>
      <c r="D96" s="5"/>
    </row>
    <row r="97" spans="2:4" x14ac:dyDescent="0.2">
      <c r="B97" s="5"/>
      <c r="D97" s="5"/>
    </row>
    <row r="98" spans="2:4" x14ac:dyDescent="0.2">
      <c r="B98" s="5"/>
      <c r="D98" s="5"/>
    </row>
    <row r="99" spans="2:4" x14ac:dyDescent="0.2">
      <c r="B99" s="5"/>
      <c r="D99" s="5"/>
    </row>
    <row r="100" spans="2:4" x14ac:dyDescent="0.2">
      <c r="B100" s="5"/>
      <c r="D100" s="5"/>
    </row>
    <row r="101" spans="2:4" x14ac:dyDescent="0.2">
      <c r="B101" s="5"/>
      <c r="D101" s="5"/>
    </row>
    <row r="102" spans="2:4" x14ac:dyDescent="0.2">
      <c r="B102" s="5"/>
      <c r="D102" s="5"/>
    </row>
    <row r="103" spans="2:4" x14ac:dyDescent="0.2">
      <c r="B103" s="5"/>
      <c r="D103" s="5"/>
    </row>
    <row r="104" spans="2:4" x14ac:dyDescent="0.2">
      <c r="B104" s="5"/>
      <c r="D104" s="5"/>
    </row>
    <row r="105" spans="2:4" x14ac:dyDescent="0.2">
      <c r="B105" s="5"/>
      <c r="D105" s="5"/>
    </row>
    <row r="106" spans="2:4" x14ac:dyDescent="0.2">
      <c r="B106" s="5"/>
      <c r="D106" s="5"/>
    </row>
    <row r="107" spans="2:4" x14ac:dyDescent="0.2">
      <c r="B107" s="5"/>
      <c r="D107" s="5"/>
    </row>
    <row r="108" spans="2:4" x14ac:dyDescent="0.2">
      <c r="B108" s="5"/>
      <c r="D108" s="5"/>
    </row>
    <row r="109" spans="2:4" x14ac:dyDescent="0.2">
      <c r="B109" s="5"/>
      <c r="D109" s="5"/>
    </row>
    <row r="110" spans="2:4" x14ac:dyDescent="0.2">
      <c r="B110" s="5"/>
      <c r="D110" s="5"/>
    </row>
    <row r="111" spans="2:4" x14ac:dyDescent="0.2">
      <c r="B111" s="5"/>
      <c r="D111" s="5"/>
    </row>
    <row r="112" spans="2:4" x14ac:dyDescent="0.2">
      <c r="B112" s="5"/>
      <c r="D112" s="5"/>
    </row>
    <row r="113" spans="2:4" x14ac:dyDescent="0.2">
      <c r="B113" s="5"/>
      <c r="D113" s="5"/>
    </row>
    <row r="114" spans="2:4" x14ac:dyDescent="0.2">
      <c r="B114" s="5"/>
      <c r="D114" s="5"/>
    </row>
    <row r="115" spans="2:4" x14ac:dyDescent="0.2">
      <c r="B115" s="5"/>
      <c r="D115" s="5"/>
    </row>
    <row r="116" spans="2:4" x14ac:dyDescent="0.2">
      <c r="B116" s="5"/>
      <c r="D116" s="5"/>
    </row>
    <row r="117" spans="2:4" x14ac:dyDescent="0.2">
      <c r="B117" s="5"/>
      <c r="D117" s="5"/>
    </row>
    <row r="118" spans="2:4" x14ac:dyDescent="0.2">
      <c r="B118" s="5"/>
      <c r="D118" s="5"/>
    </row>
    <row r="119" spans="2:4" x14ac:dyDescent="0.2">
      <c r="B119" s="5"/>
      <c r="D119" s="5"/>
    </row>
    <row r="120" spans="2:4" x14ac:dyDescent="0.2">
      <c r="B120" s="5"/>
      <c r="D120" s="5"/>
    </row>
    <row r="121" spans="2:4" x14ac:dyDescent="0.2">
      <c r="B121" s="5"/>
      <c r="D121" s="5"/>
    </row>
    <row r="122" spans="2:4" x14ac:dyDescent="0.2">
      <c r="B122" s="5"/>
      <c r="D122" s="5"/>
    </row>
    <row r="123" spans="2:4" x14ac:dyDescent="0.2">
      <c r="B123" s="5"/>
      <c r="D123" s="5"/>
    </row>
    <row r="124" spans="2:4" x14ac:dyDescent="0.2">
      <c r="B124" s="5"/>
      <c r="D124" s="5"/>
    </row>
    <row r="125" spans="2:4" x14ac:dyDescent="0.2">
      <c r="B125" s="5"/>
      <c r="D125" s="5"/>
    </row>
    <row r="126" spans="2:4" x14ac:dyDescent="0.2">
      <c r="B126" s="5"/>
      <c r="D126" s="5"/>
    </row>
    <row r="127" spans="2:4" x14ac:dyDescent="0.2">
      <c r="B127" s="5"/>
      <c r="D127" s="5"/>
    </row>
    <row r="128" spans="2:4" x14ac:dyDescent="0.2">
      <c r="B128" s="5"/>
      <c r="D128" s="5"/>
    </row>
    <row r="129" spans="2:4" x14ac:dyDescent="0.2">
      <c r="B129" s="5"/>
      <c r="D129" s="5"/>
    </row>
    <row r="130" spans="2:4" x14ac:dyDescent="0.2">
      <c r="B130" s="5"/>
      <c r="D130" s="5"/>
    </row>
    <row r="131" spans="2:4" x14ac:dyDescent="0.2">
      <c r="B131" s="5"/>
      <c r="D131" s="5"/>
    </row>
    <row r="132" spans="2:4" x14ac:dyDescent="0.2">
      <c r="B132" s="5"/>
      <c r="D132" s="5"/>
    </row>
    <row r="133" spans="2:4" x14ac:dyDescent="0.2">
      <c r="B133" s="5"/>
      <c r="D133" s="5"/>
    </row>
    <row r="134" spans="2:4" x14ac:dyDescent="0.2">
      <c r="B134" s="5"/>
      <c r="D134" s="5"/>
    </row>
    <row r="135" spans="2:4" x14ac:dyDescent="0.2">
      <c r="B135" s="5"/>
      <c r="D135" s="5"/>
    </row>
    <row r="136" spans="2:4" x14ac:dyDescent="0.2">
      <c r="B136" s="5"/>
      <c r="D136" s="5"/>
    </row>
    <row r="137" spans="2:4" x14ac:dyDescent="0.2">
      <c r="B137" s="5"/>
      <c r="D137" s="5"/>
    </row>
    <row r="138" spans="2:4" x14ac:dyDescent="0.2">
      <c r="B138" s="5"/>
      <c r="D138" s="5"/>
    </row>
    <row r="139" spans="2:4" x14ac:dyDescent="0.2">
      <c r="B139" s="5"/>
      <c r="D139" s="5"/>
    </row>
    <row r="140" spans="2:4" x14ac:dyDescent="0.2">
      <c r="B140" s="5"/>
      <c r="D140" s="5"/>
    </row>
    <row r="141" spans="2:4" x14ac:dyDescent="0.2">
      <c r="B141" s="5"/>
      <c r="D141" s="5"/>
    </row>
    <row r="142" spans="2:4" x14ac:dyDescent="0.2">
      <c r="B142" s="5"/>
      <c r="D142" s="5"/>
    </row>
    <row r="143" spans="2:4" x14ac:dyDescent="0.2">
      <c r="B143" s="5"/>
      <c r="D143" s="5"/>
    </row>
    <row r="144" spans="2:4" x14ac:dyDescent="0.2">
      <c r="B144" s="6"/>
      <c r="D144" s="6"/>
    </row>
    <row r="145" spans="2:4" x14ac:dyDescent="0.2">
      <c r="B145" s="6"/>
      <c r="D145" s="6"/>
    </row>
    <row r="146" spans="2:4" x14ac:dyDescent="0.2">
      <c r="B146" s="6"/>
      <c r="D146" s="6"/>
    </row>
    <row r="147" spans="2:4" x14ac:dyDescent="0.2">
      <c r="B147" s="6"/>
      <c r="D147" s="6"/>
    </row>
    <row r="148" spans="2:4" x14ac:dyDescent="0.2">
      <c r="B148" s="6"/>
      <c r="D148" s="6"/>
    </row>
    <row r="149" spans="2:4" x14ac:dyDescent="0.2">
      <c r="B149" s="6"/>
      <c r="D149" s="6"/>
    </row>
    <row r="150" spans="2:4" x14ac:dyDescent="0.2">
      <c r="B150" s="6"/>
      <c r="D150" s="6"/>
    </row>
    <row r="151" spans="2:4" x14ac:dyDescent="0.2">
      <c r="B151" s="6"/>
      <c r="D151" s="6"/>
    </row>
    <row r="152" spans="2:4" x14ac:dyDescent="0.2">
      <c r="B152" s="6"/>
      <c r="D152" s="6"/>
    </row>
    <row r="153" spans="2:4" x14ac:dyDescent="0.2">
      <c r="B153" s="6"/>
      <c r="D153" s="6"/>
    </row>
    <row r="154" spans="2:4" x14ac:dyDescent="0.2">
      <c r="B154" s="6"/>
      <c r="D154" s="6"/>
    </row>
    <row r="155" spans="2:4" x14ac:dyDescent="0.2">
      <c r="B155" s="6"/>
      <c r="D155" s="6"/>
    </row>
    <row r="156" spans="2:4" x14ac:dyDescent="0.2">
      <c r="B156" s="6"/>
      <c r="D156" s="6"/>
    </row>
    <row r="157" spans="2:4" x14ac:dyDescent="0.2">
      <c r="B157" s="6"/>
      <c r="D157" s="6"/>
    </row>
    <row r="158" spans="2:4" x14ac:dyDescent="0.2">
      <c r="B158" s="6"/>
      <c r="D158" s="6"/>
    </row>
    <row r="159" spans="2:4" x14ac:dyDescent="0.2">
      <c r="B159" s="6"/>
      <c r="D159" s="6"/>
    </row>
    <row r="160" spans="2:4" x14ac:dyDescent="0.2">
      <c r="B160" s="6"/>
      <c r="D160" s="6"/>
    </row>
    <row r="161" spans="2:4" x14ac:dyDescent="0.2">
      <c r="B161" s="6"/>
      <c r="D161" s="6"/>
    </row>
    <row r="162" spans="2:4" x14ac:dyDescent="0.2">
      <c r="B162" s="6"/>
      <c r="D162" s="6"/>
    </row>
    <row r="163" spans="2:4" x14ac:dyDescent="0.2">
      <c r="B163" s="6"/>
      <c r="D163" s="6"/>
    </row>
    <row r="164" spans="2:4" x14ac:dyDescent="0.2">
      <c r="B164" s="6"/>
      <c r="D164" s="6"/>
    </row>
    <row r="165" spans="2:4" x14ac:dyDescent="0.2">
      <c r="B165" s="6"/>
      <c r="D165" s="6"/>
    </row>
    <row r="166" spans="2:4" x14ac:dyDescent="0.2">
      <c r="B166" s="6"/>
      <c r="D166" s="6"/>
    </row>
    <row r="167" spans="2:4" x14ac:dyDescent="0.2">
      <c r="B167" s="6"/>
      <c r="D167" s="6"/>
    </row>
    <row r="168" spans="2:4" x14ac:dyDescent="0.2">
      <c r="B168" s="6"/>
      <c r="D168" s="6"/>
    </row>
    <row r="169" spans="2:4" x14ac:dyDescent="0.2">
      <c r="B169" s="6"/>
      <c r="D169" s="6"/>
    </row>
    <row r="170" spans="2:4" x14ac:dyDescent="0.2">
      <c r="B170" s="6"/>
      <c r="D170" s="6"/>
    </row>
    <row r="171" spans="2:4" x14ac:dyDescent="0.2">
      <c r="B171" s="6"/>
      <c r="D171" s="6"/>
    </row>
    <row r="172" spans="2:4" x14ac:dyDescent="0.2">
      <c r="B172" s="6"/>
      <c r="D172" s="6"/>
    </row>
    <row r="173" spans="2:4" x14ac:dyDescent="0.2">
      <c r="B173" s="6"/>
      <c r="D173" s="6"/>
    </row>
    <row r="174" spans="2:4" x14ac:dyDescent="0.2">
      <c r="B174" s="6"/>
      <c r="D174" s="6"/>
    </row>
    <row r="175" spans="2:4" x14ac:dyDescent="0.2">
      <c r="B175" s="6"/>
      <c r="D175" s="6"/>
    </row>
    <row r="176" spans="2:4" x14ac:dyDescent="0.2">
      <c r="B176" s="6"/>
      <c r="D176" s="6"/>
    </row>
    <row r="177" spans="2:4" x14ac:dyDescent="0.2">
      <c r="B177" s="6"/>
      <c r="D177" s="6"/>
    </row>
    <row r="178" spans="2:4" x14ac:dyDescent="0.2">
      <c r="B178" s="6"/>
      <c r="D178" s="6"/>
    </row>
    <row r="179" spans="2:4" x14ac:dyDescent="0.2">
      <c r="B179" s="6"/>
      <c r="D179" s="6"/>
    </row>
    <row r="180" spans="2:4" x14ac:dyDescent="0.2">
      <c r="B180" s="6"/>
      <c r="D180" s="6"/>
    </row>
    <row r="181" spans="2:4" x14ac:dyDescent="0.2">
      <c r="B181" s="6"/>
      <c r="D181" s="6"/>
    </row>
    <row r="182" spans="2:4" x14ac:dyDescent="0.2">
      <c r="B182" s="6"/>
      <c r="D182" s="6"/>
    </row>
    <row r="183" spans="2:4" x14ac:dyDescent="0.2">
      <c r="B183" s="6"/>
      <c r="D183" s="6"/>
    </row>
    <row r="184" spans="2:4" x14ac:dyDescent="0.2">
      <c r="B184" s="6"/>
      <c r="D184" s="6"/>
    </row>
    <row r="185" spans="2:4" x14ac:dyDescent="0.2">
      <c r="B185" s="6"/>
      <c r="D185" s="6"/>
    </row>
    <row r="186" spans="2:4" x14ac:dyDescent="0.2">
      <c r="B186" s="6"/>
      <c r="D186" s="6"/>
    </row>
    <row r="187" spans="2:4" x14ac:dyDescent="0.2">
      <c r="B187" s="6"/>
      <c r="D187" s="6"/>
    </row>
    <row r="188" spans="2:4" x14ac:dyDescent="0.2">
      <c r="B188" s="6"/>
      <c r="D188" s="6"/>
    </row>
    <row r="189" spans="2:4" x14ac:dyDescent="0.2">
      <c r="B189" s="6"/>
      <c r="D189" s="6"/>
    </row>
    <row r="190" spans="2:4" x14ac:dyDescent="0.2">
      <c r="B190" s="6"/>
      <c r="D190" s="6"/>
    </row>
    <row r="191" spans="2:4" x14ac:dyDescent="0.2">
      <c r="B191" s="6"/>
      <c r="D191" s="6"/>
    </row>
    <row r="192" spans="2:4" x14ac:dyDescent="0.2">
      <c r="B192" s="6"/>
      <c r="D192" s="6"/>
    </row>
    <row r="193" spans="2:4" x14ac:dyDescent="0.2">
      <c r="B193" s="6"/>
      <c r="D193" s="6"/>
    </row>
    <row r="194" spans="2:4" x14ac:dyDescent="0.2">
      <c r="B194" s="6"/>
      <c r="D194" s="6"/>
    </row>
    <row r="195" spans="2:4" x14ac:dyDescent="0.2">
      <c r="B195" s="6"/>
      <c r="D195" s="6"/>
    </row>
    <row r="196" spans="2:4" x14ac:dyDescent="0.2">
      <c r="B196" s="6"/>
      <c r="D196" s="6"/>
    </row>
    <row r="197" spans="2:4" x14ac:dyDescent="0.2">
      <c r="B197" s="6"/>
      <c r="D197" s="6"/>
    </row>
    <row r="198" spans="2:4" x14ac:dyDescent="0.2">
      <c r="B198" s="6"/>
      <c r="D198" s="6"/>
    </row>
    <row r="199" spans="2:4" x14ac:dyDescent="0.2">
      <c r="B199" s="6"/>
      <c r="D199" s="6"/>
    </row>
    <row r="200" spans="2:4" x14ac:dyDescent="0.2">
      <c r="B200" s="6"/>
      <c r="D200" s="6"/>
    </row>
    <row r="201" spans="2:4" x14ac:dyDescent="0.2">
      <c r="B201" s="6"/>
      <c r="D201" s="6"/>
    </row>
    <row r="202" spans="2:4" x14ac:dyDescent="0.2">
      <c r="B202" s="6"/>
      <c r="D202" s="6"/>
    </row>
    <row r="203" spans="2:4" x14ac:dyDescent="0.2">
      <c r="B203" s="6"/>
      <c r="D203" s="6"/>
    </row>
    <row r="204" spans="2:4" x14ac:dyDescent="0.2">
      <c r="B204" s="6"/>
      <c r="D204" s="6"/>
    </row>
    <row r="205" spans="2:4" x14ac:dyDescent="0.2">
      <c r="B205" s="6"/>
      <c r="D205" s="6"/>
    </row>
    <row r="206" spans="2:4" x14ac:dyDescent="0.2">
      <c r="B206" s="6"/>
      <c r="D206" s="6"/>
    </row>
    <row r="207" spans="2:4" x14ac:dyDescent="0.2">
      <c r="B207" s="6"/>
      <c r="D207" s="6"/>
    </row>
    <row r="208" spans="2:4" x14ac:dyDescent="0.2">
      <c r="B208" s="6"/>
      <c r="D208" s="6"/>
    </row>
    <row r="209" spans="2:4" x14ac:dyDescent="0.2">
      <c r="B209" s="6"/>
      <c r="D209" s="6"/>
    </row>
    <row r="210" spans="2:4" x14ac:dyDescent="0.2">
      <c r="B210" s="6"/>
      <c r="D210" s="6"/>
    </row>
    <row r="211" spans="2:4" x14ac:dyDescent="0.2">
      <c r="B211" s="6"/>
      <c r="D211" s="6"/>
    </row>
    <row r="212" spans="2:4" x14ac:dyDescent="0.2">
      <c r="B212" s="6"/>
      <c r="D212" s="6"/>
    </row>
    <row r="213" spans="2:4" x14ac:dyDescent="0.2">
      <c r="B213" s="6"/>
      <c r="D213" s="6"/>
    </row>
    <row r="214" spans="2:4" x14ac:dyDescent="0.2">
      <c r="B214" s="6"/>
      <c r="D214" s="6"/>
    </row>
    <row r="215" spans="2:4" x14ac:dyDescent="0.2">
      <c r="B215" s="6"/>
      <c r="D215" s="6"/>
    </row>
    <row r="216" spans="2:4" x14ac:dyDescent="0.2">
      <c r="B216" s="6"/>
      <c r="D216" s="6"/>
    </row>
    <row r="217" spans="2:4" x14ac:dyDescent="0.2">
      <c r="B217" s="6"/>
      <c r="D217" s="6"/>
    </row>
    <row r="218" spans="2:4" x14ac:dyDescent="0.2">
      <c r="B218" s="6"/>
      <c r="D218" s="6"/>
    </row>
    <row r="219" spans="2:4" x14ac:dyDescent="0.2">
      <c r="B219" s="6"/>
      <c r="D219" s="6"/>
    </row>
    <row r="220" spans="2:4" x14ac:dyDescent="0.2">
      <c r="B220" s="6"/>
      <c r="D220" s="6"/>
    </row>
    <row r="221" spans="2:4" x14ac:dyDescent="0.2">
      <c r="B221" s="6"/>
      <c r="D221" s="6"/>
    </row>
    <row r="222" spans="2:4" x14ac:dyDescent="0.2">
      <c r="B222" s="6"/>
      <c r="D222" s="6"/>
    </row>
    <row r="223" spans="2:4" x14ac:dyDescent="0.2">
      <c r="B223" s="6"/>
      <c r="D223" s="6"/>
    </row>
    <row r="224" spans="2:4" x14ac:dyDescent="0.2">
      <c r="B224" s="6"/>
      <c r="D224" s="6"/>
    </row>
    <row r="225" spans="2:4" x14ac:dyDescent="0.2">
      <c r="B225" s="6"/>
      <c r="D225" s="6"/>
    </row>
    <row r="226" spans="2:4" x14ac:dyDescent="0.2">
      <c r="B226" s="6"/>
      <c r="D226" s="6"/>
    </row>
    <row r="227" spans="2:4" x14ac:dyDescent="0.2">
      <c r="B227" s="6"/>
      <c r="D227" s="6"/>
    </row>
    <row r="228" spans="2:4" x14ac:dyDescent="0.2">
      <c r="B228" s="6"/>
      <c r="D228" s="6"/>
    </row>
    <row r="229" spans="2:4" x14ac:dyDescent="0.2">
      <c r="B229" s="6"/>
      <c r="D229" s="6"/>
    </row>
    <row r="230" spans="2:4" x14ac:dyDescent="0.2">
      <c r="B230" s="6"/>
      <c r="D230" s="6"/>
    </row>
    <row r="231" spans="2:4" x14ac:dyDescent="0.2">
      <c r="B231" s="6"/>
      <c r="D231" s="6"/>
    </row>
    <row r="232" spans="2:4" x14ac:dyDescent="0.2">
      <c r="B232" s="6"/>
      <c r="D232" s="6"/>
    </row>
    <row r="233" spans="2:4" x14ac:dyDescent="0.2">
      <c r="B233" s="6"/>
      <c r="D233" s="6"/>
    </row>
    <row r="234" spans="2:4" x14ac:dyDescent="0.2">
      <c r="B234" s="6"/>
      <c r="D234" s="6"/>
    </row>
    <row r="235" spans="2:4" x14ac:dyDescent="0.2">
      <c r="B235" s="6"/>
      <c r="D235" s="6"/>
    </row>
    <row r="236" spans="2:4" x14ac:dyDescent="0.2">
      <c r="B236" s="6"/>
      <c r="D236" s="6"/>
    </row>
    <row r="237" spans="2:4" x14ac:dyDescent="0.2">
      <c r="B237" s="6"/>
      <c r="D237" s="6"/>
    </row>
    <row r="238" spans="2:4" x14ac:dyDescent="0.2">
      <c r="B238" s="6"/>
      <c r="D238" s="6"/>
    </row>
    <row r="239" spans="2:4" x14ac:dyDescent="0.2">
      <c r="B239" s="6"/>
      <c r="D239" s="6"/>
    </row>
    <row r="240" spans="2:4" x14ac:dyDescent="0.2">
      <c r="B240" s="6"/>
      <c r="D240" s="6"/>
    </row>
    <row r="241" spans="2:4" x14ac:dyDescent="0.2">
      <c r="B241" s="6"/>
      <c r="D241" s="6"/>
    </row>
    <row r="242" spans="2:4" x14ac:dyDescent="0.2">
      <c r="B242" s="6"/>
      <c r="D242" s="6"/>
    </row>
    <row r="243" spans="2:4" x14ac:dyDescent="0.2">
      <c r="B243" s="6"/>
      <c r="D243" s="6"/>
    </row>
    <row r="244" spans="2:4" x14ac:dyDescent="0.2">
      <c r="B244" s="6"/>
      <c r="D244" s="6"/>
    </row>
    <row r="245" spans="2:4" x14ac:dyDescent="0.2">
      <c r="B245" s="6"/>
      <c r="D245" s="6"/>
    </row>
    <row r="246" spans="2:4" x14ac:dyDescent="0.2">
      <c r="B246" s="6"/>
      <c r="D246" s="6"/>
    </row>
    <row r="247" spans="2:4" x14ac:dyDescent="0.2">
      <c r="B247" s="6"/>
      <c r="D247" s="6"/>
    </row>
    <row r="248" spans="2:4" x14ac:dyDescent="0.2">
      <c r="B248" s="6"/>
      <c r="D248" s="6"/>
    </row>
    <row r="249" spans="2:4" x14ac:dyDescent="0.2">
      <c r="B249" s="6"/>
      <c r="D249" s="6"/>
    </row>
    <row r="250" spans="2:4" x14ac:dyDescent="0.2">
      <c r="B250" s="6"/>
      <c r="D250" s="6"/>
    </row>
    <row r="251" spans="2:4" x14ac:dyDescent="0.2">
      <c r="B251" s="6"/>
      <c r="D251" s="6"/>
    </row>
    <row r="252" spans="2:4" x14ac:dyDescent="0.2">
      <c r="B252" s="6"/>
      <c r="D252" s="6"/>
    </row>
    <row r="253" spans="2:4" x14ac:dyDescent="0.2">
      <c r="B253" s="6"/>
      <c r="D253" s="6"/>
    </row>
    <row r="254" spans="2:4" x14ac:dyDescent="0.2">
      <c r="B254" s="6"/>
      <c r="D254" s="6"/>
    </row>
    <row r="255" spans="2:4" x14ac:dyDescent="0.2">
      <c r="B255" s="6"/>
      <c r="D255" s="6"/>
    </row>
    <row r="256" spans="2:4" x14ac:dyDescent="0.2">
      <c r="B256" s="6"/>
      <c r="D256" s="6"/>
    </row>
    <row r="257" spans="2:4" x14ac:dyDescent="0.2">
      <c r="B257" s="6"/>
      <c r="D257" s="6"/>
    </row>
    <row r="258" spans="2:4" x14ac:dyDescent="0.2">
      <c r="B258" s="6"/>
      <c r="D258" s="6"/>
    </row>
    <row r="259" spans="2:4" x14ac:dyDescent="0.2">
      <c r="B259" s="6"/>
      <c r="D259" s="6"/>
    </row>
    <row r="260" spans="2:4" x14ac:dyDescent="0.2">
      <c r="B260" s="6"/>
      <c r="D260" s="6"/>
    </row>
    <row r="261" spans="2:4" x14ac:dyDescent="0.2">
      <c r="B261" s="6"/>
      <c r="D261" s="6"/>
    </row>
    <row r="262" spans="2:4" x14ac:dyDescent="0.2">
      <c r="B262" s="6"/>
      <c r="D262" s="6"/>
    </row>
    <row r="263" spans="2:4" x14ac:dyDescent="0.2">
      <c r="B263" s="6"/>
      <c r="D263" s="6"/>
    </row>
    <row r="264" spans="2:4" x14ac:dyDescent="0.2">
      <c r="B264" s="6"/>
      <c r="D264" s="6"/>
    </row>
    <row r="265" spans="2:4" x14ac:dyDescent="0.2">
      <c r="B265" s="6"/>
      <c r="D265" s="6"/>
    </row>
    <row r="266" spans="2:4" x14ac:dyDescent="0.2">
      <c r="B266" s="6"/>
      <c r="D266" s="6"/>
    </row>
    <row r="267" spans="2:4" x14ac:dyDescent="0.2">
      <c r="B267" s="6"/>
      <c r="D267" s="6"/>
    </row>
    <row r="268" spans="2:4" x14ac:dyDescent="0.2">
      <c r="B268" s="6"/>
      <c r="D268" s="6"/>
    </row>
    <row r="269" spans="2:4" x14ac:dyDescent="0.2">
      <c r="B269" s="6"/>
      <c r="D269" s="6"/>
    </row>
    <row r="270" spans="2:4" x14ac:dyDescent="0.2">
      <c r="B270" s="6"/>
      <c r="D270" s="6"/>
    </row>
    <row r="271" spans="2:4" x14ac:dyDescent="0.2">
      <c r="B271" s="6"/>
      <c r="D271" s="6"/>
    </row>
    <row r="272" spans="2:4" x14ac:dyDescent="0.2">
      <c r="B272" s="6"/>
      <c r="D272" s="6"/>
    </row>
    <row r="273" spans="2:4" x14ac:dyDescent="0.2">
      <c r="B273" s="6"/>
      <c r="D273" s="6"/>
    </row>
    <row r="274" spans="2:4" x14ac:dyDescent="0.2">
      <c r="B274" s="6"/>
      <c r="D274" s="6"/>
    </row>
    <row r="275" spans="2:4" x14ac:dyDescent="0.2">
      <c r="B275" s="6"/>
      <c r="D275" s="6"/>
    </row>
    <row r="276" spans="2:4" x14ac:dyDescent="0.2">
      <c r="B276" s="6"/>
      <c r="D276" s="6"/>
    </row>
    <row r="277" spans="2:4" x14ac:dyDescent="0.2">
      <c r="B277" s="6"/>
      <c r="D277" s="6"/>
    </row>
    <row r="278" spans="2:4" x14ac:dyDescent="0.2">
      <c r="B278" s="6"/>
      <c r="D278" s="6"/>
    </row>
    <row r="279" spans="2:4" x14ac:dyDescent="0.2">
      <c r="B279" s="6"/>
      <c r="D279" s="6"/>
    </row>
    <row r="280" spans="2:4" x14ac:dyDescent="0.2">
      <c r="B280" s="6"/>
      <c r="D280" s="6"/>
    </row>
    <row r="281" spans="2:4" x14ac:dyDescent="0.2">
      <c r="B281" s="6"/>
      <c r="D281" s="6"/>
    </row>
    <row r="282" spans="2:4" x14ac:dyDescent="0.2">
      <c r="B282" s="6"/>
      <c r="D282" s="6"/>
    </row>
    <row r="283" spans="2:4" x14ac:dyDescent="0.2">
      <c r="B283" s="6"/>
      <c r="D283" s="6"/>
    </row>
    <row r="284" spans="2:4" x14ac:dyDescent="0.2">
      <c r="B284" s="6"/>
      <c r="D284" s="6"/>
    </row>
    <row r="285" spans="2:4" x14ac:dyDescent="0.2">
      <c r="B285" s="6"/>
      <c r="D285" s="6"/>
    </row>
    <row r="286" spans="2:4" x14ac:dyDescent="0.2">
      <c r="B286" s="6"/>
      <c r="D286" s="6"/>
    </row>
    <row r="287" spans="2:4" x14ac:dyDescent="0.2">
      <c r="B287" s="6"/>
      <c r="D287" s="6"/>
    </row>
    <row r="288" spans="2:4" x14ac:dyDescent="0.2">
      <c r="B288" s="6"/>
      <c r="D288" s="6"/>
    </row>
    <row r="289" spans="2:4" x14ac:dyDescent="0.2">
      <c r="B289" s="6"/>
      <c r="D289" s="6"/>
    </row>
    <row r="290" spans="2:4" x14ac:dyDescent="0.2">
      <c r="B290" s="6"/>
      <c r="D290" s="6"/>
    </row>
    <row r="291" spans="2:4" x14ac:dyDescent="0.2">
      <c r="B291" s="6"/>
      <c r="D291" s="6"/>
    </row>
    <row r="292" spans="2:4" x14ac:dyDescent="0.2">
      <c r="B292" s="6"/>
      <c r="D292" s="6"/>
    </row>
    <row r="293" spans="2:4" x14ac:dyDescent="0.2">
      <c r="B293" s="6"/>
      <c r="D293" s="6"/>
    </row>
    <row r="294" spans="2:4" x14ac:dyDescent="0.2">
      <c r="B294" s="6"/>
      <c r="D294" s="6"/>
    </row>
    <row r="295" spans="2:4" x14ac:dyDescent="0.2">
      <c r="B295" s="6"/>
      <c r="D295" s="6"/>
    </row>
    <row r="296" spans="2:4" x14ac:dyDescent="0.2">
      <c r="B296" s="6"/>
      <c r="D296" s="6"/>
    </row>
    <row r="297" spans="2:4" x14ac:dyDescent="0.2">
      <c r="B297" s="6"/>
      <c r="D297" s="6"/>
    </row>
    <row r="298" spans="2:4" x14ac:dyDescent="0.2">
      <c r="B298" s="6"/>
      <c r="D298" s="6"/>
    </row>
    <row r="299" spans="2:4" x14ac:dyDescent="0.2">
      <c r="B299" s="6"/>
      <c r="D299" s="6"/>
    </row>
    <row r="300" spans="2:4" x14ac:dyDescent="0.2">
      <c r="B300" s="6"/>
      <c r="D300" s="6"/>
    </row>
    <row r="301" spans="2:4" x14ac:dyDescent="0.2">
      <c r="B301" s="6"/>
      <c r="D301" s="6"/>
    </row>
    <row r="302" spans="2:4" x14ac:dyDescent="0.2">
      <c r="B302" s="6"/>
      <c r="D302" s="6"/>
    </row>
    <row r="303" spans="2:4" x14ac:dyDescent="0.2">
      <c r="B303" s="6"/>
      <c r="D303" s="6"/>
    </row>
    <row r="304" spans="2:4" x14ac:dyDescent="0.2">
      <c r="B304" s="6"/>
      <c r="D304" s="6"/>
    </row>
    <row r="305" spans="2:4" x14ac:dyDescent="0.2">
      <c r="B305" s="6"/>
      <c r="D305" s="6"/>
    </row>
    <row r="306" spans="2:4" x14ac:dyDescent="0.2">
      <c r="B306" s="6"/>
      <c r="D306" s="6"/>
    </row>
    <row r="307" spans="2:4" x14ac:dyDescent="0.2">
      <c r="B307" s="6"/>
      <c r="D307" s="6"/>
    </row>
    <row r="308" spans="2:4" x14ac:dyDescent="0.2">
      <c r="B308" s="6"/>
      <c r="D308" s="6"/>
    </row>
    <row r="309" spans="2:4" x14ac:dyDescent="0.2">
      <c r="B309" s="6"/>
      <c r="D309" s="6"/>
    </row>
    <row r="310" spans="2:4" x14ac:dyDescent="0.2">
      <c r="B310" s="6"/>
      <c r="D310" s="6"/>
    </row>
    <row r="311" spans="2:4" x14ac:dyDescent="0.2">
      <c r="B311" s="6"/>
      <c r="D311" s="6"/>
    </row>
    <row r="312" spans="2:4" x14ac:dyDescent="0.2">
      <c r="B312" s="6"/>
      <c r="D312" s="6"/>
    </row>
    <row r="313" spans="2:4" x14ac:dyDescent="0.2">
      <c r="B313" s="6"/>
      <c r="D313" s="6"/>
    </row>
    <row r="314" spans="2:4" x14ac:dyDescent="0.2">
      <c r="B314" s="6"/>
      <c r="D314" s="6"/>
    </row>
    <row r="315" spans="2:4" x14ac:dyDescent="0.2">
      <c r="B315" s="6"/>
      <c r="D315" s="6"/>
    </row>
    <row r="316" spans="2:4" x14ac:dyDescent="0.2">
      <c r="B316" s="6"/>
      <c r="D316" s="6"/>
    </row>
    <row r="317" spans="2:4" x14ac:dyDescent="0.2">
      <c r="B317" s="6"/>
      <c r="D317" s="6"/>
    </row>
    <row r="318" spans="2:4" x14ac:dyDescent="0.2">
      <c r="B318" s="6"/>
      <c r="D318" s="6"/>
    </row>
    <row r="319" spans="2:4" x14ac:dyDescent="0.2">
      <c r="B319" s="6"/>
      <c r="D319" s="6"/>
    </row>
    <row r="320" spans="2:4" x14ac:dyDescent="0.2">
      <c r="B320" s="6"/>
      <c r="D320" s="6"/>
    </row>
    <row r="321" spans="2:4" x14ac:dyDescent="0.2">
      <c r="B321" s="6"/>
      <c r="D321" s="6"/>
    </row>
    <row r="322" spans="2:4" x14ac:dyDescent="0.2">
      <c r="B322" s="6"/>
      <c r="D322" s="6"/>
    </row>
    <row r="323" spans="2:4" x14ac:dyDescent="0.2">
      <c r="B323" s="6"/>
      <c r="D323" s="6"/>
    </row>
    <row r="324" spans="2:4" x14ac:dyDescent="0.2">
      <c r="B324" s="6"/>
      <c r="D324" s="6"/>
    </row>
    <row r="325" spans="2:4" x14ac:dyDescent="0.2">
      <c r="B325" s="6"/>
      <c r="D325" s="6"/>
    </row>
    <row r="326" spans="2:4" x14ac:dyDescent="0.2">
      <c r="B326" s="6"/>
      <c r="D326" s="6"/>
    </row>
    <row r="327" spans="2:4" x14ac:dyDescent="0.2">
      <c r="B327" s="6"/>
      <c r="D327" s="6"/>
    </row>
    <row r="328" spans="2:4" x14ac:dyDescent="0.2">
      <c r="B328" s="6"/>
      <c r="D328" s="6"/>
    </row>
    <row r="329" spans="2:4" x14ac:dyDescent="0.2">
      <c r="B329" s="6"/>
      <c r="D329" s="6"/>
    </row>
    <row r="330" spans="2:4" x14ac:dyDescent="0.2">
      <c r="B330" s="6"/>
      <c r="D330" s="6"/>
    </row>
    <row r="331" spans="2:4" x14ac:dyDescent="0.2">
      <c r="B331" s="6"/>
      <c r="D331" s="6"/>
    </row>
    <row r="332" spans="2:4" x14ac:dyDescent="0.2">
      <c r="B332" s="6"/>
      <c r="D332" s="6"/>
    </row>
    <row r="333" spans="2:4" x14ac:dyDescent="0.2">
      <c r="B333" s="6"/>
      <c r="D333" s="6"/>
    </row>
    <row r="334" spans="2:4" x14ac:dyDescent="0.2">
      <c r="B334" s="6"/>
      <c r="D334" s="6"/>
    </row>
    <row r="335" spans="2:4" x14ac:dyDescent="0.2">
      <c r="B335" s="6"/>
      <c r="D335" s="6"/>
    </row>
  </sheetData>
  <mergeCells count="1">
    <mergeCell ref="H5:M5"/>
  </mergeCells>
  <pageMargins left="0.7" right="0.7" top="0.75" bottom="0.75" header="0.3" footer="0.3"/>
  <pageSetup scale="66" orientation="landscape" r:id="rId1"/>
  <headerFooter>
    <oddFooter>&amp;L&amp;Z&amp;F&amp;R&amp;A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Att(1of6)(JP-Non)</vt:lpstr>
      <vt:lpstr>Att(2of6)(Kenergy-Non)</vt:lpstr>
      <vt:lpstr>Att(3of6)(MC-Non)</vt:lpstr>
      <vt:lpstr>Att(4of6)(JP-Dedicated)</vt:lpstr>
      <vt:lpstr>Att(5of6)(Kenergy-Dedicated)</vt:lpstr>
      <vt:lpstr>Att(6of6)(MC-Dedicated)</vt:lpstr>
      <vt:lpstr>Review Periods (NOT FILED)</vt:lpstr>
      <vt:lpstr>Member ES Template(NOT FILED)</vt:lpstr>
      <vt:lpstr>ErrorChecks (NOT FILED)</vt:lpstr>
      <vt:lpstr>'Att(1of6)(JP-Non)'!Print_Area</vt:lpstr>
      <vt:lpstr>'Att(2of6)(Kenergy-Non)'!Print_Area</vt:lpstr>
      <vt:lpstr>'Att(3of6)(MC-Non)'!Print_Area</vt:lpstr>
      <vt:lpstr>'Att(4of6)(JP-Dedicated)'!Print_Area</vt:lpstr>
      <vt:lpstr>'Att(5of6)(Kenergy-Dedicated)'!Print_Area</vt:lpstr>
      <vt:lpstr>'Att(6of6)(MC-Dedicated)'!Print_Area</vt:lpstr>
      <vt:lpstr>'ErrorChecks (NOT FILED)'!Print_Area</vt:lpstr>
      <vt:lpstr>'Member ES Template(NOT FILED)'!Print_Area</vt:lpstr>
      <vt:lpstr>'Review Periods (NOT FILED)'!Print_Area</vt:lpstr>
      <vt:lpstr>'Att(1of6)(JP-Non)'!Print_Titles</vt:lpstr>
      <vt:lpstr>'Review Periods (NOT FILED)'!Print_Titles</vt:lpstr>
    </vt:vector>
  </TitlesOfParts>
  <Company>Kenergy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Taul</dc:creator>
  <cp:lastModifiedBy>Santana, Senthia</cp:lastModifiedBy>
  <cp:lastPrinted>2025-04-23T15:41:29Z</cp:lastPrinted>
  <dcterms:created xsi:type="dcterms:W3CDTF">2010-05-27T16:38:57Z</dcterms:created>
  <dcterms:modified xsi:type="dcterms:W3CDTF">2025-04-23T15:41:34Z</dcterms:modified>
</cp:coreProperties>
</file>