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Internal\01_Regulatory Services\02_Cases\2025 Cases\2025-00031 Storm Deferral\08_Post Case Filings and Obligations\02_Final update\As Filed\"/>
    </mc:Choice>
  </mc:AlternateContent>
  <xr:revisionPtr revIDLastSave="0" documentId="13_ncr:1_{34DA364A-F5E3-46F7-A624-075366CC67A5}" xr6:coauthVersionLast="47" xr6:coauthVersionMax="47" xr10:uidLastSave="{00000000-0000-0000-0000-000000000000}"/>
  <bookViews>
    <workbookView xWindow="-28920" yWindow="-120" windowWidth="29040" windowHeight="15720" tabRatio="1000" xr2:uid="{00000000-000D-0000-FFFF-FFFF00000000}"/>
  </bookViews>
  <sheets>
    <sheet name="Summary" sheetId="1" r:id="rId1"/>
    <sheet name="2023-00159 W16" sheetId="19" r:id="rId2"/>
    <sheet name="Jan 05 Snow-Ice Distr" sheetId="8" r:id="rId3"/>
    <sheet name="Feb 15 Thunderstorm_Dist" sheetId="15" r:id="rId4"/>
    <sheet name="Feb 15 Thunderstorm_Trans" sheetId="11" r:id="rId5"/>
  </sheets>
  <definedNames>
    <definedName name="_xlnm.Print_Area" localSheetId="3">'Feb 15 Thunderstorm_Dist'!$B$2:$Q$126</definedName>
    <definedName name="_xlnm.Print_Area" localSheetId="4">'Feb 15 Thunderstorm_Trans'!$B$2:$Q$104</definedName>
    <definedName name="_xlnm.Print_Area" localSheetId="2">'Jan 05 Snow-Ice Distr'!$B$2:$Q$124</definedName>
    <definedName name="_xlnm.Print_Area" localSheetId="0">Summary!$A$1:$J$36</definedName>
    <definedName name="_xlnm.Print_Titles" localSheetId="3">'Feb 15 Thunderstorm_Dist'!$2:$8</definedName>
    <definedName name="_xlnm.Print_Titles" localSheetId="4">'Feb 15 Thunderstorm_Trans'!$2:$8</definedName>
    <definedName name="_xlnm.Print_Titles" localSheetId="2">'Jan 05 Snow-Ice Distr'!$2:$8</definedName>
    <definedName name="TotalOTHours" localSheetId="1">#REF!</definedName>
    <definedName name="TotalOTHours" localSheetId="3">'Feb 15 Thunderstorm_Dist'!$Q$13</definedName>
    <definedName name="TotalOTHours" localSheetId="4">'Feb 15 Thunderstorm_Trans'!$Q$13</definedName>
    <definedName name="TotalOTHours" localSheetId="2">'Jan 05 Snow-Ice Distr'!$Q$13</definedName>
    <definedName name="TotalOTHours" localSheetId="0">#REF!</definedName>
    <definedName name="TotalOTHo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3" i="8" l="1"/>
  <c r="Q63" i="8" s="1"/>
  <c r="N63" i="8" l="1"/>
  <c r="M63" i="8"/>
  <c r="O63" i="8"/>
  <c r="I99" i="8"/>
  <c r="H105" i="15"/>
  <c r="I105" i="15"/>
  <c r="G105" i="15"/>
  <c r="P101" i="15"/>
  <c r="O101" i="15"/>
  <c r="N101" i="15"/>
  <c r="M101" i="15"/>
  <c r="K101" i="15"/>
  <c r="Q101" i="15" s="1"/>
  <c r="P83" i="15"/>
  <c r="O83" i="15"/>
  <c r="N83" i="15"/>
  <c r="M83" i="15"/>
  <c r="K83" i="15"/>
  <c r="Q83" i="15" s="1"/>
  <c r="P67" i="15"/>
  <c r="O67" i="15"/>
  <c r="N67" i="15"/>
  <c r="M67" i="15"/>
  <c r="K67" i="15"/>
  <c r="Q67" i="15" s="1"/>
  <c r="K63" i="15"/>
  <c r="Q63" i="15" s="1"/>
  <c r="J105" i="15"/>
  <c r="L105" i="15"/>
  <c r="P95" i="15"/>
  <c r="O95" i="15"/>
  <c r="N95" i="15"/>
  <c r="M95" i="15"/>
  <c r="K95" i="15"/>
  <c r="Q95" i="15" s="1"/>
  <c r="P97" i="15"/>
  <c r="O97" i="15"/>
  <c r="N97" i="15"/>
  <c r="M97" i="15"/>
  <c r="K97" i="15"/>
  <c r="Q97" i="15" s="1"/>
  <c r="P93" i="15"/>
  <c r="O93" i="15"/>
  <c r="N93" i="15"/>
  <c r="M93" i="15"/>
  <c r="K93" i="15"/>
  <c r="Q93" i="15" s="1"/>
  <c r="P99" i="15"/>
  <c r="O99" i="15"/>
  <c r="N99" i="15"/>
  <c r="M99" i="15"/>
  <c r="K99" i="15"/>
  <c r="Q99" i="15" s="1"/>
  <c r="P91" i="15"/>
  <c r="O91" i="15"/>
  <c r="N91" i="15"/>
  <c r="M91" i="15"/>
  <c r="K91" i="15"/>
  <c r="Q91" i="15" s="1"/>
  <c r="P89" i="15"/>
  <c r="O89" i="15"/>
  <c r="N89" i="15"/>
  <c r="M89" i="15"/>
  <c r="K89" i="15"/>
  <c r="Q89" i="15" s="1"/>
  <c r="P87" i="15"/>
  <c r="O87" i="15"/>
  <c r="N87" i="15"/>
  <c r="M87" i="15"/>
  <c r="K87" i="15"/>
  <c r="Q87" i="15" s="1"/>
  <c r="P85" i="15"/>
  <c r="O85" i="15"/>
  <c r="N85" i="15"/>
  <c r="M85" i="15"/>
  <c r="K85" i="15"/>
  <c r="Q85" i="15" s="1"/>
  <c r="P81" i="15"/>
  <c r="O81" i="15"/>
  <c r="N81" i="15"/>
  <c r="M81" i="15"/>
  <c r="K81" i="15"/>
  <c r="Q81" i="15" s="1"/>
  <c r="P79" i="15"/>
  <c r="O79" i="15"/>
  <c r="N79" i="15"/>
  <c r="M79" i="15"/>
  <c r="K79" i="15"/>
  <c r="Q79" i="15" s="1"/>
  <c r="P77" i="15"/>
  <c r="O77" i="15"/>
  <c r="N77" i="15"/>
  <c r="M77" i="15"/>
  <c r="K77" i="15"/>
  <c r="Q77" i="15" s="1"/>
  <c r="P75" i="15"/>
  <c r="O75" i="15"/>
  <c r="N75" i="15"/>
  <c r="M75" i="15"/>
  <c r="K75" i="15"/>
  <c r="Q75" i="15" s="1"/>
  <c r="P73" i="15"/>
  <c r="O73" i="15"/>
  <c r="N73" i="15"/>
  <c r="M73" i="15"/>
  <c r="K73" i="15"/>
  <c r="Q73" i="15" s="1"/>
  <c r="P71" i="15"/>
  <c r="O71" i="15"/>
  <c r="N71" i="15"/>
  <c r="M71" i="15"/>
  <c r="K71" i="15"/>
  <c r="Q71" i="15" s="1"/>
  <c r="P69" i="15"/>
  <c r="O69" i="15"/>
  <c r="N69" i="15"/>
  <c r="M69" i="15"/>
  <c r="K69" i="15"/>
  <c r="Q69" i="15" s="1"/>
  <c r="G41" i="15"/>
  <c r="P97" i="8"/>
  <c r="O97" i="8"/>
  <c r="N97" i="8"/>
  <c r="M97" i="8"/>
  <c r="K97" i="8"/>
  <c r="Q97" i="8" s="1"/>
  <c r="P95" i="8"/>
  <c r="O95" i="8"/>
  <c r="N95" i="8"/>
  <c r="M95" i="8"/>
  <c r="K95" i="8"/>
  <c r="Q95" i="8" s="1"/>
  <c r="P93" i="8"/>
  <c r="O93" i="8"/>
  <c r="N93" i="8"/>
  <c r="M93" i="8"/>
  <c r="K93" i="8"/>
  <c r="Q93" i="8" s="1"/>
  <c r="P91" i="8"/>
  <c r="O91" i="8"/>
  <c r="N91" i="8"/>
  <c r="M91" i="8"/>
  <c r="K91" i="8"/>
  <c r="Q91" i="8" s="1"/>
  <c r="P89" i="8"/>
  <c r="O89" i="8"/>
  <c r="N89" i="8"/>
  <c r="M89" i="8"/>
  <c r="K89" i="8"/>
  <c r="Q89" i="8" s="1"/>
  <c r="P87" i="8"/>
  <c r="O87" i="8"/>
  <c r="N87" i="8"/>
  <c r="M87" i="8"/>
  <c r="K87" i="8"/>
  <c r="Q87" i="8" s="1"/>
  <c r="P71" i="8"/>
  <c r="O71" i="8"/>
  <c r="N71" i="8"/>
  <c r="M71" i="8"/>
  <c r="K71" i="8"/>
  <c r="Q71" i="8" s="1"/>
  <c r="K85" i="8"/>
  <c r="Q85" i="8" s="1"/>
  <c r="K83" i="8"/>
  <c r="Q83" i="8" s="1"/>
  <c r="K81" i="8"/>
  <c r="Q81" i="8" s="1"/>
  <c r="K79" i="8"/>
  <c r="Q79" i="8" s="1"/>
  <c r="K77" i="8"/>
  <c r="Q77" i="8" s="1"/>
  <c r="K75" i="8"/>
  <c r="Q75" i="8" s="1"/>
  <c r="K73" i="8"/>
  <c r="Q73" i="8" s="1"/>
  <c r="P85" i="8"/>
  <c r="O85" i="8"/>
  <c r="N85" i="8"/>
  <c r="M85" i="8"/>
  <c r="P83" i="8"/>
  <c r="O83" i="8"/>
  <c r="N83" i="8"/>
  <c r="M83" i="8"/>
  <c r="P81" i="8"/>
  <c r="O81" i="8"/>
  <c r="N81" i="8"/>
  <c r="M81" i="8"/>
  <c r="P79" i="8"/>
  <c r="O79" i="8"/>
  <c r="N79" i="8"/>
  <c r="M79" i="8"/>
  <c r="P77" i="8"/>
  <c r="O77" i="8"/>
  <c r="N77" i="8"/>
  <c r="M77" i="8"/>
  <c r="P75" i="8"/>
  <c r="O75" i="8"/>
  <c r="N75" i="8"/>
  <c r="M75" i="8"/>
  <c r="P73" i="8"/>
  <c r="O73" i="8"/>
  <c r="N73" i="8"/>
  <c r="M73" i="8"/>
  <c r="P69" i="8"/>
  <c r="O69" i="8"/>
  <c r="N69" i="8"/>
  <c r="M69" i="8"/>
  <c r="K69" i="8"/>
  <c r="Q69" i="8" s="1"/>
  <c r="L99" i="8"/>
  <c r="J99" i="8"/>
  <c r="P67" i="8"/>
  <c r="O67" i="8"/>
  <c r="N67" i="8"/>
  <c r="M67" i="8"/>
  <c r="K67" i="8"/>
  <c r="Q67" i="8" s="1"/>
  <c r="I15" i="8"/>
  <c r="K10" i="8"/>
  <c r="I17" i="15"/>
  <c r="I16" i="15"/>
  <c r="I15" i="15"/>
  <c r="M63" i="15" l="1"/>
  <c r="O63" i="15"/>
  <c r="N63" i="15"/>
  <c r="J46" i="1"/>
  <c r="J45" i="1"/>
  <c r="J42" i="1"/>
  <c r="J41" i="1"/>
  <c r="F17" i="19"/>
  <c r="F36" i="1"/>
  <c r="J43" i="1" l="1"/>
  <c r="J47" i="1"/>
  <c r="H99" i="8"/>
  <c r="G99" i="8"/>
  <c r="J49" i="1" l="1"/>
  <c r="K103" i="15" l="1"/>
  <c r="G39" i="15" l="1"/>
  <c r="T21" i="15" l="1"/>
  <c r="K47" i="15"/>
  <c r="Q106" i="15" l="1"/>
  <c r="P106" i="15"/>
  <c r="O106" i="15"/>
  <c r="N106" i="15"/>
  <c r="M106" i="15"/>
  <c r="K106" i="15"/>
  <c r="J106" i="15"/>
  <c r="I106" i="15"/>
  <c r="H106" i="15"/>
  <c r="G106" i="15"/>
  <c r="L109" i="15"/>
  <c r="Q103" i="15"/>
  <c r="P103" i="15"/>
  <c r="N103" i="15"/>
  <c r="M103" i="15"/>
  <c r="P65" i="15"/>
  <c r="O65" i="15"/>
  <c r="N65" i="15"/>
  <c r="M65" i="15"/>
  <c r="K65" i="15"/>
  <c r="K105" i="15" s="1"/>
  <c r="P63" i="15"/>
  <c r="Q55" i="15"/>
  <c r="K55" i="15"/>
  <c r="J53" i="15"/>
  <c r="I53" i="15"/>
  <c r="G53" i="15"/>
  <c r="P52" i="15"/>
  <c r="O52" i="15"/>
  <c r="N52" i="15"/>
  <c r="M52" i="15"/>
  <c r="K52" i="15"/>
  <c r="P49" i="15"/>
  <c r="O49" i="15"/>
  <c r="N49" i="15"/>
  <c r="M49" i="15"/>
  <c r="K49" i="15"/>
  <c r="P47" i="15"/>
  <c r="O47" i="15"/>
  <c r="N47" i="15"/>
  <c r="M47" i="15"/>
  <c r="P45" i="15"/>
  <c r="O45" i="15"/>
  <c r="N45" i="15"/>
  <c r="M45" i="15"/>
  <c r="K45" i="15"/>
  <c r="P43" i="15"/>
  <c r="O43" i="15"/>
  <c r="M43" i="15"/>
  <c r="H43" i="15"/>
  <c r="K43" i="15" s="1"/>
  <c r="K42" i="15"/>
  <c r="P41" i="15"/>
  <c r="O41" i="15"/>
  <c r="N41" i="15"/>
  <c r="M41" i="15"/>
  <c r="K41" i="15"/>
  <c r="P40" i="15"/>
  <c r="O40" i="15"/>
  <c r="N40" i="15"/>
  <c r="M40" i="15"/>
  <c r="K40" i="15"/>
  <c r="P39" i="15"/>
  <c r="O39" i="15"/>
  <c r="N39" i="15"/>
  <c r="M39" i="15"/>
  <c r="K39" i="15"/>
  <c r="P38" i="15"/>
  <c r="O38" i="15"/>
  <c r="N38" i="15"/>
  <c r="M38" i="15"/>
  <c r="K38" i="15"/>
  <c r="P37" i="15"/>
  <c r="O37" i="15"/>
  <c r="N37" i="15"/>
  <c r="M37" i="15"/>
  <c r="K37" i="15"/>
  <c r="P36" i="15"/>
  <c r="O36" i="15"/>
  <c r="N36" i="15"/>
  <c r="M36" i="15"/>
  <c r="K36" i="15"/>
  <c r="K35" i="15"/>
  <c r="P34" i="15"/>
  <c r="O34" i="15"/>
  <c r="N34" i="15"/>
  <c r="M34" i="15"/>
  <c r="K34" i="15"/>
  <c r="P33" i="15"/>
  <c r="O33" i="15"/>
  <c r="N33" i="15"/>
  <c r="M33" i="15"/>
  <c r="K33" i="15"/>
  <c r="I31" i="15"/>
  <c r="H31" i="15"/>
  <c r="G31" i="15"/>
  <c r="P30" i="15"/>
  <c r="N30" i="15"/>
  <c r="M30" i="15"/>
  <c r="O30" i="15"/>
  <c r="K30" i="15"/>
  <c r="P29" i="15"/>
  <c r="O29" i="15"/>
  <c r="N29" i="15"/>
  <c r="M29" i="15"/>
  <c r="K29" i="15"/>
  <c r="Q28" i="15"/>
  <c r="K28" i="15"/>
  <c r="P27" i="15"/>
  <c r="O27" i="15"/>
  <c r="N27" i="15"/>
  <c r="M27" i="15"/>
  <c r="K27" i="15"/>
  <c r="Q26" i="15"/>
  <c r="K26" i="15"/>
  <c r="P24" i="15"/>
  <c r="H24" i="15"/>
  <c r="G24" i="15"/>
  <c r="K23" i="15"/>
  <c r="K24" i="15" s="1"/>
  <c r="I24" i="15"/>
  <c r="J21" i="15"/>
  <c r="I21" i="15"/>
  <c r="H21" i="15"/>
  <c r="G21" i="15"/>
  <c r="Y20" i="15"/>
  <c r="Y23" i="15" s="1"/>
  <c r="Q20" i="15"/>
  <c r="K20" i="15"/>
  <c r="P19" i="15"/>
  <c r="O19" i="15"/>
  <c r="N19" i="15"/>
  <c r="M19" i="15"/>
  <c r="K19" i="15"/>
  <c r="Q18" i="15"/>
  <c r="K18" i="15"/>
  <c r="Q17" i="15"/>
  <c r="K17" i="15"/>
  <c r="P16" i="15"/>
  <c r="O16" i="15"/>
  <c r="N16" i="15"/>
  <c r="M16" i="15"/>
  <c r="K16" i="15"/>
  <c r="Q15" i="15"/>
  <c r="K15" i="15"/>
  <c r="O13" i="15"/>
  <c r="N13" i="15"/>
  <c r="M13" i="15"/>
  <c r="K13" i="15"/>
  <c r="P12" i="15"/>
  <c r="O12" i="15"/>
  <c r="N12" i="15"/>
  <c r="M12" i="15"/>
  <c r="K12" i="15"/>
  <c r="O10" i="15"/>
  <c r="N10" i="15"/>
  <c r="M10" i="15"/>
  <c r="Q9" i="15"/>
  <c r="K9" i="15"/>
  <c r="P105" i="15" l="1"/>
  <c r="N105" i="15"/>
  <c r="Q45" i="15"/>
  <c r="J58" i="15"/>
  <c r="J109" i="15" s="1"/>
  <c r="Q49" i="15"/>
  <c r="Q38" i="15"/>
  <c r="O21" i="15"/>
  <c r="Q16" i="15"/>
  <c r="Q34" i="15"/>
  <c r="Q10" i="15"/>
  <c r="Q40" i="15"/>
  <c r="N43" i="15"/>
  <c r="N53" i="15" s="1"/>
  <c r="Q19" i="15"/>
  <c r="M21" i="15"/>
  <c r="M53" i="15"/>
  <c r="Q41" i="15"/>
  <c r="Q29" i="15"/>
  <c r="P21" i="15"/>
  <c r="P31" i="15"/>
  <c r="O53" i="15"/>
  <c r="Q39" i="15"/>
  <c r="P53" i="15"/>
  <c r="Q52" i="15"/>
  <c r="Q13" i="15"/>
  <c r="Q27" i="15"/>
  <c r="Q37" i="15"/>
  <c r="Q47" i="15"/>
  <c r="O103" i="15"/>
  <c r="I58" i="15"/>
  <c r="N31" i="15"/>
  <c r="Q30" i="15"/>
  <c r="G58" i="15"/>
  <c r="Q23" i="15"/>
  <c r="O23" i="15" s="1"/>
  <c r="O24" i="15" s="1"/>
  <c r="T23" i="15"/>
  <c r="N21" i="15"/>
  <c r="K21" i="15"/>
  <c r="T12" i="15"/>
  <c r="K31" i="15"/>
  <c r="O31" i="15"/>
  <c r="Q36" i="15"/>
  <c r="M31" i="15"/>
  <c r="Q12" i="15"/>
  <c r="Q33" i="15"/>
  <c r="Q65" i="15"/>
  <c r="Q105" i="15" s="1"/>
  <c r="M105" i="15"/>
  <c r="H53" i="15"/>
  <c r="H58" i="15" s="1"/>
  <c r="O105" i="15" l="1"/>
  <c r="I109" i="15"/>
  <c r="H109" i="15"/>
  <c r="G109" i="15"/>
  <c r="Q21" i="15"/>
  <c r="Q53" i="15"/>
  <c r="P58" i="15"/>
  <c r="P109" i="15" s="1"/>
  <c r="Q43" i="15"/>
  <c r="K53" i="15"/>
  <c r="N23" i="15"/>
  <c r="N24" i="15" s="1"/>
  <c r="N58" i="15" s="1"/>
  <c r="N109" i="15" s="1"/>
  <c r="M23" i="15"/>
  <c r="M24" i="15" s="1"/>
  <c r="M58" i="15" s="1"/>
  <c r="M109" i="15" s="1"/>
  <c r="O58" i="15"/>
  <c r="K58" i="15"/>
  <c r="K109" i="15" s="1"/>
  <c r="Q31" i="15"/>
  <c r="H21" i="8"/>
  <c r="I21" i="8"/>
  <c r="J21" i="8"/>
  <c r="G21" i="8"/>
  <c r="H34" i="1" l="1"/>
  <c r="Q24" i="15"/>
  <c r="O109" i="15"/>
  <c r="J34" i="1" s="1"/>
  <c r="Q58" i="15"/>
  <c r="Q109" i="15" s="1"/>
  <c r="G92" i="11" l="1"/>
  <c r="G31" i="8"/>
  <c r="H31" i="8"/>
  <c r="I31" i="8"/>
  <c r="P65" i="8"/>
  <c r="O65" i="8"/>
  <c r="N65" i="8"/>
  <c r="M65" i="8"/>
  <c r="K65" i="8"/>
  <c r="K99" i="8" s="1"/>
  <c r="G24" i="8"/>
  <c r="H24" i="8"/>
  <c r="K13" i="8"/>
  <c r="K12" i="8"/>
  <c r="P63" i="8"/>
  <c r="K34" i="8"/>
  <c r="K35" i="8"/>
  <c r="K36" i="8"/>
  <c r="K37" i="8"/>
  <c r="K38" i="8"/>
  <c r="K39" i="8"/>
  <c r="K40" i="8"/>
  <c r="K41" i="8"/>
  <c r="K42" i="8"/>
  <c r="K33" i="8"/>
  <c r="K29" i="8"/>
  <c r="K28" i="8"/>
  <c r="K27" i="8"/>
  <c r="K26" i="8"/>
  <c r="K16" i="8"/>
  <c r="K17" i="8"/>
  <c r="K18" i="8"/>
  <c r="K19" i="8"/>
  <c r="K20" i="8"/>
  <c r="K15" i="8"/>
  <c r="K9" i="8"/>
  <c r="Q65" i="8" l="1"/>
  <c r="K21" i="8"/>
  <c r="K23" i="8"/>
  <c r="K24" i="8" s="1"/>
  <c r="I24" i="8"/>
  <c r="K30" i="8"/>
  <c r="K31" i="8" s="1"/>
  <c r="I92" i="11" l="1"/>
  <c r="H92" i="11"/>
  <c r="K84" i="11"/>
  <c r="K88" i="11" s="1"/>
  <c r="L69" i="11"/>
  <c r="Q66" i="11"/>
  <c r="P66" i="11"/>
  <c r="O66" i="11"/>
  <c r="N66" i="11"/>
  <c r="M66" i="11"/>
  <c r="K66" i="11"/>
  <c r="J66" i="11"/>
  <c r="I66" i="11"/>
  <c r="H66" i="11"/>
  <c r="G66" i="11"/>
  <c r="J65" i="11"/>
  <c r="I65" i="11"/>
  <c r="H65" i="11"/>
  <c r="G65" i="11"/>
  <c r="P63" i="11"/>
  <c r="P65" i="11" s="1"/>
  <c r="O63" i="11"/>
  <c r="O65" i="11" s="1"/>
  <c r="N63" i="11"/>
  <c r="N65" i="11" s="1"/>
  <c r="M63" i="11"/>
  <c r="M65" i="11" s="1"/>
  <c r="K63" i="11"/>
  <c r="K65" i="11" s="1"/>
  <c r="Q55" i="11"/>
  <c r="K55" i="11"/>
  <c r="J53" i="11"/>
  <c r="J58" i="11" s="1"/>
  <c r="I53" i="11"/>
  <c r="I58" i="11" s="1"/>
  <c r="G53" i="11"/>
  <c r="P52" i="11"/>
  <c r="O52" i="11"/>
  <c r="N52" i="11"/>
  <c r="M52" i="11"/>
  <c r="K52" i="11"/>
  <c r="P49" i="11"/>
  <c r="O49" i="11"/>
  <c r="N49" i="11"/>
  <c r="M49" i="11"/>
  <c r="K49" i="11"/>
  <c r="P47" i="11"/>
  <c r="O47" i="11"/>
  <c r="N47" i="11"/>
  <c r="M47" i="11"/>
  <c r="K47" i="11"/>
  <c r="P45" i="11"/>
  <c r="O45" i="11"/>
  <c r="N45" i="11"/>
  <c r="M45" i="11"/>
  <c r="K45" i="11"/>
  <c r="P43" i="11"/>
  <c r="O43" i="11"/>
  <c r="M43" i="11"/>
  <c r="H43" i="11"/>
  <c r="N43" i="11" s="1"/>
  <c r="P41" i="11"/>
  <c r="O41" i="11"/>
  <c r="N41" i="11"/>
  <c r="M41" i="11"/>
  <c r="P40" i="11"/>
  <c r="O40" i="11"/>
  <c r="N40" i="11"/>
  <c r="M40" i="11"/>
  <c r="P39" i="11"/>
  <c r="O39" i="11"/>
  <c r="N39" i="11"/>
  <c r="M39" i="11"/>
  <c r="P38" i="11"/>
  <c r="O38" i="11"/>
  <c r="N38" i="11"/>
  <c r="M38" i="11"/>
  <c r="P37" i="11"/>
  <c r="O37" i="11"/>
  <c r="N37" i="11"/>
  <c r="M37" i="11"/>
  <c r="P36" i="11"/>
  <c r="O36" i="11"/>
  <c r="N36" i="11"/>
  <c r="M36" i="11"/>
  <c r="P34" i="11"/>
  <c r="O34" i="11"/>
  <c r="N34" i="11"/>
  <c r="M34" i="11"/>
  <c r="P33" i="11"/>
  <c r="O33" i="11"/>
  <c r="N33" i="11"/>
  <c r="M33" i="11"/>
  <c r="P30" i="11"/>
  <c r="O30" i="11"/>
  <c r="N30" i="11"/>
  <c r="M30" i="11"/>
  <c r="P29" i="11"/>
  <c r="O29" i="11"/>
  <c r="N29" i="11"/>
  <c r="M29" i="11"/>
  <c r="Q28" i="11"/>
  <c r="P27" i="11"/>
  <c r="O27" i="11"/>
  <c r="N27" i="11"/>
  <c r="M27" i="11"/>
  <c r="Q26" i="11"/>
  <c r="P24" i="11"/>
  <c r="T23" i="11"/>
  <c r="Y20" i="11"/>
  <c r="Y23" i="11" s="1"/>
  <c r="Q23" i="11" s="1"/>
  <c r="Q20" i="11"/>
  <c r="P19" i="11"/>
  <c r="O19" i="11"/>
  <c r="N19" i="11"/>
  <c r="M19" i="11"/>
  <c r="Q18" i="11"/>
  <c r="Q17" i="11"/>
  <c r="P16" i="11"/>
  <c r="O16" i="11"/>
  <c r="N16" i="11"/>
  <c r="M16" i="11"/>
  <c r="Q15" i="11"/>
  <c r="O13" i="11"/>
  <c r="N13" i="11"/>
  <c r="M13" i="11"/>
  <c r="T12" i="11"/>
  <c r="P12" i="11"/>
  <c r="O12" i="11"/>
  <c r="N12" i="11"/>
  <c r="M12" i="11"/>
  <c r="O10" i="11"/>
  <c r="N10" i="11"/>
  <c r="M10" i="11"/>
  <c r="Q9" i="11"/>
  <c r="J69" i="11" l="1"/>
  <c r="P31" i="11"/>
  <c r="Q34" i="11"/>
  <c r="Q30" i="11"/>
  <c r="Q36" i="11"/>
  <c r="Q39" i="11"/>
  <c r="Q43" i="11"/>
  <c r="Q16" i="11"/>
  <c r="O21" i="11"/>
  <c r="Q12" i="11"/>
  <c r="O31" i="11"/>
  <c r="Q52" i="11"/>
  <c r="N21" i="11"/>
  <c r="M31" i="11"/>
  <c r="Q47" i="11"/>
  <c r="H53" i="11"/>
  <c r="H58" i="11" s="1"/>
  <c r="H69" i="11" s="1"/>
  <c r="N31" i="11"/>
  <c r="P21" i="11"/>
  <c r="Q19" i="11"/>
  <c r="M53" i="11"/>
  <c r="Q49" i="11"/>
  <c r="Q37" i="11"/>
  <c r="Q13" i="11"/>
  <c r="O53" i="11"/>
  <c r="Q45" i="11"/>
  <c r="Q29" i="11"/>
  <c r="P53" i="11"/>
  <c r="Q40" i="11"/>
  <c r="Q41" i="11"/>
  <c r="Q10" i="11"/>
  <c r="Q38" i="11"/>
  <c r="I69" i="11"/>
  <c r="N53" i="11"/>
  <c r="G93" i="11"/>
  <c r="H93" i="11"/>
  <c r="I93" i="11"/>
  <c r="M21" i="11"/>
  <c r="G58" i="11"/>
  <c r="Q63" i="11"/>
  <c r="Q65" i="11" s="1"/>
  <c r="Q33" i="11"/>
  <c r="K43" i="11"/>
  <c r="Q27" i="11"/>
  <c r="Q21" i="11" l="1"/>
  <c r="P58" i="11"/>
  <c r="P69" i="11" s="1"/>
  <c r="Q31" i="11"/>
  <c r="K53" i="11"/>
  <c r="Q53" i="11"/>
  <c r="K58" i="11"/>
  <c r="K69" i="11" s="1"/>
  <c r="H36" i="1" s="1"/>
  <c r="G69" i="11"/>
  <c r="G79" i="11" l="1"/>
  <c r="M23" i="11" s="1"/>
  <c r="M24" i="11" s="1"/>
  <c r="H79" i="11"/>
  <c r="N23" i="11" s="1"/>
  <c r="N24" i="11" s="1"/>
  <c r="N58" i="11" s="1"/>
  <c r="N69" i="11" s="1"/>
  <c r="I79" i="11"/>
  <c r="O23" i="11" s="1"/>
  <c r="O24" i="11" s="1"/>
  <c r="O58" i="11" s="1"/>
  <c r="O69" i="11" s="1"/>
  <c r="J36" i="1" l="1"/>
  <c r="Q24" i="11"/>
  <c r="M58" i="11"/>
  <c r="Q58" i="11" l="1"/>
  <c r="Q69" i="11" s="1"/>
  <c r="M69" i="11"/>
  <c r="L103" i="8" l="1"/>
  <c r="Q100" i="8"/>
  <c r="P100" i="8"/>
  <c r="O100" i="8"/>
  <c r="N100" i="8"/>
  <c r="M100" i="8"/>
  <c r="K100" i="8"/>
  <c r="J100" i="8"/>
  <c r="I100" i="8"/>
  <c r="H100" i="8"/>
  <c r="G100" i="8"/>
  <c r="P99" i="8"/>
  <c r="Q55" i="8"/>
  <c r="K55" i="8"/>
  <c r="J53" i="8"/>
  <c r="J58" i="8" s="1"/>
  <c r="I53" i="8"/>
  <c r="I58" i="8" s="1"/>
  <c r="G53" i="8"/>
  <c r="P52" i="8"/>
  <c r="O52" i="8"/>
  <c r="N52" i="8"/>
  <c r="M52" i="8"/>
  <c r="K52" i="8"/>
  <c r="P49" i="8"/>
  <c r="O49" i="8"/>
  <c r="N49" i="8"/>
  <c r="M49" i="8"/>
  <c r="K49" i="8"/>
  <c r="P47" i="8"/>
  <c r="O47" i="8"/>
  <c r="N47" i="8"/>
  <c r="M47" i="8"/>
  <c r="K47" i="8"/>
  <c r="P45" i="8"/>
  <c r="O45" i="8"/>
  <c r="N45" i="8"/>
  <c r="M45" i="8"/>
  <c r="K45" i="8"/>
  <c r="P43" i="8"/>
  <c r="O43" i="8"/>
  <c r="M43" i="8"/>
  <c r="H43" i="8"/>
  <c r="K43" i="8" s="1"/>
  <c r="P41" i="8"/>
  <c r="O41" i="8"/>
  <c r="N41" i="8"/>
  <c r="M41" i="8"/>
  <c r="P40" i="8"/>
  <c r="O40" i="8"/>
  <c r="N40" i="8"/>
  <c r="M40" i="8"/>
  <c r="P39" i="8"/>
  <c r="O39" i="8"/>
  <c r="N39" i="8"/>
  <c r="M39" i="8"/>
  <c r="P38" i="8"/>
  <c r="O38" i="8"/>
  <c r="N38" i="8"/>
  <c r="M38" i="8"/>
  <c r="P37" i="8"/>
  <c r="O37" i="8"/>
  <c r="N37" i="8"/>
  <c r="M37" i="8"/>
  <c r="P36" i="8"/>
  <c r="O36" i="8"/>
  <c r="N36" i="8"/>
  <c r="M36" i="8"/>
  <c r="P34" i="8"/>
  <c r="O34" i="8"/>
  <c r="N34" i="8"/>
  <c r="M34" i="8"/>
  <c r="P33" i="8"/>
  <c r="O33" i="8"/>
  <c r="N33" i="8"/>
  <c r="M33" i="8"/>
  <c r="P30" i="8"/>
  <c r="O30" i="8"/>
  <c r="N30" i="8"/>
  <c r="M30" i="8"/>
  <c r="P29" i="8"/>
  <c r="O29" i="8"/>
  <c r="N29" i="8"/>
  <c r="M29" i="8"/>
  <c r="Q28" i="8"/>
  <c r="P27" i="8"/>
  <c r="O27" i="8"/>
  <c r="N27" i="8"/>
  <c r="M27" i="8"/>
  <c r="Q26" i="8"/>
  <c r="P24" i="8"/>
  <c r="T23" i="8"/>
  <c r="Y20" i="8"/>
  <c r="Y23" i="8" s="1"/>
  <c r="Q23" i="8" s="1"/>
  <c r="O23" i="8" s="1"/>
  <c r="Q20" i="8"/>
  <c r="P19" i="8"/>
  <c r="O19" i="8"/>
  <c r="N19" i="8"/>
  <c r="M19" i="8"/>
  <c r="Q18" i="8"/>
  <c r="Q17" i="8"/>
  <c r="P16" i="8"/>
  <c r="O16" i="8"/>
  <c r="N16" i="8"/>
  <c r="M16" i="8"/>
  <c r="Q15" i="8"/>
  <c r="O13" i="8"/>
  <c r="N13" i="8"/>
  <c r="M13" i="8"/>
  <c r="T12" i="8"/>
  <c r="P12" i="8"/>
  <c r="O12" i="8"/>
  <c r="N12" i="8"/>
  <c r="M12" i="8"/>
  <c r="O10" i="8"/>
  <c r="N10" i="8"/>
  <c r="M10" i="8"/>
  <c r="Q9" i="8"/>
  <c r="M23" i="8" l="1"/>
  <c r="N23" i="8"/>
  <c r="G58" i="8"/>
  <c r="J103" i="8"/>
  <c r="Q49" i="8"/>
  <c r="Q45" i="8"/>
  <c r="M21" i="8"/>
  <c r="P31" i="8"/>
  <c r="Q40" i="8"/>
  <c r="Q29" i="8"/>
  <c r="Q34" i="8"/>
  <c r="Q38" i="8"/>
  <c r="Q41" i="8"/>
  <c r="Q39" i="8"/>
  <c r="Q52" i="8"/>
  <c r="Q47" i="8"/>
  <c r="Q36" i="8"/>
  <c r="N31" i="8"/>
  <c r="Q33" i="8"/>
  <c r="Q37" i="8"/>
  <c r="N43" i="8"/>
  <c r="Q43" i="8" s="1"/>
  <c r="O31" i="8"/>
  <c r="P21" i="8"/>
  <c r="O53" i="8"/>
  <c r="Q16" i="8"/>
  <c r="Q30" i="8"/>
  <c r="M31" i="8"/>
  <c r="N21" i="8"/>
  <c r="O21" i="8"/>
  <c r="Q12" i="8"/>
  <c r="Q13" i="8"/>
  <c r="Q10" i="8"/>
  <c r="M53" i="8"/>
  <c r="P53" i="8"/>
  <c r="Q19" i="8"/>
  <c r="Q27" i="8"/>
  <c r="H53" i="8"/>
  <c r="H58" i="8" s="1"/>
  <c r="K58" i="8" l="1"/>
  <c r="N53" i="8"/>
  <c r="Q53" i="8" s="1"/>
  <c r="P58" i="8"/>
  <c r="P103" i="8" s="1"/>
  <c r="Q21" i="8"/>
  <c r="Q31" i="8"/>
  <c r="K53" i="8"/>
  <c r="N24" i="8" l="1"/>
  <c r="O24" i="8"/>
  <c r="O58" i="8" s="1"/>
  <c r="M24" i="8"/>
  <c r="M58" i="8" s="1"/>
  <c r="N58" i="8" l="1"/>
  <c r="Q24" i="8"/>
  <c r="Q58" i="8" l="1"/>
  <c r="Q99" i="8" l="1"/>
  <c r="H103" i="8" l="1"/>
  <c r="G103" i="8"/>
  <c r="I103" i="8"/>
  <c r="K103" i="8"/>
  <c r="M99" i="8" l="1"/>
  <c r="M103" i="8" s="1"/>
  <c r="H11" i="1"/>
  <c r="H38" i="1" s="1"/>
  <c r="Q103" i="8"/>
  <c r="N99" i="8" l="1"/>
  <c r="N103" i="8" s="1"/>
  <c r="O99" i="8"/>
  <c r="O103" i="8" s="1"/>
  <c r="J11" i="1" l="1"/>
  <c r="L10" i="1" l="1"/>
  <c r="J38" i="1"/>
  <c r="J53" i="1"/>
  <c r="L12" i="1" l="1"/>
  <c r="N10" i="1" s="1"/>
  <c r="N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E. Keyser</author>
    <author>tc={6D98BFB9-0CD8-4DCB-9CC4-2E8CE1228CE3}</author>
  </authors>
  <commentList>
    <comment ref="Y14" authorId="0" shapeId="0" xr:uid="{4370AA7A-ED48-4063-A214-5702D610F145}">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D98BFB9-0CD8-4DCB-9CC4-2E8CE1228CE3}">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Lloyd E. Keyser</author>
    <author>tc={A3F2E28A-AE9F-4229-B677-9D1A372B8006}</author>
  </authors>
  <commentList>
    <comment ref="Y14" authorId="0" shapeId="0" xr:uid="{514CF305-710A-4935-B878-E767E5623D89}">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3F2E28A-AE9F-4229-B677-9D1A372B8006}">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1FA6EBCF-43E5-4009-99DF-71A7A2B0765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List>
</comments>
</file>

<file path=xl/sharedStrings.xml><?xml version="1.0" encoding="utf-8"?>
<sst xmlns="http://schemas.openxmlformats.org/spreadsheetml/2006/main" count="453" uniqueCount="189">
  <si>
    <t>KENTUCKY POWER COMPANY</t>
  </si>
  <si>
    <t>EXPENSE DEFERRAL REQUEST</t>
  </si>
  <si>
    <t>Incremental</t>
  </si>
  <si>
    <t>Major Storms</t>
  </si>
  <si>
    <t>Storm Dates</t>
  </si>
  <si>
    <t>O&amp;M</t>
  </si>
  <si>
    <t>Kentucky Power</t>
  </si>
  <si>
    <t>Major Event Cost Recap</t>
  </si>
  <si>
    <t>A</t>
  </si>
  <si>
    <t>B</t>
  </si>
  <si>
    <t>C</t>
  </si>
  <si>
    <t>D</t>
  </si>
  <si>
    <t>A+B+C+D</t>
  </si>
  <si>
    <t>Detailed Restoration Costs</t>
  </si>
  <si>
    <t>Capitalized</t>
  </si>
  <si>
    <t>Accumulated</t>
  </si>
  <si>
    <t>Expensed</t>
  </si>
  <si>
    <t>Unallocated</t>
  </si>
  <si>
    <t>Total Cost</t>
  </si>
  <si>
    <t>Depreciation</t>
  </si>
  <si>
    <t>(Capital)</t>
  </si>
  <si>
    <t>(Removal)</t>
  </si>
  <si>
    <t>(O&amp;M)</t>
  </si>
  <si>
    <t>to Restore</t>
  </si>
  <si>
    <t>In House Costs</t>
  </si>
  <si>
    <t>Regular Time</t>
  </si>
  <si>
    <t>Dollars</t>
  </si>
  <si>
    <t>Salary &amp; Wages</t>
  </si>
  <si>
    <t>Hours</t>
  </si>
  <si>
    <t>Overtime</t>
  </si>
  <si>
    <t>Incremental Fleet Calculation:</t>
  </si>
  <si>
    <t>Salary &amp; Wage</t>
  </si>
  <si>
    <t>ST Fringes</t>
  </si>
  <si>
    <t>Overheads</t>
  </si>
  <si>
    <t>OT Fringes</t>
  </si>
  <si>
    <t>2009 Storms 8 &amp; 9 - Total Fleet Cost</t>
  </si>
  <si>
    <t>Other Labor Fringes</t>
  </si>
  <si>
    <t>Incentives</t>
  </si>
  <si>
    <t>Construction/Retirement</t>
  </si>
  <si>
    <t>2009 Storms 8 &amp; 9 - Calculated Incremental Fleet Cost</t>
  </si>
  <si>
    <t>All Other Overheads</t>
  </si>
  <si>
    <t>Total Salary &amp; Wages</t>
  </si>
  <si>
    <t>Historical % Of Incremental to Total</t>
  </si>
  <si>
    <t>Transportation</t>
  </si>
  <si>
    <t>Fleet</t>
  </si>
  <si>
    <t>Total Transportation</t>
  </si>
  <si>
    <t>Other Cost Category</t>
  </si>
  <si>
    <t>Cell Phone</t>
  </si>
  <si>
    <t>Lump Sum Pmts</t>
  </si>
  <si>
    <t>External Communications</t>
  </si>
  <si>
    <t>Employee Expenses</t>
  </si>
  <si>
    <t>Misc</t>
  </si>
  <si>
    <t>Total Other Cost Category</t>
  </si>
  <si>
    <t>Materials &amp;</t>
  </si>
  <si>
    <t xml:space="preserve">Towers, Poles, </t>
  </si>
  <si>
    <t>Poles</t>
  </si>
  <si>
    <t>Supplies</t>
  </si>
  <si>
    <t>&amp; Fixtures</t>
  </si>
  <si>
    <t>Cross arms</t>
  </si>
  <si>
    <t>Overhead Conductors</t>
  </si>
  <si>
    <t>Wire</t>
  </si>
  <si>
    <t>&amp; Devices</t>
  </si>
  <si>
    <t>Cutouts</t>
  </si>
  <si>
    <t>Splices</t>
  </si>
  <si>
    <t>Transformer</t>
  </si>
  <si>
    <t>Insulator</t>
  </si>
  <si>
    <t>Other</t>
  </si>
  <si>
    <t>Line Transformers</t>
  </si>
  <si>
    <t>Services</t>
  </si>
  <si>
    <t>Meters</t>
  </si>
  <si>
    <t>Lighting &amp; Signal</t>
  </si>
  <si>
    <t>Systems</t>
  </si>
  <si>
    <t xml:space="preserve">Total Materials </t>
  </si>
  <si>
    <t>Cost of Providing</t>
  </si>
  <si>
    <t>Temporary Electric Svc</t>
  </si>
  <si>
    <t>TOTAL IN HOUSE COSTS</t>
  </si>
  <si>
    <t>Outside Contracted Services</t>
  </si>
  <si>
    <t>D.H. Elliot</t>
  </si>
  <si>
    <t>Other Contractor</t>
  </si>
  <si>
    <t>TOTAL OUTSIDE CONTRACTED SERVICES</t>
  </si>
  <si>
    <t>Total Restoration Costs</t>
  </si>
  <si>
    <t>Cognos</t>
  </si>
  <si>
    <t>Less: Accrual not yet reversed</t>
  </si>
  <si>
    <t xml:space="preserve">Total </t>
  </si>
  <si>
    <t>Less: Asplundh &amp; Wright Tree(all O&amp;M)</t>
  </si>
  <si>
    <t>Less: Materials (all Captial)</t>
  </si>
  <si>
    <t>Total  for Splits</t>
  </si>
  <si>
    <t>Other Bud Cat</t>
  </si>
  <si>
    <t>Less: Above items</t>
  </si>
  <si>
    <t>Total for Splits</t>
  </si>
  <si>
    <t>% Split</t>
  </si>
  <si>
    <t>Capital</t>
  </si>
  <si>
    <t>Removal</t>
  </si>
  <si>
    <t>Total</t>
  </si>
  <si>
    <t>Lee Electrical</t>
  </si>
  <si>
    <t>Distribution O&amp;M</t>
  </si>
  <si>
    <t>Allocation Factor</t>
  </si>
  <si>
    <t>Wright Tree</t>
  </si>
  <si>
    <t>JMED</t>
  </si>
  <si>
    <t>Storm Project</t>
  </si>
  <si>
    <t>DMS25KK01</t>
  </si>
  <si>
    <t>2025 Storms</t>
  </si>
  <si>
    <t>01/05/2025 Snow/Ice Storm TOTAL COST</t>
  </si>
  <si>
    <t>01/05/2025 Snow/Ice Storm INCREMENTAL COST</t>
  </si>
  <si>
    <t>Snow Storm 01/05/25</t>
  </si>
  <si>
    <t>2025 Jan 5 Snowstorm Distr</t>
  </si>
  <si>
    <t>02/15/2025 Thunderstorm TOTAL COST</t>
  </si>
  <si>
    <t>02/15/2025  Thunderstorm INCREMENTAL COST</t>
  </si>
  <si>
    <t>Thunderstorm:02/15/2025</t>
  </si>
  <si>
    <t>DMS25KK03</t>
  </si>
  <si>
    <t>Thunderstorm 02/15/2025</t>
  </si>
  <si>
    <t>KEPCS2502</t>
  </si>
  <si>
    <t xml:space="preserve">2025 Feb 15 Thunderstorm Distr </t>
  </si>
  <si>
    <t>2025 Feb 15 Thunderstorm Trans</t>
  </si>
  <si>
    <t>Costs</t>
  </si>
  <si>
    <t>Distribution Storm TY Amount</t>
  </si>
  <si>
    <t>Jurisdiction Amount - Distribution - Base Rate Level</t>
  </si>
  <si>
    <t>Transmission Storm TY Amount</t>
  </si>
  <si>
    <t>Jurisdiction Amount - Transmission - Base Rate Level</t>
  </si>
  <si>
    <t>Jurisdictional Base Level</t>
  </si>
  <si>
    <t>Kentucky Power Company</t>
  </si>
  <si>
    <t>Normalization of Storm Damage Expense</t>
  </si>
  <si>
    <t>Test Year Ended March 31, 2023</t>
  </si>
  <si>
    <t>W16</t>
  </si>
  <si>
    <t>Twelve Months Ended March 31,</t>
  </si>
  <si>
    <t>Line No.</t>
  </si>
  <si>
    <t>Description</t>
  </si>
  <si>
    <t>Three-Year Average</t>
  </si>
  <si>
    <t>FERC Account</t>
  </si>
  <si>
    <t>(a)</t>
  </si>
  <si>
    <t>(b)</t>
  </si>
  <si>
    <t>(c)</t>
  </si>
  <si>
    <t>(d)</t>
  </si>
  <si>
    <t>(e)</t>
  </si>
  <si>
    <t>(f)</t>
  </si>
  <si>
    <t>Storm Expense - Distribution</t>
  </si>
  <si>
    <t>Storm Expense - Transmission</t>
  </si>
  <si>
    <t>Total (Ln 1 +2)</t>
  </si>
  <si>
    <t>Distribution Adjustment</t>
  </si>
  <si>
    <t>Not Representative</t>
  </si>
  <si>
    <t>Requested Baseline:  Level Approved in Case No. 2020-00174</t>
  </si>
  <si>
    <t>Test-Year Expense</t>
  </si>
  <si>
    <t xml:space="preserve">Distribution Adjustment (Ln 6 - Ln 7) </t>
  </si>
  <si>
    <t>Allocation Factor - GP-DIST</t>
  </si>
  <si>
    <t>KPSC Jurisdiction Amount (Ln 8 X Ln 9)</t>
  </si>
  <si>
    <t>Transmission Adjustment</t>
  </si>
  <si>
    <t xml:space="preserve">Three-Year Average </t>
  </si>
  <si>
    <t>Requested Baseline:  Test Year Expense</t>
  </si>
  <si>
    <t>Transmission Adjustment (Ln 13 - Ln 14)</t>
  </si>
  <si>
    <t xml:space="preserve">$— </t>
  </si>
  <si>
    <t>Allocation Factor - GP-TRANS</t>
  </si>
  <si>
    <t>KPSC Jurisdiction Amount (Ln 15 X Ln 16)</t>
  </si>
  <si>
    <t>—</t>
  </si>
  <si>
    <t>Witness:</t>
  </si>
  <si>
    <t>H.M. Whitney</t>
  </si>
  <si>
    <t>Total JMED Storm Projects</t>
  </si>
  <si>
    <t>*</t>
  </si>
  <si>
    <t>AWP</t>
  </si>
  <si>
    <t>Asplundh</t>
  </si>
  <si>
    <t>CW Electric</t>
  </si>
  <si>
    <t>Cornett's</t>
  </si>
  <si>
    <t>Davey Tree</t>
  </si>
  <si>
    <t>Drain's Unlimited</t>
  </si>
  <si>
    <t>Frankart</t>
  </si>
  <si>
    <t>Innosource</t>
  </si>
  <si>
    <t>ITS Tech</t>
  </si>
  <si>
    <t>Praxel</t>
  </si>
  <si>
    <t>QSI</t>
  </si>
  <si>
    <t>Roadsafte</t>
  </si>
  <si>
    <t>Sumter</t>
  </si>
  <si>
    <t>Techserv</t>
  </si>
  <si>
    <t>TRC</t>
  </si>
  <si>
    <t>5 Star</t>
  </si>
  <si>
    <t>AMPP</t>
  </si>
  <si>
    <t>CC Power</t>
  </si>
  <si>
    <t>Drains Unlimited</t>
  </si>
  <si>
    <t>DTS</t>
  </si>
  <si>
    <t>Emergency Disaster Services</t>
  </si>
  <si>
    <t>Flory Line Const</t>
  </si>
  <si>
    <t>Lost Time Control West</t>
  </si>
  <si>
    <t>Roadsafe</t>
  </si>
  <si>
    <t>Terracon Consultants</t>
  </si>
  <si>
    <t>Thayer</t>
  </si>
  <si>
    <t>Unicone Intl</t>
  </si>
  <si>
    <t>Wright Tree Svc</t>
  </si>
  <si>
    <t>Albon Meade</t>
  </si>
  <si>
    <t>Dynamic</t>
  </si>
  <si>
    <t>Deferral</t>
  </si>
  <si>
    <t>* Case No. 2023-00159, Section V, Exhibit 2, W16 approved by the Commission's January 19, 2024 Order in Case No. 2023-00159.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</si>
</sst>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2" formatCode="_(&quot;$&quot;* #,##0_);_(&quot;$&quot;* \(#,##0\);_(&quot;$&quot;* &quot;-&quot;_);_(@_)"/>
    <numFmt numFmtId="44" formatCode="_(&quot;$&quot;* #,##0.00_);_(&quot;$&quot;* \(#,##0.00\);_(&quot;$&quot;* &quot;-&quot;??_);_(@_)"/>
    <numFmt numFmtId="43" formatCode="_(* #,##0.00_);_(* \(#,##0.00\);_(* &quot;-&quot;??_);_(@_)"/>
    <numFmt numFmtId="165" formatCode="#,##0.0_);[Red]\(#,##0.0\)"/>
    <numFmt numFmtId="166" formatCode="&quot;$&quot;#,##0"/>
    <numFmt numFmtId="167" formatCode="0.00000%"/>
    <numFmt numFmtId="168" formatCode="#,##0.0_);\(#,##0.0\)"/>
    <numFmt numFmtId="169" formatCode="&quot;$&quot;#,##0.00"/>
    <numFmt numFmtId="170" formatCode="&quot;$&quot;#,##0.0000"/>
    <numFmt numFmtId="171" formatCode="0.000000000000000%"/>
    <numFmt numFmtId="172" formatCode="0.000%"/>
    <numFmt numFmtId="173" formatCode="0.000000%"/>
    <numFmt numFmtId="174" formatCode="0.0000%"/>
    <numFmt numFmtId="175" formatCode="0.000"/>
    <numFmt numFmtId="176" formatCode="_(* #,##0_);_(* \(#,##0\);_(* &quot;-&quot;??_);_(@_)"/>
    <numFmt numFmtId="177" formatCode="_(* #,##0.000_);_(* \(#,##0.000\);_(* &quot;-&quot;??_);_(@_)"/>
  </numFmts>
  <fonts count="26" x14ac:knownFonts="1">
    <font>
      <sz val="11"/>
      <color theme="1"/>
      <name val="Calibri"/>
      <family val="2"/>
      <scheme val="minor"/>
    </font>
    <font>
      <sz val="11"/>
      <color theme="1"/>
      <name val="Calibri"/>
      <family val="2"/>
      <scheme val="minor"/>
    </font>
    <font>
      <sz val="10"/>
      <name val="Tahoma"/>
      <family val="2"/>
    </font>
    <font>
      <b/>
      <sz val="10"/>
      <name val="Tahoma"/>
      <family val="2"/>
    </font>
    <font>
      <sz val="10"/>
      <color theme="0"/>
      <name val="Tahoma"/>
      <family val="2"/>
    </font>
    <font>
      <b/>
      <sz val="16"/>
      <name val="Tahoma"/>
      <family val="2"/>
    </font>
    <font>
      <b/>
      <sz val="12"/>
      <name val="Tahoma"/>
      <family val="2"/>
    </font>
    <font>
      <b/>
      <i/>
      <sz val="8"/>
      <name val="Tahoma"/>
      <family val="2"/>
    </font>
    <font>
      <b/>
      <sz val="11"/>
      <name val="Tahoma"/>
      <family val="2"/>
    </font>
    <font>
      <b/>
      <i/>
      <sz val="10"/>
      <color theme="0"/>
      <name val="Tahoma"/>
      <family val="2"/>
    </font>
    <font>
      <b/>
      <sz val="10"/>
      <color theme="0"/>
      <name val="Tahoma"/>
      <family val="2"/>
    </font>
    <font>
      <b/>
      <i/>
      <sz val="10"/>
      <name val="Tahoma"/>
      <family val="2"/>
    </font>
    <font>
      <sz val="10"/>
      <color rgb="FFFF0000"/>
      <name val="Tahoma"/>
      <family val="2"/>
    </font>
    <font>
      <b/>
      <i/>
      <sz val="10"/>
      <color rgb="FFFF0000"/>
      <name val="Tahoma"/>
      <family val="2"/>
    </font>
    <font>
      <i/>
      <sz val="8"/>
      <name val="Tahoma"/>
      <family val="2"/>
    </font>
    <font>
      <strike/>
      <sz val="10"/>
      <name val="Tahoma"/>
      <family val="2"/>
    </font>
    <font>
      <b/>
      <sz val="8"/>
      <color indexed="81"/>
      <name val="Tahoma"/>
      <family val="2"/>
    </font>
    <font>
      <sz val="8"/>
      <color indexed="81"/>
      <name val="Tahoma"/>
      <family val="2"/>
    </font>
    <font>
      <u/>
      <sz val="8"/>
      <color indexed="81"/>
      <name val="Tahoma"/>
      <family val="2"/>
    </font>
    <font>
      <sz val="10"/>
      <color theme="1"/>
      <name val="Tahoma"/>
      <family val="2"/>
    </font>
    <font>
      <b/>
      <u/>
      <sz val="10"/>
      <name val="Tahoma"/>
      <family val="2"/>
    </font>
    <font>
      <sz val="10"/>
      <color rgb="FF000000"/>
      <name val="Arial"/>
      <family val="2"/>
    </font>
    <font>
      <sz val="10"/>
      <name val="Arial"/>
      <family val="2"/>
    </font>
    <font>
      <b/>
      <u/>
      <sz val="10"/>
      <color rgb="FFFF0000"/>
      <name val="Arial"/>
      <family val="2"/>
    </font>
    <font>
      <i/>
      <sz val="10"/>
      <name val="Tahoma"/>
      <family val="2"/>
    </font>
    <font>
      <sz val="11"/>
      <color theme="0"/>
      <name val="Calibri"/>
      <family val="2"/>
      <scheme val="minor"/>
    </font>
  </fonts>
  <fills count="4">
    <fill>
      <patternFill patternType="none"/>
    </fill>
    <fill>
      <patternFill patternType="gray125"/>
    </fill>
    <fill>
      <patternFill patternType="solid">
        <fgColor rgb="FF8FFFC7"/>
        <bgColor indexed="64"/>
      </patternFill>
    </fill>
    <fill>
      <patternFill patternType="solid">
        <fgColor rgb="FFFFCCFF"/>
        <bgColor indexed="64"/>
      </patternFill>
    </fill>
  </fills>
  <borders count="43">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mediumDashDotDot">
        <color indexed="64"/>
      </top>
      <bottom/>
      <diagonal/>
    </border>
    <border>
      <left/>
      <right/>
      <top style="thin">
        <color indexed="64"/>
      </top>
      <bottom/>
      <diagonal/>
    </border>
    <border>
      <left/>
      <right/>
      <top style="medium">
        <color indexed="64"/>
      </top>
      <bottom/>
      <diagonal/>
    </border>
    <border>
      <left/>
      <right/>
      <top style="medium">
        <color indexed="64"/>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right style="slantDashDot">
        <color indexed="64"/>
      </right>
      <top style="thin">
        <color indexed="64"/>
      </top>
      <bottom/>
      <diagonal/>
    </border>
    <border>
      <left/>
      <right style="slantDashDot">
        <color indexed="64"/>
      </right>
      <top style="thin">
        <color indexed="64"/>
      </top>
      <bottom style="double">
        <color indexed="64"/>
      </bottom>
      <diagonal/>
    </border>
    <border>
      <left/>
      <right/>
      <top style="thin">
        <color indexed="64"/>
      </top>
      <bottom style="double">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Dashed">
        <color theme="2" tint="-0.499984740745262"/>
      </left>
      <right/>
      <top style="mediumDashed">
        <color theme="2" tint="-0.499984740745262"/>
      </top>
      <bottom/>
      <diagonal/>
    </border>
    <border>
      <left/>
      <right/>
      <top style="mediumDashed">
        <color theme="2" tint="-0.499984740745262"/>
      </top>
      <bottom/>
      <diagonal/>
    </border>
    <border>
      <left/>
      <right style="mediumDashed">
        <color theme="2" tint="-0.499984740745262"/>
      </right>
      <top style="mediumDashed">
        <color theme="2" tint="-0.499984740745262"/>
      </top>
      <bottom/>
      <diagonal/>
    </border>
    <border>
      <left style="mediumDashed">
        <color theme="2" tint="-0.499984740745262"/>
      </left>
      <right/>
      <top/>
      <bottom/>
      <diagonal/>
    </border>
    <border>
      <left/>
      <right style="mediumDashed">
        <color theme="2" tint="-0.499984740745262"/>
      </right>
      <top/>
      <bottom/>
      <diagonal/>
    </border>
    <border>
      <left style="mediumDashed">
        <color theme="2" tint="-0.499984740745262"/>
      </left>
      <right/>
      <top/>
      <bottom style="mediumDashed">
        <color theme="2" tint="-0.499984740745262"/>
      </bottom>
      <diagonal/>
    </border>
    <border>
      <left/>
      <right/>
      <top/>
      <bottom style="mediumDashed">
        <color theme="2" tint="-0.499984740745262"/>
      </bottom>
      <diagonal/>
    </border>
    <border>
      <left/>
      <right style="mediumDashed">
        <color theme="2" tint="-0.499984740745262"/>
      </right>
      <top/>
      <bottom style="mediumDashed">
        <color theme="2" tint="-0.499984740745262"/>
      </bottom>
      <diagonal/>
    </border>
    <border>
      <left/>
      <right style="mediumDashed">
        <color theme="2" tint="-0.499984740745262"/>
      </right>
      <top/>
      <bottom style="double">
        <color indexed="64"/>
      </bottom>
      <diagonal/>
    </border>
    <border>
      <left/>
      <right style="mediumDashed">
        <color theme="2" tint="-0.499984740745262"/>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6">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0" fontId="2" fillId="0" borderId="0" xfId="2"/>
    <xf numFmtId="0" fontId="2" fillId="0" borderId="0" xfId="2" applyAlignment="1">
      <alignment horizontal="center"/>
    </xf>
    <xf numFmtId="0" fontId="3" fillId="0" borderId="0" xfId="2" applyFont="1"/>
    <xf numFmtId="0" fontId="4" fillId="0" borderId="0" xfId="2" applyFont="1"/>
    <xf numFmtId="0" fontId="5" fillId="0" borderId="0" xfId="2" applyFont="1"/>
    <xf numFmtId="0" fontId="3" fillId="0" borderId="0" xfId="2" applyFont="1" applyAlignment="1">
      <alignment horizontal="center"/>
    </xf>
    <xf numFmtId="0" fontId="6" fillId="0" borderId="0" xfId="2" applyFont="1"/>
    <xf numFmtId="0" fontId="7" fillId="0" borderId="0" xfId="2" applyFont="1" applyAlignment="1">
      <alignment horizontal="right"/>
    </xf>
    <xf numFmtId="0" fontId="3" fillId="0" borderId="3" xfId="2" applyFont="1" applyBorder="1" applyAlignment="1">
      <alignment horizontal="center"/>
    </xf>
    <xf numFmtId="0" fontId="8" fillId="0" borderId="0" xfId="2" applyFont="1"/>
    <xf numFmtId="0" fontId="2" fillId="0" borderId="0" xfId="2" applyAlignment="1">
      <alignment horizontal="right"/>
    </xf>
    <xf numFmtId="42" fontId="2" fillId="0" borderId="0" xfId="2" applyNumberFormat="1"/>
    <xf numFmtId="165" fontId="2" fillId="0" borderId="4" xfId="2" applyNumberFormat="1" applyBorder="1"/>
    <xf numFmtId="165" fontId="2" fillId="0" borderId="0" xfId="2" applyNumberFormat="1"/>
    <xf numFmtId="42" fontId="4" fillId="0" borderId="0" xfId="2" applyNumberFormat="1" applyFont="1"/>
    <xf numFmtId="165" fontId="4" fillId="0" borderId="0" xfId="2" applyNumberFormat="1" applyFont="1"/>
    <xf numFmtId="0" fontId="9" fillId="0" borderId="0" xfId="2" applyFont="1" applyAlignment="1">
      <alignment horizontal="center"/>
    </xf>
    <xf numFmtId="44" fontId="2" fillId="0" borderId="0" xfId="2" applyNumberFormat="1"/>
    <xf numFmtId="166" fontId="4" fillId="0" borderId="0" xfId="2" applyNumberFormat="1" applyFont="1" applyAlignment="1">
      <alignment horizontal="center"/>
    </xf>
    <xf numFmtId="42" fontId="2" fillId="0" borderId="1" xfId="2" applyNumberFormat="1" applyBorder="1"/>
    <xf numFmtId="42" fontId="3" fillId="0" borderId="0" xfId="2" applyNumberFormat="1" applyFont="1"/>
    <xf numFmtId="42" fontId="3" fillId="0" borderId="5" xfId="2" applyNumberFormat="1" applyFont="1" applyBorder="1"/>
    <xf numFmtId="42" fontId="10" fillId="0" borderId="0" xfId="2" applyNumberFormat="1" applyFont="1"/>
    <xf numFmtId="167" fontId="10" fillId="0" borderId="0" xfId="2" applyNumberFormat="1" applyFont="1" applyAlignment="1">
      <alignment horizontal="center"/>
    </xf>
    <xf numFmtId="42" fontId="2" fillId="0" borderId="3" xfId="2" applyNumberFormat="1" applyBorder="1"/>
    <xf numFmtId="42" fontId="3" fillId="0" borderId="6" xfId="2" applyNumberFormat="1" applyFont="1" applyBorder="1"/>
    <xf numFmtId="168" fontId="3" fillId="0" borderId="0" xfId="2" applyNumberFormat="1" applyFont="1"/>
    <xf numFmtId="42" fontId="3" fillId="0" borderId="7" xfId="2" applyNumberFormat="1" applyFont="1" applyBorder="1"/>
    <xf numFmtId="166" fontId="2" fillId="0" borderId="0" xfId="2" applyNumberFormat="1" applyAlignment="1">
      <alignment horizontal="right"/>
    </xf>
    <xf numFmtId="0" fontId="11" fillId="0" borderId="0" xfId="2" applyFont="1"/>
    <xf numFmtId="170" fontId="2" fillId="0" borderId="0" xfId="2" applyNumberFormat="1" applyAlignment="1">
      <alignment horizontal="right"/>
    </xf>
    <xf numFmtId="0" fontId="12" fillId="0" borderId="0" xfId="2" applyFont="1"/>
    <xf numFmtId="0" fontId="13" fillId="0" borderId="0" xfId="2" applyFont="1"/>
    <xf numFmtId="171" fontId="2" fillId="0" borderId="0" xfId="2" applyNumberFormat="1"/>
    <xf numFmtId="0" fontId="2" fillId="0" borderId="8" xfId="2" applyBorder="1"/>
    <xf numFmtId="0" fontId="2" fillId="0" borderId="9" xfId="2" applyBorder="1"/>
    <xf numFmtId="10" fontId="2" fillId="0" borderId="9" xfId="2" applyNumberFormat="1" applyBorder="1"/>
    <xf numFmtId="172" fontId="12" fillId="0" borderId="0" xfId="2" applyNumberFormat="1" applyFont="1"/>
    <xf numFmtId="44" fontId="4" fillId="0" borderId="0" xfId="2" applyNumberFormat="1" applyFont="1"/>
    <xf numFmtId="0" fontId="2" fillId="0" borderId="11" xfId="2" applyBorder="1"/>
    <xf numFmtId="0" fontId="2" fillId="0" borderId="12" xfId="2" applyBorder="1"/>
    <xf numFmtId="0" fontId="12" fillId="0" borderId="0" xfId="2" quotePrefix="1" applyFont="1" applyAlignment="1">
      <alignment horizontal="center"/>
    </xf>
    <xf numFmtId="38" fontId="2" fillId="0" borderId="12" xfId="2" applyNumberFormat="1" applyBorder="1"/>
    <xf numFmtId="38" fontId="12" fillId="0" borderId="0" xfId="2" applyNumberFormat="1" applyFont="1"/>
    <xf numFmtId="38" fontId="2" fillId="0" borderId="13" xfId="2" applyNumberFormat="1" applyBorder="1"/>
    <xf numFmtId="4" fontId="4" fillId="0" borderId="0" xfId="2" applyNumberFormat="1" applyFont="1"/>
    <xf numFmtId="38" fontId="2" fillId="0" borderId="14" xfId="2" applyNumberFormat="1" applyBorder="1"/>
    <xf numFmtId="0" fontId="14" fillId="0" borderId="0" xfId="2" applyFont="1" applyAlignment="1">
      <alignment horizontal="center"/>
    </xf>
    <xf numFmtId="38" fontId="2" fillId="0" borderId="0" xfId="2" applyNumberFormat="1"/>
    <xf numFmtId="38" fontId="2" fillId="0" borderId="1" xfId="2" applyNumberFormat="1" applyBorder="1"/>
    <xf numFmtId="38" fontId="2" fillId="0" borderId="15" xfId="2" applyNumberFormat="1" applyBorder="1"/>
    <xf numFmtId="0" fontId="2" fillId="0" borderId="16" xfId="2" applyBorder="1"/>
    <xf numFmtId="0" fontId="2" fillId="0" borderId="17" xfId="2" applyBorder="1"/>
    <xf numFmtId="38" fontId="2" fillId="0" borderId="17" xfId="2" applyNumberFormat="1" applyBorder="1" applyAlignment="1">
      <alignment horizontal="center"/>
    </xf>
    <xf numFmtId="38" fontId="2" fillId="0" borderId="18" xfId="2" applyNumberFormat="1" applyBorder="1"/>
    <xf numFmtId="10" fontId="4" fillId="0" borderId="0" xfId="2" applyNumberFormat="1" applyFont="1"/>
    <xf numFmtId="38" fontId="2" fillId="0" borderId="9" xfId="2" applyNumberFormat="1" applyBorder="1"/>
    <xf numFmtId="14" fontId="2" fillId="0" borderId="0" xfId="2" applyNumberFormat="1"/>
    <xf numFmtId="38" fontId="15" fillId="0" borderId="0" xfId="2" applyNumberFormat="1" applyFont="1"/>
    <xf numFmtId="0" fontId="15" fillId="0" borderId="0" xfId="2" applyFont="1"/>
    <xf numFmtId="174" fontId="4" fillId="0" borderId="0" xfId="2" applyNumberFormat="1" applyFont="1"/>
    <xf numFmtId="173" fontId="2" fillId="0" borderId="0" xfId="2" applyNumberFormat="1"/>
    <xf numFmtId="38" fontId="2" fillId="0" borderId="0" xfId="2" applyNumberFormat="1" applyAlignment="1">
      <alignment horizontal="center"/>
    </xf>
    <xf numFmtId="0" fontId="3" fillId="0" borderId="6" xfId="2" applyFont="1" applyBorder="1"/>
    <xf numFmtId="10" fontId="11" fillId="0" borderId="0" xfId="2" applyNumberFormat="1" applyFont="1"/>
    <xf numFmtId="0" fontId="2" fillId="0" borderId="22" xfId="2" applyBorder="1"/>
    <xf numFmtId="0" fontId="2" fillId="0" borderId="23" xfId="2" applyBorder="1"/>
    <xf numFmtId="0" fontId="0" fillId="0" borderId="22" xfId="0" applyBorder="1"/>
    <xf numFmtId="0" fontId="2" fillId="0" borderId="24" xfId="2" applyBorder="1"/>
    <xf numFmtId="0" fontId="2" fillId="0" borderId="25" xfId="2" applyBorder="1"/>
    <xf numFmtId="0" fontId="2" fillId="0" borderId="26" xfId="2" applyBorder="1"/>
    <xf numFmtId="44" fontId="4" fillId="0" borderId="0" xfId="1" applyFont="1" applyFill="1" applyProtection="1"/>
    <xf numFmtId="10" fontId="2" fillId="0" borderId="2" xfId="2" applyNumberFormat="1" applyBorder="1"/>
    <xf numFmtId="0" fontId="2" fillId="0" borderId="10" xfId="2" applyBorder="1"/>
    <xf numFmtId="9" fontId="2" fillId="0" borderId="0" xfId="4" applyFont="1" applyFill="1" applyAlignment="1" applyProtection="1">
      <alignment horizontal="right"/>
    </xf>
    <xf numFmtId="0" fontId="2" fillId="0" borderId="19" xfId="2" applyBorder="1"/>
    <xf numFmtId="0" fontId="2" fillId="0" borderId="20" xfId="2" applyBorder="1"/>
    <xf numFmtId="0" fontId="2" fillId="0" borderId="21" xfId="2" applyBorder="1"/>
    <xf numFmtId="42" fontId="12" fillId="0" borderId="0" xfId="2" applyNumberFormat="1" applyFont="1"/>
    <xf numFmtId="0" fontId="2" fillId="0" borderId="0" xfId="2" applyAlignment="1">
      <alignment horizontal="center" vertical="center"/>
    </xf>
    <xf numFmtId="0" fontId="2" fillId="0" borderId="20" xfId="2" applyBorder="1" applyAlignment="1">
      <alignment horizontal="center" vertical="center"/>
    </xf>
    <xf numFmtId="0" fontId="0" fillId="0" borderId="0" xfId="0" applyAlignment="1">
      <alignment horizontal="center" vertical="center"/>
    </xf>
    <xf numFmtId="0" fontId="2" fillId="0" borderId="25" xfId="2" applyBorder="1" applyAlignment="1">
      <alignment horizontal="center" vertical="center"/>
    </xf>
    <xf numFmtId="42" fontId="2" fillId="0" borderId="23" xfId="2" applyNumberFormat="1" applyBorder="1"/>
    <xf numFmtId="166" fontId="2" fillId="0" borderId="0" xfId="2" applyNumberFormat="1"/>
    <xf numFmtId="14" fontId="2" fillId="0" borderId="0" xfId="2" applyNumberFormat="1" applyAlignment="1">
      <alignment horizontal="center"/>
    </xf>
    <xf numFmtId="0" fontId="0" fillId="0" borderId="0" xfId="0" applyAlignment="1">
      <alignment horizontal="center"/>
    </xf>
    <xf numFmtId="0" fontId="3" fillId="0" borderId="22" xfId="2" applyFont="1" applyBorder="1"/>
    <xf numFmtId="0" fontId="3" fillId="0" borderId="0" xfId="2" applyFont="1" applyAlignment="1">
      <alignment horizontal="center" vertical="center"/>
    </xf>
    <xf numFmtId="0" fontId="20" fillId="0" borderId="22" xfId="2" applyFont="1" applyBorder="1" applyAlignment="1">
      <alignment horizontal="center"/>
    </xf>
    <xf numFmtId="0" fontId="20" fillId="0" borderId="0" xfId="2" applyFont="1" applyAlignment="1">
      <alignment horizontal="center" vertical="center"/>
    </xf>
    <xf numFmtId="0" fontId="20" fillId="0" borderId="0" xfId="2" applyFont="1" applyAlignment="1">
      <alignment horizontal="center"/>
    </xf>
    <xf numFmtId="0" fontId="3" fillId="0" borderId="23" xfId="2" applyFont="1" applyBorder="1" applyAlignment="1">
      <alignment horizontal="center"/>
    </xf>
    <xf numFmtId="0" fontId="20" fillId="0" borderId="23" xfId="2" applyFont="1" applyBorder="1" applyAlignment="1">
      <alignment horizontal="center"/>
    </xf>
    <xf numFmtId="0" fontId="0" fillId="0" borderId="23" xfId="0" applyBorder="1"/>
    <xf numFmtId="175" fontId="2" fillId="0" borderId="27" xfId="2" applyNumberFormat="1" applyBorder="1"/>
    <xf numFmtId="42" fontId="2" fillId="0" borderId="28" xfId="2" applyNumberFormat="1" applyBorder="1"/>
    <xf numFmtId="0" fontId="2" fillId="0" borderId="2" xfId="2" applyBorder="1"/>
    <xf numFmtId="42" fontId="3" fillId="0" borderId="23" xfId="2" applyNumberFormat="1" applyFont="1" applyBorder="1"/>
    <xf numFmtId="177" fontId="2" fillId="0" borderId="23" xfId="5" applyNumberFormat="1" applyFont="1" applyFill="1" applyBorder="1"/>
    <xf numFmtId="0" fontId="19" fillId="0" borderId="0" xfId="0" applyFont="1" applyAlignment="1">
      <alignment horizontal="center"/>
    </xf>
    <xf numFmtId="0" fontId="19" fillId="0" borderId="0" xfId="0" applyFont="1"/>
    <xf numFmtId="0" fontId="3" fillId="0" borderId="0" xfId="2" applyFont="1" applyAlignment="1">
      <alignment horizontal="right"/>
    </xf>
    <xf numFmtId="42" fontId="3" fillId="0" borderId="28" xfId="2" applyNumberFormat="1" applyFont="1" applyBorder="1"/>
    <xf numFmtId="0" fontId="22" fillId="0" borderId="0" xfId="0" applyFont="1"/>
    <xf numFmtId="0" fontId="21" fillId="0" borderId="32" xfId="0" applyFont="1" applyBorder="1" applyAlignment="1">
      <alignment wrapText="1"/>
    </xf>
    <xf numFmtId="0" fontId="21" fillId="0" borderId="33" xfId="0" applyFont="1" applyBorder="1" applyAlignment="1">
      <alignment horizontal="center" wrapText="1"/>
    </xf>
    <xf numFmtId="0" fontId="21" fillId="0" borderId="34" xfId="0" applyFont="1" applyBorder="1" applyAlignment="1">
      <alignment horizontal="center" wrapText="1"/>
    </xf>
    <xf numFmtId="0" fontId="21" fillId="0" borderId="35" xfId="0" applyFont="1" applyBorder="1" applyAlignment="1">
      <alignment horizontal="center" wrapText="1"/>
    </xf>
    <xf numFmtId="0" fontId="21" fillId="0" borderId="35" xfId="0" applyFont="1" applyBorder="1" applyAlignment="1">
      <alignment wrapText="1"/>
    </xf>
    <xf numFmtId="6" fontId="21" fillId="0" borderId="35" xfId="0" applyNumberFormat="1" applyFont="1" applyBorder="1" applyAlignment="1">
      <alignment wrapText="1"/>
    </xf>
    <xf numFmtId="0" fontId="21" fillId="0" borderId="0" xfId="0" applyFont="1" applyAlignment="1">
      <alignment horizontal="center" wrapText="1"/>
    </xf>
    <xf numFmtId="0" fontId="21" fillId="0" borderId="0" xfId="0" applyFont="1" applyAlignment="1">
      <alignment wrapText="1"/>
    </xf>
    <xf numFmtId="3" fontId="21" fillId="0" borderId="36" xfId="0" applyNumberFormat="1" applyFont="1" applyBorder="1" applyAlignment="1">
      <alignment wrapText="1"/>
    </xf>
    <xf numFmtId="6" fontId="21" fillId="0" borderId="37" xfId="0" applyNumberFormat="1" applyFont="1" applyBorder="1" applyAlignment="1">
      <alignment wrapText="1"/>
    </xf>
    <xf numFmtId="0" fontId="21" fillId="0" borderId="38" xfId="0" applyFont="1" applyBorder="1" applyAlignment="1">
      <alignment wrapText="1"/>
    </xf>
    <xf numFmtId="0" fontId="21" fillId="0" borderId="36" xfId="0" applyFont="1" applyBorder="1" applyAlignment="1">
      <alignment wrapText="1"/>
    </xf>
    <xf numFmtId="3" fontId="21" fillId="0" borderId="0" xfId="0" applyNumberFormat="1" applyFont="1" applyAlignment="1">
      <alignment wrapText="1"/>
    </xf>
    <xf numFmtId="6" fontId="21" fillId="0" borderId="30" xfId="0" applyNumberFormat="1" applyFont="1" applyBorder="1" applyAlignment="1">
      <alignment wrapText="1"/>
    </xf>
    <xf numFmtId="0" fontId="23" fillId="0" borderId="0" xfId="0" applyFont="1" applyAlignment="1">
      <alignment horizontal="center" wrapText="1"/>
    </xf>
    <xf numFmtId="0" fontId="21" fillId="0" borderId="30" xfId="0" applyFont="1" applyBorder="1" applyAlignment="1">
      <alignment wrapText="1"/>
    </xf>
    <xf numFmtId="3" fontId="21" fillId="0" borderId="37" xfId="0" applyNumberFormat="1" applyFont="1" applyBorder="1" applyAlignment="1">
      <alignment wrapText="1"/>
    </xf>
    <xf numFmtId="0" fontId="21" fillId="0" borderId="37" xfId="0" applyFont="1" applyBorder="1" applyAlignment="1">
      <alignment wrapText="1"/>
    </xf>
    <xf numFmtId="0" fontId="21" fillId="0" borderId="0" xfId="0" applyFont="1" applyAlignment="1">
      <alignment horizontal="right" wrapText="1"/>
    </xf>
    <xf numFmtId="0" fontId="21" fillId="0" borderId="0" xfId="0" applyFont="1" applyAlignment="1">
      <alignment horizontal="left" wrapText="1"/>
    </xf>
    <xf numFmtId="0" fontId="2" fillId="2" borderId="0" xfId="2" applyFill="1" applyAlignment="1">
      <alignment horizontal="center" vertical="center"/>
    </xf>
    <xf numFmtId="0" fontId="2" fillId="2" borderId="0" xfId="2" applyFill="1"/>
    <xf numFmtId="42" fontId="3" fillId="2" borderId="0" xfId="2" applyNumberFormat="1" applyFont="1" applyFill="1"/>
    <xf numFmtId="0" fontId="3" fillId="2" borderId="0" xfId="2" applyFont="1" applyFill="1"/>
    <xf numFmtId="42" fontId="3" fillId="2" borderId="23" xfId="2" applyNumberFormat="1" applyFont="1" applyFill="1" applyBorder="1"/>
    <xf numFmtId="0" fontId="3" fillId="2" borderId="22" xfId="2" applyFont="1" applyFill="1" applyBorder="1"/>
    <xf numFmtId="0" fontId="3" fillId="3" borderId="39" xfId="2" applyFont="1" applyFill="1" applyBorder="1" applyAlignment="1">
      <alignment horizontal="right"/>
    </xf>
    <xf numFmtId="0" fontId="2" fillId="3" borderId="40" xfId="2" applyFill="1" applyBorder="1"/>
    <xf numFmtId="42" fontId="3" fillId="3" borderId="41" xfId="2" applyNumberFormat="1" applyFont="1" applyFill="1" applyBorder="1"/>
    <xf numFmtId="0" fontId="24" fillId="0" borderId="0" xfId="2" applyFont="1" applyAlignment="1">
      <alignment vertical="top"/>
    </xf>
    <xf numFmtId="42" fontId="0" fillId="0" borderId="0" xfId="0" applyNumberFormat="1"/>
    <xf numFmtId="43" fontId="4" fillId="0" borderId="0" xfId="2" applyNumberFormat="1" applyFont="1"/>
    <xf numFmtId="176" fontId="4" fillId="0" borderId="0" xfId="5" applyNumberFormat="1" applyFont="1"/>
    <xf numFmtId="169" fontId="2" fillId="0" borderId="0" xfId="2" applyNumberFormat="1"/>
    <xf numFmtId="43" fontId="2" fillId="0" borderId="0" xfId="5" applyFont="1"/>
    <xf numFmtId="44" fontId="4" fillId="0" borderId="0" xfId="1" applyFont="1" applyFill="1" applyBorder="1" applyProtection="1"/>
    <xf numFmtId="172" fontId="4" fillId="0" borderId="0" xfId="2" applyNumberFormat="1" applyFont="1"/>
    <xf numFmtId="0" fontId="4" fillId="0" borderId="0" xfId="2" quotePrefix="1" applyFont="1" applyAlignment="1">
      <alignment horizontal="center"/>
    </xf>
    <xf numFmtId="38" fontId="4" fillId="0" borderId="0" xfId="2" applyNumberFormat="1" applyFont="1"/>
    <xf numFmtId="0" fontId="25" fillId="0" borderId="0" xfId="0" applyFont="1"/>
    <xf numFmtId="44" fontId="25" fillId="0" borderId="0" xfId="0" applyNumberFormat="1" applyFont="1"/>
    <xf numFmtId="0" fontId="3" fillId="0" borderId="42" xfId="2" applyFont="1" applyBorder="1" applyAlignment="1">
      <alignment horizontal="right"/>
    </xf>
    <xf numFmtId="0" fontId="3" fillId="0" borderId="0" xfId="2" applyFont="1" applyAlignment="1">
      <alignment horizontal="center"/>
    </xf>
    <xf numFmtId="0" fontId="3" fillId="0" borderId="3" xfId="2" applyFont="1" applyBorder="1" applyAlignment="1">
      <alignment horizontal="center"/>
    </xf>
    <xf numFmtId="0" fontId="6" fillId="0" borderId="0" xfId="2" applyFont="1" applyAlignment="1">
      <alignment horizontal="center"/>
    </xf>
    <xf numFmtId="0" fontId="21" fillId="0" borderId="0" xfId="0" applyFont="1" applyAlignment="1">
      <alignment wrapText="1"/>
    </xf>
    <xf numFmtId="0" fontId="21" fillId="0" borderId="0" xfId="0" applyFont="1" applyAlignment="1">
      <alignment horizontal="left" wrapText="1"/>
    </xf>
    <xf numFmtId="0" fontId="21" fillId="0" borderId="29" xfId="0" applyFont="1" applyBorder="1" applyAlignment="1">
      <alignment horizontal="center" wrapText="1"/>
    </xf>
    <xf numFmtId="0" fontId="21" fillId="0" borderId="30" xfId="0" applyFont="1" applyBorder="1" applyAlignment="1">
      <alignment horizontal="center" wrapText="1"/>
    </xf>
    <xf numFmtId="0" fontId="21" fillId="0" borderId="31" xfId="0" applyFont="1" applyBorder="1" applyAlignment="1">
      <alignment horizontal="center" wrapText="1"/>
    </xf>
    <xf numFmtId="0" fontId="21" fillId="0" borderId="33" xfId="0" applyFont="1" applyBorder="1" applyAlignment="1">
      <alignment horizontal="center" wrapText="1"/>
    </xf>
    <xf numFmtId="0" fontId="21" fillId="0" borderId="34" xfId="0" applyFont="1" applyBorder="1" applyAlignment="1">
      <alignment horizontal="center" wrapText="1"/>
    </xf>
  </cellXfs>
  <cellStyles count="6">
    <cellStyle name="Comma" xfId="5" builtinId="3"/>
    <cellStyle name="Currency" xfId="1" builtinId="4"/>
    <cellStyle name="Currency 2" xfId="3" xr:uid="{00000000-0005-0000-0000-000001000000}"/>
    <cellStyle name="Normal" xfId="0" builtinId="0"/>
    <cellStyle name="Normal 2" xfId="2" xr:uid="{00000000-0005-0000-0000-000003000000}"/>
    <cellStyle name="Percent" xfId="4" builtinId="5"/>
  </cellStyles>
  <dxfs count="0"/>
  <tableStyles count="0" defaultTableStyle="TableStyleMedium2" defaultPivotStyle="PivotStyleLight16"/>
  <colors>
    <mruColors>
      <color rgb="FF8FFFC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66675</xdr:colOff>
      <xdr:row>6</xdr:row>
      <xdr:rowOff>76200</xdr:rowOff>
    </xdr:from>
    <xdr:to>
      <xdr:col>20</xdr:col>
      <xdr:colOff>572591</xdr:colOff>
      <xdr:row>35</xdr:row>
      <xdr:rowOff>124665</xdr:rowOff>
    </xdr:to>
    <xdr:pic>
      <xdr:nvPicPr>
        <xdr:cNvPr id="2" name="Picture 1">
          <a:extLst>
            <a:ext uri="{FF2B5EF4-FFF2-40B4-BE49-F238E27FC236}">
              <a16:creationId xmlns:a16="http://schemas.microsoft.com/office/drawing/2014/main" id="{648D9F63-24E5-43C0-828B-45FE1FB43B42}"/>
            </a:ext>
          </a:extLst>
        </xdr:cNvPr>
        <xdr:cNvPicPr>
          <a:picLocks noChangeAspect="1"/>
        </xdr:cNvPicPr>
      </xdr:nvPicPr>
      <xdr:blipFill>
        <a:blip xmlns:r="http://schemas.openxmlformats.org/officeDocument/2006/relationships" r:embed="rId1"/>
        <a:stretch>
          <a:fillRect/>
        </a:stretch>
      </xdr:blipFill>
      <xdr:spPr>
        <a:xfrm>
          <a:off x="12792075" y="1352550"/>
          <a:ext cx="7821116" cy="563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857250</xdr:colOff>
      <xdr:row>78</xdr:row>
      <xdr:rowOff>126999</xdr:rowOff>
    </xdr:from>
    <xdr:to>
      <xdr:col>16</xdr:col>
      <xdr:colOff>347641</xdr:colOff>
      <xdr:row>84</xdr:row>
      <xdr:rowOff>31869</xdr:rowOff>
    </xdr:to>
    <xdr:pic>
      <xdr:nvPicPr>
        <xdr:cNvPr id="2" name="Picture 1">
          <a:extLst>
            <a:ext uri="{FF2B5EF4-FFF2-40B4-BE49-F238E27FC236}">
              <a16:creationId xmlns:a16="http://schemas.microsoft.com/office/drawing/2014/main" id="{8FE72B09-0DAA-B493-7A86-DE3B899D14DA}"/>
            </a:ext>
          </a:extLst>
        </xdr:cNvPr>
        <xdr:cNvPicPr>
          <a:picLocks noChangeAspect="1"/>
        </xdr:cNvPicPr>
      </xdr:nvPicPr>
      <xdr:blipFill>
        <a:blip xmlns:r="http://schemas.openxmlformats.org/officeDocument/2006/relationships" r:embed="rId1"/>
        <a:stretch>
          <a:fillRect/>
        </a:stretch>
      </xdr:blipFill>
      <xdr:spPr>
        <a:xfrm>
          <a:off x="12551833" y="12816416"/>
          <a:ext cx="3639058" cy="8573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hley D Livingood" id="{9BE57E42-A58E-48BD-B6A7-48F61D637E9D}" userId="S::s275077@corp.aepsc.com::e49d7f2a-98ba-46ee-a195-601126cdaf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3" dT="2022-08-23T22:26:57.16" personId="{9BE57E42-A58E-48BD-B6A7-48F61D637E9D}" id="{6D98BFB9-0CD8-4DCB-9CC4-2E8CE1228CE3}" done="1">
    <text>storm restoration Friday-Monday; DHE weekend time would all be incremental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Q63" dT="2022-08-23T22:26:57.16" personId="{9BE57E42-A58E-48BD-B6A7-48F61D637E9D}" id="{A3F2E28A-AE9F-4229-B677-9D1A372B8006}">
    <text>storm restoration Friday-Monday; DHE weekend time would all be incremental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5"/>
  <sheetViews>
    <sheetView tabSelected="1" zoomScale="90" zoomScaleNormal="90" workbookViewId="0">
      <selection activeCell="O67" sqref="O67"/>
    </sheetView>
  </sheetViews>
  <sheetFormatPr defaultColWidth="9.1796875" defaultRowHeight="12.5" x14ac:dyDescent="0.25"/>
  <cols>
    <col min="1" max="1" width="9.1796875" style="1"/>
    <col min="2" max="2" width="31.54296875" style="1" bestFit="1" customWidth="1"/>
    <col min="3" max="3" width="6" style="80" customWidth="1"/>
    <col min="4" max="4" width="17" style="1" customWidth="1"/>
    <col min="5" max="5" width="3.453125" style="1" customWidth="1"/>
    <col min="6" max="6" width="17" style="1" customWidth="1"/>
    <col min="7" max="7" width="3.453125" style="1" customWidth="1"/>
    <col min="8" max="8" width="17" style="1" customWidth="1"/>
    <col min="9" max="9" width="3.453125" style="1" customWidth="1"/>
    <col min="10" max="10" width="19.54296875" style="1" customWidth="1"/>
    <col min="11" max="11" width="14.26953125" style="1" bestFit="1" customWidth="1"/>
    <col min="12" max="12" width="14" style="4" customWidth="1"/>
    <col min="13" max="13" width="10.7265625" style="4" customWidth="1"/>
    <col min="14" max="14" width="15.81640625" style="4" customWidth="1"/>
    <col min="15" max="16" width="12.81640625" style="1" bestFit="1" customWidth="1"/>
    <col min="17" max="16384" width="9.1796875" style="1"/>
  </cols>
  <sheetData>
    <row r="1" spans="2:14" ht="15" x14ac:dyDescent="0.3">
      <c r="B1" s="150" t="s">
        <v>0</v>
      </c>
      <c r="C1" s="150"/>
      <c r="D1" s="150"/>
      <c r="E1" s="150"/>
      <c r="F1" s="150"/>
      <c r="G1" s="150"/>
      <c r="H1" s="150"/>
      <c r="I1" s="150"/>
      <c r="J1" s="150"/>
    </row>
    <row r="2" spans="2:14" ht="15" x14ac:dyDescent="0.3">
      <c r="B2" s="150" t="s">
        <v>101</v>
      </c>
      <c r="C2" s="150"/>
      <c r="D2" s="150"/>
      <c r="E2" s="150"/>
      <c r="F2" s="150"/>
      <c r="G2" s="150"/>
      <c r="H2" s="150"/>
      <c r="I2" s="150"/>
      <c r="J2" s="150"/>
    </row>
    <row r="3" spans="2:14" hidden="1" x14ac:dyDescent="0.25">
      <c r="B3" s="148" t="s">
        <v>1</v>
      </c>
      <c r="C3" s="148"/>
      <c r="D3" s="148"/>
      <c r="E3" s="148"/>
      <c r="F3" s="148"/>
      <c r="G3" s="148"/>
      <c r="H3" s="148"/>
      <c r="I3" s="148"/>
      <c r="J3" s="148"/>
    </row>
    <row r="4" spans="2:14" x14ac:dyDescent="0.25">
      <c r="B4" s="148"/>
      <c r="C4" s="148"/>
      <c r="D4" s="148"/>
      <c r="E4" s="148"/>
      <c r="F4" s="148"/>
      <c r="G4" s="148"/>
      <c r="H4" s="148"/>
      <c r="I4" s="148"/>
      <c r="J4" s="148"/>
    </row>
    <row r="5" spans="2:14" ht="13" thickBot="1" x14ac:dyDescent="0.3">
      <c r="B5" s="2"/>
      <c r="D5" s="2"/>
      <c r="E5" s="2"/>
      <c r="F5" s="2"/>
      <c r="G5" s="2"/>
      <c r="H5" s="2"/>
      <c r="I5" s="2"/>
      <c r="J5" s="2"/>
    </row>
    <row r="6" spans="2:14" ht="15" customHeight="1" x14ac:dyDescent="0.25">
      <c r="B6" s="76"/>
      <c r="C6" s="81"/>
      <c r="D6" s="77"/>
      <c r="E6" s="77"/>
      <c r="F6" s="77"/>
      <c r="G6" s="77"/>
      <c r="H6" s="77"/>
      <c r="I6" s="77"/>
      <c r="J6" s="78"/>
      <c r="L6" s="138"/>
      <c r="N6" s="15"/>
    </row>
    <row r="7" spans="2:14" x14ac:dyDescent="0.25">
      <c r="B7" s="88"/>
      <c r="C7" s="89"/>
      <c r="D7" s="3"/>
      <c r="E7" s="3"/>
      <c r="F7" s="3"/>
      <c r="G7" s="3"/>
      <c r="H7" s="89" t="s">
        <v>93</v>
      </c>
      <c r="I7" s="3"/>
      <c r="J7" s="93" t="s">
        <v>2</v>
      </c>
    </row>
    <row r="8" spans="2:14" x14ac:dyDescent="0.25">
      <c r="B8" s="90" t="s">
        <v>3</v>
      </c>
      <c r="C8" s="91"/>
      <c r="D8" s="92" t="s">
        <v>4</v>
      </c>
      <c r="E8" s="92"/>
      <c r="F8" s="92" t="s">
        <v>99</v>
      </c>
      <c r="G8" s="92"/>
      <c r="H8" s="91" t="s">
        <v>114</v>
      </c>
      <c r="I8" s="3"/>
      <c r="J8" s="94" t="s">
        <v>95</v>
      </c>
    </row>
    <row r="9" spans="2:14" x14ac:dyDescent="0.25">
      <c r="B9" s="66"/>
      <c r="D9" s="2"/>
      <c r="F9" s="2"/>
      <c r="J9" s="67"/>
    </row>
    <row r="10" spans="2:14" x14ac:dyDescent="0.25">
      <c r="B10" s="66"/>
      <c r="D10" s="2"/>
      <c r="F10" s="2"/>
      <c r="J10" s="67"/>
      <c r="L10" s="15">
        <f>J11+J34</f>
        <v>8437304.7819891032</v>
      </c>
      <c r="N10" s="137">
        <f>(J11/L10)*L12</f>
        <v>3690893.8358143438</v>
      </c>
    </row>
    <row r="11" spans="2:14" x14ac:dyDescent="0.25">
      <c r="B11" s="66" t="s">
        <v>105</v>
      </c>
      <c r="C11" s="80" t="s">
        <v>98</v>
      </c>
      <c r="D11" s="86">
        <v>45662</v>
      </c>
      <c r="F11" s="2" t="s">
        <v>100</v>
      </c>
      <c r="H11" s="12">
        <f>'Jan 05 Snow-Ice Distr'!K103</f>
        <v>7166335.5100000007</v>
      </c>
      <c r="J11" s="84">
        <f>'Jan 05 Snow-Ice Distr'!O103</f>
        <v>4194197.2165434603</v>
      </c>
      <c r="M11" s="15"/>
      <c r="N11" s="39"/>
    </row>
    <row r="12" spans="2:14" x14ac:dyDescent="0.25">
      <c r="B12" s="66"/>
      <c r="D12" s="86"/>
      <c r="F12" s="2"/>
      <c r="J12" s="84"/>
      <c r="L12" s="138">
        <f>L10-J43</f>
        <v>7424828.7819891032</v>
      </c>
      <c r="N12" s="137">
        <f>(J34/L10)*L12</f>
        <v>3733934.9461747594</v>
      </c>
    </row>
    <row r="13" spans="2:14" hidden="1" x14ac:dyDescent="0.25">
      <c r="B13" s="66"/>
      <c r="D13" s="86"/>
      <c r="F13" s="2"/>
      <c r="J13" s="84"/>
      <c r="L13" s="138"/>
    </row>
    <row r="14" spans="2:14" hidden="1" x14ac:dyDescent="0.25">
      <c r="B14" s="66"/>
      <c r="D14" s="86"/>
      <c r="F14" s="2"/>
      <c r="J14" s="84"/>
      <c r="L14" s="138"/>
    </row>
    <row r="15" spans="2:14" hidden="1" x14ac:dyDescent="0.25">
      <c r="B15" s="66"/>
      <c r="D15" s="86"/>
      <c r="F15" s="2"/>
      <c r="J15" s="84"/>
      <c r="L15" s="138"/>
    </row>
    <row r="16" spans="2:14" hidden="1" x14ac:dyDescent="0.25">
      <c r="B16" s="66"/>
      <c r="D16" s="2"/>
      <c r="F16" s="2"/>
      <c r="J16" s="67"/>
      <c r="L16" s="138"/>
    </row>
    <row r="17" spans="2:12" hidden="1" x14ac:dyDescent="0.25">
      <c r="B17" s="66"/>
      <c r="D17" s="86"/>
      <c r="F17" s="2"/>
      <c r="J17" s="84"/>
      <c r="L17" s="138"/>
    </row>
    <row r="18" spans="2:12" hidden="1" x14ac:dyDescent="0.25">
      <c r="B18" s="66"/>
      <c r="D18" s="2"/>
      <c r="F18" s="2"/>
      <c r="J18" s="67"/>
      <c r="L18" s="138"/>
    </row>
    <row r="19" spans="2:12" hidden="1" x14ac:dyDescent="0.25">
      <c r="B19" s="66"/>
      <c r="D19" s="86"/>
      <c r="F19" s="2"/>
      <c r="J19" s="67"/>
      <c r="L19" s="138"/>
    </row>
    <row r="20" spans="2:12" hidden="1" x14ac:dyDescent="0.25">
      <c r="B20" s="66"/>
      <c r="D20" s="86"/>
      <c r="F20" s="2"/>
      <c r="J20" s="84"/>
      <c r="L20" s="138"/>
    </row>
    <row r="21" spans="2:12" hidden="1" x14ac:dyDescent="0.25">
      <c r="B21" s="66"/>
      <c r="D21" s="86"/>
      <c r="F21" s="2"/>
      <c r="J21" s="84"/>
      <c r="L21" s="138"/>
    </row>
    <row r="22" spans="2:12" hidden="1" x14ac:dyDescent="0.25">
      <c r="B22" s="66"/>
      <c r="D22" s="86"/>
      <c r="F22" s="2"/>
      <c r="J22" s="84"/>
      <c r="L22" s="138"/>
    </row>
    <row r="23" spans="2:12" hidden="1" x14ac:dyDescent="0.25">
      <c r="B23" s="66"/>
      <c r="D23" s="86"/>
      <c r="F23" s="2"/>
      <c r="J23" s="84"/>
      <c r="L23" s="138"/>
    </row>
    <row r="24" spans="2:12" hidden="1" x14ac:dyDescent="0.25">
      <c r="B24" s="66"/>
      <c r="D24" s="86"/>
      <c r="F24" s="2"/>
      <c r="J24" s="84"/>
      <c r="L24" s="138"/>
    </row>
    <row r="25" spans="2:12" hidden="1" x14ac:dyDescent="0.25">
      <c r="B25" s="66"/>
      <c r="D25" s="86"/>
      <c r="F25" s="2"/>
      <c r="J25" s="84"/>
      <c r="L25" s="138"/>
    </row>
    <row r="26" spans="2:12" hidden="1" x14ac:dyDescent="0.25">
      <c r="B26" s="66"/>
      <c r="D26" s="86"/>
      <c r="F26" s="2"/>
      <c r="J26" s="84"/>
      <c r="L26" s="138"/>
    </row>
    <row r="27" spans="2:12" hidden="1" x14ac:dyDescent="0.25">
      <c r="B27" s="66"/>
      <c r="D27" s="86"/>
      <c r="F27" s="2"/>
      <c r="J27" s="84"/>
      <c r="L27" s="138"/>
    </row>
    <row r="28" spans="2:12" hidden="1" x14ac:dyDescent="0.25">
      <c r="B28" s="66"/>
      <c r="D28" s="2"/>
      <c r="F28" s="2"/>
      <c r="J28" s="67"/>
    </row>
    <row r="29" spans="2:12" hidden="1" x14ac:dyDescent="0.25">
      <c r="B29" s="66"/>
      <c r="D29" s="2"/>
      <c r="F29" s="2"/>
      <c r="J29" s="67"/>
    </row>
    <row r="30" spans="2:12" hidden="1" x14ac:dyDescent="0.25">
      <c r="B30" s="66"/>
      <c r="D30" s="2"/>
      <c r="F30" s="2"/>
      <c r="J30" s="67"/>
    </row>
    <row r="31" spans="2:12" hidden="1" x14ac:dyDescent="0.25">
      <c r="B31" s="66"/>
      <c r="D31" s="2"/>
      <c r="F31" s="2"/>
      <c r="J31" s="84"/>
    </row>
    <row r="32" spans="2:12" hidden="1" x14ac:dyDescent="0.25">
      <c r="B32" s="66"/>
      <c r="D32" s="2"/>
      <c r="F32" s="2"/>
      <c r="J32" s="84"/>
    </row>
    <row r="33" spans="1:15" ht="14.5" hidden="1" x14ac:dyDescent="0.35">
      <c r="B33" s="68"/>
      <c r="C33" s="82"/>
      <c r="D33" s="87"/>
      <c r="E33"/>
      <c r="F33" s="87"/>
      <c r="G33"/>
      <c r="H33"/>
      <c r="I33"/>
      <c r="J33" s="95"/>
    </row>
    <row r="34" spans="1:15" x14ac:dyDescent="0.25">
      <c r="B34" s="66" t="s">
        <v>112</v>
      </c>
      <c r="C34" s="80" t="s">
        <v>98</v>
      </c>
      <c r="D34" s="86">
        <v>45703</v>
      </c>
      <c r="F34" s="2" t="s">
        <v>109</v>
      </c>
      <c r="H34" s="12">
        <f>'Feb 15 Thunderstorm_Dist'!K109</f>
        <v>7430857.3000000007</v>
      </c>
      <c r="J34" s="84">
        <f>'Feb 15 Thunderstorm_Dist'!O109</f>
        <v>4243107.5654456429</v>
      </c>
      <c r="N34" s="39"/>
    </row>
    <row r="35" spans="1:15" x14ac:dyDescent="0.25">
      <c r="B35" s="66"/>
      <c r="D35" s="2"/>
      <c r="F35" s="2"/>
      <c r="J35" s="84"/>
    </row>
    <row r="36" spans="1:15" x14ac:dyDescent="0.25">
      <c r="B36" s="66" t="s">
        <v>113</v>
      </c>
      <c r="C36" s="80" t="s">
        <v>98</v>
      </c>
      <c r="D36" s="86">
        <v>45703</v>
      </c>
      <c r="F36" s="2" t="str">
        <f>'Feb 15 Thunderstorm_Trans'!B6</f>
        <v>KEPCS2502</v>
      </c>
      <c r="H36" s="12">
        <f>'Feb 15 Thunderstorm_Trans'!K69</f>
        <v>131695</v>
      </c>
      <c r="J36" s="84">
        <f>'Feb 15 Thunderstorm_Trans'!O69</f>
        <v>131695</v>
      </c>
      <c r="N36" s="15"/>
    </row>
    <row r="37" spans="1:15" ht="13" thickBot="1" x14ac:dyDescent="0.3">
      <c r="B37" s="66"/>
      <c r="H37" s="98"/>
      <c r="J37" s="96"/>
      <c r="L37" s="39"/>
    </row>
    <row r="38" spans="1:15" ht="13" thickTop="1" x14ac:dyDescent="0.25">
      <c r="B38" s="131" t="s">
        <v>155</v>
      </c>
      <c r="C38" s="126"/>
      <c r="D38" s="127"/>
      <c r="E38" s="127"/>
      <c r="F38" s="127"/>
      <c r="G38" s="127"/>
      <c r="H38" s="128">
        <f>H11+H34+H36</f>
        <v>14728887.810000002</v>
      </c>
      <c r="I38" s="129"/>
      <c r="J38" s="130">
        <f>J11+J34+J36</f>
        <v>8568999.7819891032</v>
      </c>
    </row>
    <row r="39" spans="1:15" x14ac:dyDescent="0.25">
      <c r="B39" s="66"/>
      <c r="H39" s="21"/>
      <c r="I39" s="3"/>
      <c r="J39" s="99"/>
    </row>
    <row r="40" spans="1:15" x14ac:dyDescent="0.25">
      <c r="B40" s="66"/>
      <c r="J40" s="84"/>
    </row>
    <row r="41" spans="1:15" customFormat="1" ht="14.5" x14ac:dyDescent="0.35">
      <c r="A41" s="1"/>
      <c r="B41" s="66"/>
      <c r="C41" s="80"/>
      <c r="D41" s="1"/>
      <c r="E41" s="1"/>
      <c r="F41" s="1"/>
      <c r="G41" s="1"/>
      <c r="H41" s="11" t="s">
        <v>115</v>
      </c>
      <c r="I41" s="1"/>
      <c r="J41" s="84">
        <f>'2023-00159 W16'!F15</f>
        <v>1013489</v>
      </c>
      <c r="L41" s="145"/>
      <c r="M41" s="145"/>
      <c r="N41" s="146"/>
    </row>
    <row r="42" spans="1:15" customFormat="1" ht="14.5" x14ac:dyDescent="0.35">
      <c r="A42" s="1"/>
      <c r="B42" s="66"/>
      <c r="C42" s="80"/>
      <c r="D42" s="1"/>
      <c r="E42" s="1"/>
      <c r="F42" s="1"/>
      <c r="G42" s="1"/>
      <c r="H42" s="11" t="s">
        <v>96</v>
      </c>
      <c r="I42" s="1"/>
      <c r="J42" s="100">
        <f>'2023-00159 W16'!F18</f>
        <v>0.999</v>
      </c>
      <c r="L42" s="145"/>
      <c r="M42" s="145"/>
      <c r="N42" s="145"/>
    </row>
    <row r="43" spans="1:15" customFormat="1" ht="14.5" x14ac:dyDescent="0.35">
      <c r="A43" s="1"/>
      <c r="B43" s="66"/>
      <c r="C43" s="80"/>
      <c r="D43" s="1"/>
      <c r="E43" s="1"/>
      <c r="F43" s="1"/>
      <c r="G43" s="1"/>
      <c r="H43" s="11" t="s">
        <v>116</v>
      </c>
      <c r="I43" s="1"/>
      <c r="J43" s="84">
        <f>ROUND(J41*J42,0)</f>
        <v>1012476</v>
      </c>
      <c r="L43" s="145"/>
      <c r="M43" s="145"/>
      <c r="N43" s="145"/>
    </row>
    <row r="44" spans="1:15" customFormat="1" ht="14.5" x14ac:dyDescent="0.35">
      <c r="A44" s="1"/>
      <c r="B44" s="66"/>
      <c r="C44" s="80"/>
      <c r="D44" s="1"/>
      <c r="E44" s="1"/>
      <c r="F44" s="1"/>
      <c r="G44" s="1"/>
      <c r="H44" s="12"/>
      <c r="I44" s="1"/>
      <c r="J44" s="84"/>
      <c r="L44" s="145"/>
      <c r="M44" s="145"/>
      <c r="N44" s="145"/>
    </row>
    <row r="45" spans="1:15" customFormat="1" ht="14.5" x14ac:dyDescent="0.35">
      <c r="A45" s="1"/>
      <c r="B45" s="66"/>
      <c r="C45" s="80"/>
      <c r="D45" s="2"/>
      <c r="E45" s="1"/>
      <c r="F45" s="2"/>
      <c r="G45" s="1"/>
      <c r="H45" s="11" t="s">
        <v>117</v>
      </c>
      <c r="I45" s="1"/>
      <c r="J45" s="84">
        <f>'2023-00159 W16'!F23</f>
        <v>89872</v>
      </c>
      <c r="L45" s="145"/>
      <c r="M45" s="145"/>
      <c r="N45" s="145"/>
    </row>
    <row r="46" spans="1:15" customFormat="1" ht="14.5" x14ac:dyDescent="0.35">
      <c r="A46" s="1"/>
      <c r="B46" s="66"/>
      <c r="C46" s="80"/>
      <c r="D46" s="2"/>
      <c r="E46" s="1"/>
      <c r="F46" s="2"/>
      <c r="G46" s="1"/>
      <c r="H46" s="11" t="s">
        <v>96</v>
      </c>
      <c r="I46" s="1"/>
      <c r="J46" s="100">
        <f>'2023-00159 W16'!F26</f>
        <v>0.98499999999999999</v>
      </c>
      <c r="L46" s="145"/>
      <c r="M46" s="145"/>
      <c r="N46" s="145"/>
    </row>
    <row r="47" spans="1:15" customFormat="1" ht="14.5" x14ac:dyDescent="0.35">
      <c r="A47" s="1"/>
      <c r="B47" s="66"/>
      <c r="C47" s="80"/>
      <c r="D47" s="2"/>
      <c r="E47" s="1"/>
      <c r="F47" s="2"/>
      <c r="G47" s="1"/>
      <c r="H47" s="11" t="s">
        <v>118</v>
      </c>
      <c r="I47" s="1"/>
      <c r="J47" s="84">
        <f>ROUND(J45*J46,0)</f>
        <v>88524</v>
      </c>
      <c r="L47" s="145"/>
      <c r="M47" s="145"/>
      <c r="N47" s="145"/>
      <c r="O47" s="136"/>
    </row>
    <row r="48" spans="1:15" customFormat="1" ht="14.5" x14ac:dyDescent="0.35">
      <c r="A48" s="1"/>
      <c r="B48" s="66"/>
      <c r="C48" s="80"/>
      <c r="D48" s="1"/>
      <c r="E48" s="1"/>
      <c r="F48" s="1"/>
      <c r="G48" s="1"/>
      <c r="H48" s="1"/>
      <c r="I48" s="1"/>
      <c r="J48" s="84"/>
      <c r="L48" s="145"/>
      <c r="M48" s="145"/>
      <c r="N48" s="145"/>
      <c r="O48" s="136"/>
    </row>
    <row r="49" spans="1:16" customFormat="1" ht="14.5" x14ac:dyDescent="0.35">
      <c r="A49" s="1"/>
      <c r="B49" s="66"/>
      <c r="C49" s="80"/>
      <c r="D49" s="2"/>
      <c r="E49" s="1"/>
      <c r="F49" s="101"/>
      <c r="G49" s="102"/>
      <c r="H49" s="103" t="s">
        <v>119</v>
      </c>
      <c r="I49" s="102"/>
      <c r="J49" s="104">
        <f>ROUND(J43+J47,0)</f>
        <v>1101000</v>
      </c>
      <c r="K49" t="s">
        <v>156</v>
      </c>
      <c r="L49" s="145"/>
      <c r="M49" s="145"/>
      <c r="N49" s="145"/>
    </row>
    <row r="50" spans="1:16" x14ac:dyDescent="0.25">
      <c r="B50" s="66"/>
      <c r="J50" s="84"/>
    </row>
    <row r="51" spans="1:16" hidden="1" x14ac:dyDescent="0.25">
      <c r="B51" s="66"/>
      <c r="J51" s="97"/>
      <c r="L51" s="15"/>
    </row>
    <row r="52" spans="1:16" ht="13" thickBot="1" x14ac:dyDescent="0.3">
      <c r="B52" s="66"/>
      <c r="J52" s="67"/>
    </row>
    <row r="53" spans="1:16" ht="13" thickBot="1" x14ac:dyDescent="0.3">
      <c r="B53" s="66"/>
      <c r="F53" s="103"/>
      <c r="G53" s="147"/>
      <c r="H53" s="132" t="s">
        <v>187</v>
      </c>
      <c r="I53" s="133"/>
      <c r="J53" s="134">
        <f>J11+J34-J43+J36-J47</f>
        <v>7467999.7819891032</v>
      </c>
      <c r="O53" s="12"/>
      <c r="P53" s="12"/>
    </row>
    <row r="54" spans="1:16" x14ac:dyDescent="0.25">
      <c r="B54" s="66"/>
      <c r="J54" s="67"/>
    </row>
    <row r="55" spans="1:16" ht="13" thickBot="1" x14ac:dyDescent="0.3">
      <c r="B55" s="69"/>
      <c r="C55" s="83"/>
      <c r="D55" s="70"/>
      <c r="E55" s="70"/>
      <c r="F55" s="70"/>
      <c r="G55" s="70"/>
      <c r="H55" s="70"/>
      <c r="I55" s="70"/>
      <c r="J55" s="71"/>
    </row>
    <row r="58" spans="1:16" x14ac:dyDescent="0.25">
      <c r="B58" s="135" t="s">
        <v>188</v>
      </c>
      <c r="C58" s="135"/>
      <c r="D58" s="135"/>
      <c r="E58" s="135"/>
      <c r="F58" s="135"/>
      <c r="G58" s="135"/>
      <c r="H58" s="135"/>
      <c r="I58" s="135"/>
      <c r="J58" s="135"/>
    </row>
    <row r="59" spans="1:16" x14ac:dyDescent="0.25">
      <c r="B59" s="135"/>
      <c r="C59" s="135"/>
      <c r="D59" s="135"/>
      <c r="E59" s="135"/>
      <c r="F59" s="135"/>
      <c r="G59" s="135"/>
      <c r="H59" s="135"/>
      <c r="I59" s="135"/>
      <c r="J59" s="135"/>
    </row>
    <row r="60" spans="1:16" x14ac:dyDescent="0.25">
      <c r="B60" s="135"/>
      <c r="C60" s="135"/>
      <c r="D60" s="135"/>
      <c r="E60" s="135"/>
      <c r="F60" s="135"/>
      <c r="G60" s="135"/>
      <c r="H60" s="135"/>
      <c r="I60" s="135"/>
      <c r="J60" s="135"/>
    </row>
    <row r="61" spans="1:16" x14ac:dyDescent="0.25">
      <c r="B61" s="135"/>
      <c r="C61" s="135"/>
      <c r="D61" s="135"/>
      <c r="E61" s="135"/>
      <c r="F61" s="135"/>
      <c r="G61" s="135"/>
      <c r="H61" s="135"/>
      <c r="I61" s="135"/>
      <c r="J61" s="135"/>
    </row>
    <row r="62" spans="1:16" x14ac:dyDescent="0.25">
      <c r="F62" s="12"/>
      <c r="G62" s="12"/>
      <c r="H62" s="12"/>
    </row>
    <row r="64" spans="1:16" x14ac:dyDescent="0.25">
      <c r="J64" s="12"/>
    </row>
    <row r="65" spans="10:10" x14ac:dyDescent="0.25">
      <c r="J65" s="12"/>
    </row>
  </sheetData>
  <mergeCells count="4">
    <mergeCell ref="B1:J1"/>
    <mergeCell ref="B2:J2"/>
    <mergeCell ref="B3:J3"/>
    <mergeCell ref="B4:J4"/>
  </mergeCells>
  <pageMargins left="1" right="1" top="1" bottom="1" header="0.5" footer="0.5"/>
  <pageSetup scale="41"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C943-9BD2-415A-B740-26FECBABC020}">
  <dimension ref="A1:G31"/>
  <sheetViews>
    <sheetView workbookViewId="0">
      <selection activeCell="B28" sqref="B28"/>
    </sheetView>
  </sheetViews>
  <sheetFormatPr defaultRowHeight="14.5" x14ac:dyDescent="0.35"/>
  <cols>
    <col min="1" max="1" width="8.54296875" customWidth="1"/>
    <col min="2" max="2" width="56.7265625" customWidth="1"/>
    <col min="3" max="7" width="23.26953125" customWidth="1"/>
  </cols>
  <sheetData>
    <row r="1" spans="1:7" x14ac:dyDescent="0.35">
      <c r="A1" s="152" t="s">
        <v>120</v>
      </c>
      <c r="B1" s="152"/>
      <c r="C1" s="152"/>
      <c r="D1" s="152"/>
      <c r="E1" s="152"/>
      <c r="F1" s="152"/>
      <c r="G1" s="105"/>
    </row>
    <row r="2" spans="1:7" x14ac:dyDescent="0.35">
      <c r="A2" s="152" t="s">
        <v>121</v>
      </c>
      <c r="B2" s="152"/>
      <c r="C2" s="152"/>
      <c r="D2" s="152"/>
      <c r="E2" s="152"/>
      <c r="F2" s="152"/>
      <c r="G2" s="105"/>
    </row>
    <row r="3" spans="1:7" x14ac:dyDescent="0.35">
      <c r="A3" s="152" t="s">
        <v>122</v>
      </c>
      <c r="B3" s="152"/>
      <c r="C3" s="152"/>
      <c r="D3" s="152"/>
      <c r="E3" s="152"/>
      <c r="F3" s="152"/>
      <c r="G3" s="105"/>
    </row>
    <row r="4" spans="1:7" x14ac:dyDescent="0.35">
      <c r="A4" s="152" t="s">
        <v>123</v>
      </c>
      <c r="B4" s="152"/>
      <c r="C4" s="152"/>
      <c r="D4" s="152"/>
      <c r="E4" s="152"/>
      <c r="F4" s="152"/>
      <c r="G4" s="105"/>
    </row>
    <row r="5" spans="1:7" x14ac:dyDescent="0.35">
      <c r="A5" s="105"/>
      <c r="B5" s="105"/>
      <c r="C5" s="105"/>
      <c r="D5" s="105"/>
      <c r="E5" s="105"/>
      <c r="F5" s="105"/>
      <c r="G5" s="105"/>
    </row>
    <row r="6" spans="1:7" ht="25.5" customHeight="1" x14ac:dyDescent="0.35">
      <c r="A6" s="105"/>
      <c r="B6" s="105"/>
      <c r="C6" s="153" t="s">
        <v>124</v>
      </c>
      <c r="D6" s="154"/>
      <c r="E6" s="155"/>
      <c r="F6" s="106"/>
      <c r="G6" s="105"/>
    </row>
    <row r="7" spans="1:7" x14ac:dyDescent="0.35">
      <c r="A7" s="156" t="s">
        <v>125</v>
      </c>
      <c r="B7" s="107" t="s">
        <v>126</v>
      </c>
      <c r="C7" s="107">
        <v>2021</v>
      </c>
      <c r="D7" s="107">
        <v>2022</v>
      </c>
      <c r="E7" s="107">
        <v>2023</v>
      </c>
      <c r="F7" s="107" t="s">
        <v>127</v>
      </c>
      <c r="G7" s="107" t="s">
        <v>128</v>
      </c>
    </row>
    <row r="8" spans="1:7" x14ac:dyDescent="0.35">
      <c r="A8" s="157"/>
      <c r="B8" s="108" t="s">
        <v>129</v>
      </c>
      <c r="C8" s="108" t="s">
        <v>130</v>
      </c>
      <c r="D8" s="108" t="s">
        <v>131</v>
      </c>
      <c r="E8" s="108" t="s">
        <v>132</v>
      </c>
      <c r="F8" s="108" t="s">
        <v>133</v>
      </c>
      <c r="G8" s="108" t="s">
        <v>134</v>
      </c>
    </row>
    <row r="9" spans="1:7" x14ac:dyDescent="0.35">
      <c r="A9" s="109">
        <v>1</v>
      </c>
      <c r="B9" s="110" t="s">
        <v>135</v>
      </c>
      <c r="C9" s="111">
        <v>59577052</v>
      </c>
      <c r="D9" s="111">
        <v>3324126</v>
      </c>
      <c r="E9" s="111">
        <v>24194769</v>
      </c>
      <c r="F9" s="111">
        <v>29031982</v>
      </c>
      <c r="G9" s="110"/>
    </row>
    <row r="10" spans="1:7" x14ac:dyDescent="0.35">
      <c r="A10" s="112">
        <v>2</v>
      </c>
      <c r="B10" s="113" t="s">
        <v>136</v>
      </c>
      <c r="C10" s="114">
        <v>2821753</v>
      </c>
      <c r="D10" s="114">
        <v>247794</v>
      </c>
      <c r="E10" s="114">
        <v>89872</v>
      </c>
      <c r="F10" s="114">
        <v>1053140</v>
      </c>
      <c r="G10" s="105"/>
    </row>
    <row r="11" spans="1:7" ht="15" thickBot="1" x14ac:dyDescent="0.4">
      <c r="A11" s="112">
        <v>3</v>
      </c>
      <c r="B11" s="113" t="s">
        <v>137</v>
      </c>
      <c r="C11" s="115">
        <v>62398805</v>
      </c>
      <c r="D11" s="115">
        <v>3571920</v>
      </c>
      <c r="E11" s="115">
        <v>24284641</v>
      </c>
      <c r="F11" s="115">
        <v>30085122</v>
      </c>
      <c r="G11" s="105"/>
    </row>
    <row r="12" spans="1:7" ht="15" thickTop="1" x14ac:dyDescent="0.35">
      <c r="A12" s="112"/>
      <c r="B12" s="105"/>
      <c r="C12" s="116"/>
      <c r="D12" s="116"/>
      <c r="E12" s="116"/>
      <c r="F12" s="116"/>
      <c r="G12" s="105"/>
    </row>
    <row r="13" spans="1:7" x14ac:dyDescent="0.35">
      <c r="A13" s="112">
        <v>4</v>
      </c>
      <c r="B13" s="117" t="s">
        <v>138</v>
      </c>
      <c r="C13" s="105"/>
      <c r="D13" s="105"/>
      <c r="E13" s="105"/>
      <c r="F13" s="105"/>
      <c r="G13" s="105"/>
    </row>
    <row r="14" spans="1:7" x14ac:dyDescent="0.35">
      <c r="A14" s="112">
        <v>5</v>
      </c>
      <c r="B14" s="110" t="s">
        <v>127</v>
      </c>
      <c r="C14" s="105"/>
      <c r="D14" s="105"/>
      <c r="E14" s="105"/>
      <c r="F14" s="113" t="s">
        <v>139</v>
      </c>
      <c r="G14" s="105"/>
    </row>
    <row r="15" spans="1:7" x14ac:dyDescent="0.35">
      <c r="A15" s="112">
        <v>6</v>
      </c>
      <c r="B15" s="151" t="s">
        <v>140</v>
      </c>
      <c r="C15" s="151"/>
      <c r="D15" s="151"/>
      <c r="E15" s="151"/>
      <c r="F15" s="118">
        <v>1013489</v>
      </c>
      <c r="G15" s="105"/>
    </row>
    <row r="16" spans="1:7" x14ac:dyDescent="0.35">
      <c r="A16" s="112">
        <v>7</v>
      </c>
      <c r="B16" s="113" t="s">
        <v>141</v>
      </c>
      <c r="C16" s="105"/>
      <c r="D16" s="105"/>
      <c r="E16" s="105"/>
      <c r="F16" s="114">
        <v>7333484</v>
      </c>
      <c r="G16" s="105"/>
    </row>
    <row r="17" spans="1:7" x14ac:dyDescent="0.35">
      <c r="A17" s="112">
        <v>8</v>
      </c>
      <c r="B17" s="113" t="s">
        <v>142</v>
      </c>
      <c r="C17" s="105"/>
      <c r="D17" s="105"/>
      <c r="E17" s="105"/>
      <c r="F17" s="119">
        <f>F15-F16</f>
        <v>-6319995</v>
      </c>
      <c r="G17" s="112"/>
    </row>
    <row r="18" spans="1:7" x14ac:dyDescent="0.35">
      <c r="A18" s="112">
        <v>9</v>
      </c>
      <c r="B18" s="113" t="s">
        <v>143</v>
      </c>
      <c r="C18" s="120"/>
      <c r="D18" s="120"/>
      <c r="E18" s="120"/>
      <c r="F18" s="121">
        <v>0.999</v>
      </c>
      <c r="G18" s="105"/>
    </row>
    <row r="19" spans="1:7" ht="15" thickBot="1" x14ac:dyDescent="0.4">
      <c r="A19" s="112">
        <v>10</v>
      </c>
      <c r="B19" s="113" t="s">
        <v>144</v>
      </c>
      <c r="C19" s="105"/>
      <c r="D19" s="105"/>
      <c r="E19" s="105"/>
      <c r="F19" s="122">
        <v>-6313675</v>
      </c>
      <c r="G19" s="112">
        <v>593</v>
      </c>
    </row>
    <row r="20" spans="1:7" ht="15" thickTop="1" x14ac:dyDescent="0.35">
      <c r="A20" s="112"/>
      <c r="B20" s="105"/>
      <c r="C20" s="105"/>
      <c r="D20" s="105"/>
      <c r="E20" s="105"/>
      <c r="F20" s="116"/>
      <c r="G20" s="105"/>
    </row>
    <row r="21" spans="1:7" x14ac:dyDescent="0.35">
      <c r="A21" s="112">
        <v>11</v>
      </c>
      <c r="B21" s="117" t="s">
        <v>145</v>
      </c>
      <c r="C21" s="105"/>
      <c r="D21" s="105"/>
      <c r="E21" s="105"/>
      <c r="F21" s="113"/>
      <c r="G21" s="105"/>
    </row>
    <row r="22" spans="1:7" x14ac:dyDescent="0.35">
      <c r="A22" s="112">
        <v>12</v>
      </c>
      <c r="B22" s="110" t="s">
        <v>146</v>
      </c>
      <c r="C22" s="105"/>
      <c r="D22" s="105"/>
      <c r="E22" s="105"/>
      <c r="F22" s="113" t="s">
        <v>139</v>
      </c>
      <c r="G22" s="105"/>
    </row>
    <row r="23" spans="1:7" x14ac:dyDescent="0.35">
      <c r="A23" s="112">
        <v>13</v>
      </c>
      <c r="B23" s="113" t="s">
        <v>147</v>
      </c>
      <c r="C23" s="105"/>
      <c r="D23" s="105"/>
      <c r="E23" s="105"/>
      <c r="F23" s="118">
        <v>89872</v>
      </c>
      <c r="G23" s="105"/>
    </row>
    <row r="24" spans="1:7" x14ac:dyDescent="0.35">
      <c r="A24" s="112">
        <v>14</v>
      </c>
      <c r="B24" s="113" t="s">
        <v>141</v>
      </c>
      <c r="C24" s="105"/>
      <c r="D24" s="105"/>
      <c r="E24" s="105"/>
      <c r="F24" s="114">
        <v>89872</v>
      </c>
      <c r="G24" s="105"/>
    </row>
    <row r="25" spans="1:7" x14ac:dyDescent="0.35">
      <c r="A25" s="112">
        <v>15</v>
      </c>
      <c r="B25" s="113" t="s">
        <v>148</v>
      </c>
      <c r="C25" s="105"/>
      <c r="D25" s="105"/>
      <c r="E25" s="105"/>
      <c r="F25" s="121" t="s">
        <v>149</v>
      </c>
      <c r="G25" s="112"/>
    </row>
    <row r="26" spans="1:7" x14ac:dyDescent="0.35">
      <c r="A26" s="112">
        <v>16</v>
      </c>
      <c r="B26" s="113" t="s">
        <v>150</v>
      </c>
      <c r="C26" s="120"/>
      <c r="D26" s="120"/>
      <c r="E26" s="120"/>
      <c r="F26" s="121">
        <v>0.98499999999999999</v>
      </c>
      <c r="G26" s="105"/>
    </row>
    <row r="27" spans="1:7" ht="15" thickBot="1" x14ac:dyDescent="0.4">
      <c r="A27" s="112">
        <v>17</v>
      </c>
      <c r="B27" s="113" t="s">
        <v>151</v>
      </c>
      <c r="C27" s="113"/>
      <c r="D27" s="113"/>
      <c r="E27" s="113"/>
      <c r="F27" s="123" t="s">
        <v>152</v>
      </c>
      <c r="G27" s="112">
        <v>571</v>
      </c>
    </row>
    <row r="28" spans="1:7" ht="15" thickTop="1" x14ac:dyDescent="0.35">
      <c r="A28" s="105"/>
      <c r="B28" s="105"/>
      <c r="C28" s="105"/>
      <c r="D28" s="105"/>
      <c r="E28" s="105"/>
      <c r="F28" s="116"/>
      <c r="G28" s="105"/>
    </row>
    <row r="29" spans="1:7" x14ac:dyDescent="0.35">
      <c r="A29" s="105"/>
      <c r="B29" s="105"/>
      <c r="C29" s="105"/>
      <c r="D29" s="105"/>
      <c r="E29" s="105"/>
      <c r="F29" s="105"/>
      <c r="G29" s="105"/>
    </row>
    <row r="30" spans="1:7" x14ac:dyDescent="0.35">
      <c r="A30" s="124" t="s">
        <v>153</v>
      </c>
      <c r="B30" s="125" t="s">
        <v>154</v>
      </c>
      <c r="C30" s="105"/>
      <c r="D30" s="105"/>
      <c r="E30" s="105"/>
      <c r="F30" s="105"/>
      <c r="G30" s="105"/>
    </row>
    <row r="31" spans="1:7" x14ac:dyDescent="0.35">
      <c r="A31" s="105"/>
      <c r="B31" s="105"/>
      <c r="C31" s="105"/>
      <c r="D31" s="105"/>
      <c r="E31" s="105"/>
      <c r="F31" s="105"/>
      <c r="G31" s="105"/>
    </row>
  </sheetData>
  <mergeCells count="7">
    <mergeCell ref="B15:E15"/>
    <mergeCell ref="A1:F1"/>
    <mergeCell ref="A2:F2"/>
    <mergeCell ref="A3:F3"/>
    <mergeCell ref="A4:F4"/>
    <mergeCell ref="C6:E6"/>
    <mergeCell ref="A7:A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2190-AD2D-4AAB-8817-FAD5E362E6A0}">
  <sheetPr>
    <tabColor rgb="FF8FFFC7"/>
    <pageSetUpPr fitToPage="1"/>
  </sheetPr>
  <dimension ref="A1:Y125"/>
  <sheetViews>
    <sheetView zoomScale="90" zoomScaleNormal="90" workbookViewId="0">
      <selection activeCell="T85" sqref="T85:T86"/>
    </sheetView>
  </sheetViews>
  <sheetFormatPr defaultColWidth="9.1796875" defaultRowHeight="12.5" x14ac:dyDescent="0.25"/>
  <cols>
    <col min="1" max="1" width="0.81640625" style="1" customWidth="1"/>
    <col min="2" max="2" width="22.1796875" style="1" customWidth="1"/>
    <col min="3" max="3" width="0.81640625" style="1" customWidth="1"/>
    <col min="4" max="4" width="36.1796875" style="1" customWidth="1"/>
    <col min="5" max="5" width="22" style="1" bestFit="1" customWidth="1"/>
    <col min="6" max="6" width="1.26953125" style="1" customWidth="1"/>
    <col min="7" max="7" width="22.54296875" style="1" customWidth="1"/>
    <col min="8" max="8" width="20" style="1" customWidth="1"/>
    <col min="9" max="9" width="16.1796875" style="1" customWidth="1"/>
    <col min="10" max="10" width="14.7265625" style="1" customWidth="1"/>
    <col min="11" max="11" width="16.81640625" style="1" customWidth="1"/>
    <col min="12" max="12" width="1.7265625" style="1" customWidth="1"/>
    <col min="13" max="13" width="14.7265625" style="1" customWidth="1"/>
    <col min="14" max="14" width="15.81640625" style="1" customWidth="1"/>
    <col min="15" max="15" width="16.81640625" style="1" customWidth="1"/>
    <col min="16" max="16" width="14.7265625" style="1" customWidth="1"/>
    <col min="17" max="17" width="16.1796875" style="1" customWidth="1"/>
    <col min="18" max="19" width="2.54296875" style="1" customWidth="1"/>
    <col min="20" max="23" width="16.1796875" style="1" customWidth="1"/>
    <col min="24" max="24" width="2.7265625" style="1" customWidth="1"/>
    <col min="25" max="25" width="47" style="4" hidden="1" customWidth="1"/>
    <col min="26" max="16384" width="9.1796875" style="1"/>
  </cols>
  <sheetData>
    <row r="1" spans="2:25" ht="14.5" x14ac:dyDescent="0.35">
      <c r="E1" s="3"/>
      <c r="F1" s="3"/>
      <c r="I1"/>
    </row>
    <row r="2" spans="2:25" ht="20.5" thickBot="1" x14ac:dyDescent="0.45">
      <c r="B2" s="5" t="s">
        <v>6</v>
      </c>
      <c r="C2" s="3"/>
      <c r="D2" s="3"/>
      <c r="E2" s="3"/>
      <c r="F2" s="3"/>
      <c r="G2" s="149" t="s">
        <v>102</v>
      </c>
      <c r="H2" s="149"/>
      <c r="I2" s="149"/>
      <c r="J2" s="149"/>
      <c r="K2" s="149"/>
      <c r="M2" s="149" t="s">
        <v>103</v>
      </c>
      <c r="N2" s="149"/>
      <c r="O2" s="149"/>
      <c r="P2" s="149"/>
      <c r="Q2" s="149"/>
      <c r="R2" s="6"/>
      <c r="S2" s="6"/>
      <c r="T2" s="6"/>
      <c r="U2" s="6"/>
      <c r="V2" s="6"/>
      <c r="W2" s="6"/>
    </row>
    <row r="3" spans="2:25" ht="20" x14ac:dyDescent="0.4">
      <c r="B3" s="5" t="s">
        <v>7</v>
      </c>
      <c r="C3" s="3"/>
      <c r="D3" s="3"/>
    </row>
    <row r="4" spans="2:25" x14ac:dyDescent="0.25">
      <c r="B4" s="3" t="s">
        <v>104</v>
      </c>
      <c r="C4" s="3"/>
      <c r="D4" s="3"/>
      <c r="G4" s="6" t="s">
        <v>8</v>
      </c>
      <c r="H4" s="6" t="s">
        <v>9</v>
      </c>
      <c r="I4" s="6" t="s">
        <v>10</v>
      </c>
      <c r="J4" s="6" t="s">
        <v>11</v>
      </c>
      <c r="K4" s="6" t="s">
        <v>12</v>
      </c>
      <c r="M4" s="6" t="s">
        <v>8</v>
      </c>
      <c r="N4" s="6" t="s">
        <v>9</v>
      </c>
      <c r="O4" s="6" t="s">
        <v>10</v>
      </c>
      <c r="P4" s="6" t="s">
        <v>11</v>
      </c>
      <c r="Q4" s="6" t="s">
        <v>12</v>
      </c>
      <c r="R4" s="6"/>
      <c r="S4" s="6"/>
      <c r="T4" s="6"/>
      <c r="U4" s="6"/>
      <c r="V4" s="6"/>
      <c r="W4" s="6"/>
    </row>
    <row r="5" spans="2:25" ht="15" x14ac:dyDescent="0.3">
      <c r="B5" s="7"/>
      <c r="C5" s="3"/>
      <c r="D5" s="7" t="s">
        <v>13</v>
      </c>
      <c r="G5" s="6" t="s">
        <v>14</v>
      </c>
      <c r="H5" s="6" t="s">
        <v>15</v>
      </c>
      <c r="I5" s="6" t="s">
        <v>16</v>
      </c>
      <c r="J5" s="6" t="s">
        <v>17</v>
      </c>
      <c r="K5" s="6" t="s">
        <v>18</v>
      </c>
      <c r="M5" s="6" t="s">
        <v>14</v>
      </c>
      <c r="N5" s="6" t="s">
        <v>15</v>
      </c>
      <c r="O5" s="6" t="s">
        <v>16</v>
      </c>
      <c r="P5" s="6" t="s">
        <v>17</v>
      </c>
      <c r="Q5" s="6" t="s">
        <v>18</v>
      </c>
      <c r="R5" s="6"/>
      <c r="S5" s="6"/>
      <c r="T5" s="6"/>
      <c r="U5" s="6"/>
      <c r="V5" s="6"/>
      <c r="W5" s="6"/>
    </row>
    <row r="6" spans="2:25" x14ac:dyDescent="0.25">
      <c r="B6" s="1" t="s">
        <v>100</v>
      </c>
      <c r="D6" s="8"/>
      <c r="G6" s="6"/>
      <c r="H6" s="6" t="s">
        <v>19</v>
      </c>
      <c r="I6" s="6"/>
      <c r="J6" s="6"/>
      <c r="K6" s="6"/>
      <c r="M6" s="6"/>
      <c r="N6" s="6" t="s">
        <v>19</v>
      </c>
      <c r="O6" s="6"/>
      <c r="P6" s="6"/>
      <c r="Q6" s="6"/>
      <c r="R6" s="6"/>
      <c r="S6" s="6"/>
      <c r="T6" s="6"/>
      <c r="U6" s="6"/>
      <c r="V6" s="6"/>
      <c r="W6" s="6"/>
    </row>
    <row r="7" spans="2:25" ht="13" thickBot="1" x14ac:dyDescent="0.3">
      <c r="B7" s="3"/>
      <c r="G7" s="9" t="s">
        <v>20</v>
      </c>
      <c r="H7" s="9" t="s">
        <v>21</v>
      </c>
      <c r="I7" s="9" t="s">
        <v>22</v>
      </c>
      <c r="J7" s="9"/>
      <c r="K7" s="9" t="s">
        <v>23</v>
      </c>
      <c r="M7" s="9" t="s">
        <v>20</v>
      </c>
      <c r="N7" s="9" t="s">
        <v>21</v>
      </c>
      <c r="O7" s="9" t="s">
        <v>22</v>
      </c>
      <c r="P7" s="9"/>
      <c r="Q7" s="9" t="s">
        <v>23</v>
      </c>
      <c r="R7" s="6"/>
      <c r="S7" s="6"/>
      <c r="T7" s="6"/>
      <c r="U7" s="6"/>
      <c r="V7" s="6"/>
      <c r="W7" s="6"/>
    </row>
    <row r="8" spans="2:25" ht="5.15" customHeight="1" x14ac:dyDescent="0.25">
      <c r="B8" s="3"/>
      <c r="G8" s="6"/>
      <c r="H8" s="6"/>
      <c r="I8" s="6"/>
      <c r="J8" s="6"/>
      <c r="K8" s="6"/>
      <c r="M8" s="6"/>
      <c r="N8" s="6"/>
      <c r="O8" s="6"/>
      <c r="P8" s="6"/>
      <c r="Q8" s="6"/>
      <c r="R8" s="6"/>
      <c r="S8" s="6"/>
      <c r="T8" s="6"/>
      <c r="U8" s="6"/>
      <c r="V8" s="6"/>
      <c r="W8" s="6"/>
    </row>
    <row r="9" spans="2:25" ht="14.5" thickBot="1" x14ac:dyDescent="0.35">
      <c r="B9" s="10" t="s">
        <v>24</v>
      </c>
      <c r="D9" s="1" t="s">
        <v>25</v>
      </c>
      <c r="E9" s="11" t="s">
        <v>26</v>
      </c>
      <c r="G9" s="12">
        <v>42145</v>
      </c>
      <c r="H9" s="12">
        <v>3109</v>
      </c>
      <c r="I9" s="12">
        <v>113477</v>
      </c>
      <c r="J9" s="12"/>
      <c r="K9" s="12">
        <f>J9+I9+H9+G9</f>
        <v>158731</v>
      </c>
      <c r="M9" s="12">
        <v>0</v>
      </c>
      <c r="N9" s="12">
        <v>0</v>
      </c>
      <c r="O9" s="12">
        <v>0</v>
      </c>
      <c r="P9" s="12">
        <v>0</v>
      </c>
      <c r="Q9" s="12">
        <f>SUM(M9:P9)</f>
        <v>0</v>
      </c>
      <c r="R9" s="12"/>
      <c r="S9" s="12"/>
      <c r="T9" s="12"/>
      <c r="U9" s="12"/>
      <c r="V9" s="12"/>
      <c r="W9" s="12"/>
    </row>
    <row r="10" spans="2:25" x14ac:dyDescent="0.25">
      <c r="B10" s="3" t="s">
        <v>27</v>
      </c>
      <c r="E10" s="11" t="s">
        <v>28</v>
      </c>
      <c r="G10" s="13">
        <v>727.5</v>
      </c>
      <c r="H10" s="13">
        <v>54.7</v>
      </c>
      <c r="I10" s="13">
        <v>1995.7</v>
      </c>
      <c r="J10" s="13">
        <v>0</v>
      </c>
      <c r="K10" s="13">
        <f>G10+H10+I10</f>
        <v>2777.9</v>
      </c>
      <c r="M10" s="13">
        <f>G10</f>
        <v>727.5</v>
      </c>
      <c r="N10" s="13">
        <f>H10</f>
        <v>54.7</v>
      </c>
      <c r="O10" s="13">
        <f>I10</f>
        <v>1995.7</v>
      </c>
      <c r="P10" s="13">
        <v>0</v>
      </c>
      <c r="Q10" s="13">
        <f>SUM(M10:P10)</f>
        <v>2777.9</v>
      </c>
      <c r="R10" s="14"/>
      <c r="S10" s="14"/>
      <c r="T10" s="14"/>
      <c r="U10" s="14"/>
      <c r="V10" s="14"/>
      <c r="W10" s="14"/>
    </row>
    <row r="11" spans="2:25" x14ac:dyDescent="0.25">
      <c r="E11" s="11"/>
    </row>
    <row r="12" spans="2:25" ht="13" thickBot="1" x14ac:dyDescent="0.3">
      <c r="D12" s="1" t="s">
        <v>29</v>
      </c>
      <c r="E12" s="11" t="s">
        <v>26</v>
      </c>
      <c r="G12" s="12">
        <v>138924</v>
      </c>
      <c r="H12" s="12">
        <v>10971</v>
      </c>
      <c r="I12" s="12">
        <v>400424</v>
      </c>
      <c r="J12" s="12"/>
      <c r="K12" s="12">
        <f>J12+I12+H12+G12</f>
        <v>550319</v>
      </c>
      <c r="M12" s="12">
        <f t="shared" ref="M12:P13" si="0">G12</f>
        <v>138924</v>
      </c>
      <c r="N12" s="12">
        <f t="shared" si="0"/>
        <v>10971</v>
      </c>
      <c r="O12" s="12">
        <f t="shared" si="0"/>
        <v>400424</v>
      </c>
      <c r="P12" s="12">
        <f t="shared" si="0"/>
        <v>0</v>
      </c>
      <c r="Q12" s="12">
        <f>SUM(M12:P12)</f>
        <v>550319</v>
      </c>
      <c r="R12" s="12"/>
      <c r="S12" s="12"/>
      <c r="T12" s="15">
        <f>223294-K12</f>
        <v>-327025</v>
      </c>
      <c r="U12" s="12"/>
      <c r="V12" s="12"/>
      <c r="W12" s="12"/>
    </row>
    <row r="13" spans="2:25" x14ac:dyDescent="0.25">
      <c r="E13" s="11" t="s">
        <v>28</v>
      </c>
      <c r="G13" s="13">
        <v>1996.7</v>
      </c>
      <c r="H13" s="13">
        <v>157.9</v>
      </c>
      <c r="I13" s="13">
        <v>5759.9</v>
      </c>
      <c r="J13" s="13">
        <v>0</v>
      </c>
      <c r="K13" s="13">
        <f>G13+H13+I13+J13</f>
        <v>7914.5</v>
      </c>
      <c r="M13" s="13">
        <f t="shared" si="0"/>
        <v>1996.7</v>
      </c>
      <c r="N13" s="13">
        <f t="shared" si="0"/>
        <v>157.9</v>
      </c>
      <c r="O13" s="13">
        <f t="shared" si="0"/>
        <v>5759.9</v>
      </c>
      <c r="P13" s="13">
        <v>0</v>
      </c>
      <c r="Q13" s="13">
        <f>SUM(M13:P13)</f>
        <v>7914.5</v>
      </c>
      <c r="R13" s="14"/>
      <c r="S13" s="14"/>
      <c r="T13" s="16"/>
      <c r="U13" s="14"/>
      <c r="V13" s="14"/>
      <c r="W13" s="14"/>
    </row>
    <row r="14" spans="2:25" x14ac:dyDescent="0.25">
      <c r="T14" s="4"/>
      <c r="Y14" s="17" t="s">
        <v>30</v>
      </c>
    </row>
    <row r="15" spans="2:25" x14ac:dyDescent="0.25">
      <c r="D15" s="1" t="s">
        <v>31</v>
      </c>
      <c r="E15" s="11" t="s">
        <v>32</v>
      </c>
      <c r="G15" s="12">
        <v>15531</v>
      </c>
      <c r="H15" s="12">
        <v>1146</v>
      </c>
      <c r="I15" s="12">
        <f>1014+41627</f>
        <v>42641</v>
      </c>
      <c r="J15" s="12"/>
      <c r="K15" s="12">
        <f>G15+H15+I15+J15</f>
        <v>59318</v>
      </c>
      <c r="M15" s="12">
        <v>0</v>
      </c>
      <c r="N15" s="12">
        <v>0</v>
      </c>
      <c r="O15" s="12">
        <v>0</v>
      </c>
      <c r="P15" s="12">
        <v>0</v>
      </c>
      <c r="Q15" s="12">
        <f t="shared" ref="Q15:Q20" si="1">SUM(M15:P15)</f>
        <v>0</v>
      </c>
      <c r="R15" s="12"/>
      <c r="S15" s="12"/>
      <c r="T15" s="15"/>
      <c r="U15" s="12"/>
      <c r="V15" s="12"/>
      <c r="W15" s="12"/>
    </row>
    <row r="16" spans="2:25" x14ac:dyDescent="0.25">
      <c r="D16" s="1" t="s">
        <v>33</v>
      </c>
      <c r="E16" s="11" t="s">
        <v>34</v>
      </c>
      <c r="G16" s="12">
        <v>15699</v>
      </c>
      <c r="H16" s="12">
        <v>1240</v>
      </c>
      <c r="I16" s="12">
        <v>45248</v>
      </c>
      <c r="J16" s="12"/>
      <c r="K16" s="12">
        <f t="shared" ref="K16:K20" si="2">G16+H16+I16+J16</f>
        <v>62187</v>
      </c>
      <c r="M16" s="12">
        <f>G16</f>
        <v>15699</v>
      </c>
      <c r="N16" s="12">
        <f>H16</f>
        <v>1240</v>
      </c>
      <c r="O16" s="12">
        <f>I16</f>
        <v>45248</v>
      </c>
      <c r="P16" s="12">
        <f>J16</f>
        <v>0</v>
      </c>
      <c r="Q16" s="12">
        <f t="shared" si="1"/>
        <v>62187</v>
      </c>
      <c r="R16" s="12"/>
      <c r="S16" s="12"/>
      <c r="T16" s="15"/>
      <c r="U16" s="12"/>
      <c r="V16" s="12"/>
      <c r="W16" s="12"/>
      <c r="Y16" s="4" t="s">
        <v>35</v>
      </c>
    </row>
    <row r="17" spans="2:25" x14ac:dyDescent="0.25">
      <c r="D17" s="18"/>
      <c r="E17" s="11" t="s">
        <v>36</v>
      </c>
      <c r="G17" s="12">
        <v>730</v>
      </c>
      <c r="H17" s="12">
        <v>58</v>
      </c>
      <c r="I17" s="12">
        <v>2114</v>
      </c>
      <c r="J17" s="12"/>
      <c r="K17" s="12">
        <f t="shared" si="2"/>
        <v>2902</v>
      </c>
      <c r="M17" s="12">
        <v>0</v>
      </c>
      <c r="N17" s="12">
        <v>0</v>
      </c>
      <c r="O17" s="12">
        <v>0</v>
      </c>
      <c r="P17" s="12">
        <v>0</v>
      </c>
      <c r="Q17" s="12">
        <f t="shared" si="1"/>
        <v>0</v>
      </c>
      <c r="R17" s="12"/>
      <c r="S17" s="12"/>
      <c r="T17" s="15"/>
      <c r="U17" s="12"/>
      <c r="V17" s="12"/>
      <c r="W17" s="12"/>
      <c r="Y17" s="19">
        <v>614800</v>
      </c>
    </row>
    <row r="18" spans="2:25" x14ac:dyDescent="0.25">
      <c r="E18" s="11" t="s">
        <v>37</v>
      </c>
      <c r="G18" s="12">
        <v>8786</v>
      </c>
      <c r="H18" s="12">
        <v>670</v>
      </c>
      <c r="I18" s="12">
        <v>25331</v>
      </c>
      <c r="J18" s="12"/>
      <c r="K18" s="12">
        <f t="shared" si="2"/>
        <v>34787</v>
      </c>
      <c r="M18" s="12">
        <v>0</v>
      </c>
      <c r="N18" s="12">
        <v>0</v>
      </c>
      <c r="O18" s="12">
        <v>0</v>
      </c>
      <c r="P18" s="12">
        <v>0</v>
      </c>
      <c r="Q18" s="12">
        <f t="shared" si="1"/>
        <v>0</v>
      </c>
      <c r="R18" s="12"/>
      <c r="S18" s="12"/>
      <c r="T18" s="15"/>
      <c r="U18" s="12"/>
      <c r="V18" s="12"/>
      <c r="W18" s="12"/>
    </row>
    <row r="19" spans="2:25" x14ac:dyDescent="0.25">
      <c r="E19" s="11" t="s">
        <v>38</v>
      </c>
      <c r="G19" s="12">
        <v>486539</v>
      </c>
      <c r="H19" s="12">
        <v>22639</v>
      </c>
      <c r="I19" s="12"/>
      <c r="J19" s="12"/>
      <c r="K19" s="12">
        <f t="shared" si="2"/>
        <v>509178</v>
      </c>
      <c r="M19" s="12">
        <f>G19</f>
        <v>486539</v>
      </c>
      <c r="N19" s="12">
        <f>H19</f>
        <v>22639</v>
      </c>
      <c r="O19" s="12">
        <f>I19</f>
        <v>0</v>
      </c>
      <c r="P19" s="12">
        <f>J19</f>
        <v>0</v>
      </c>
      <c r="Q19" s="12">
        <f t="shared" si="1"/>
        <v>509178</v>
      </c>
      <c r="R19" s="12"/>
      <c r="S19" s="12"/>
      <c r="T19" s="15"/>
      <c r="U19" s="12"/>
      <c r="V19" s="12"/>
      <c r="W19" s="12"/>
      <c r="Y19" s="4" t="s">
        <v>39</v>
      </c>
    </row>
    <row r="20" spans="2:25" x14ac:dyDescent="0.25">
      <c r="E20" s="11" t="s">
        <v>40</v>
      </c>
      <c r="G20" s="20">
        <v>13740</v>
      </c>
      <c r="H20" s="20">
        <v>1064</v>
      </c>
      <c r="I20" s="20">
        <v>38725</v>
      </c>
      <c r="J20" s="20"/>
      <c r="K20" s="20">
        <f t="shared" si="2"/>
        <v>53529</v>
      </c>
      <c r="M20" s="12">
        <v>0</v>
      </c>
      <c r="N20" s="12">
        <v>0</v>
      </c>
      <c r="O20" s="12">
        <v>0</v>
      </c>
      <c r="P20" s="12">
        <v>0</v>
      </c>
      <c r="Q20" s="12">
        <f t="shared" si="1"/>
        <v>0</v>
      </c>
      <c r="R20" s="12"/>
      <c r="S20" s="12"/>
      <c r="T20" s="15"/>
      <c r="U20" s="12"/>
      <c r="V20" s="12"/>
      <c r="W20" s="12"/>
      <c r="Y20" s="19">
        <f>31030+1679</f>
        <v>32709</v>
      </c>
    </row>
    <row r="21" spans="2:25" x14ac:dyDescent="0.25">
      <c r="D21" s="3" t="s">
        <v>41</v>
      </c>
      <c r="E21" s="11"/>
      <c r="G21" s="21">
        <f>SUM(G15:G20)+G12+G9</f>
        <v>722094</v>
      </c>
      <c r="H21" s="21">
        <f t="shared" ref="H21:K21" si="3">SUM(H15:H20)+H12+H9</f>
        <v>40897</v>
      </c>
      <c r="I21" s="21">
        <f t="shared" si="3"/>
        <v>667960</v>
      </c>
      <c r="J21" s="21">
        <f t="shared" si="3"/>
        <v>0</v>
      </c>
      <c r="K21" s="21">
        <f t="shared" si="3"/>
        <v>1430951</v>
      </c>
      <c r="M21" s="22">
        <f>M9+M12+SUM(M15:M20)</f>
        <v>641162</v>
      </c>
      <c r="N21" s="22">
        <f>N9+N12+SUM(N15:N20)</f>
        <v>34850</v>
      </c>
      <c r="O21" s="22">
        <f>O9+O12+SUM(O15:O20)</f>
        <v>445672</v>
      </c>
      <c r="P21" s="22">
        <f>P9+P12+SUM(P15:P20)</f>
        <v>0</v>
      </c>
      <c r="Q21" s="22">
        <f>Q9+Q12+SUM(Q15:Q20)</f>
        <v>1121684</v>
      </c>
      <c r="R21" s="21"/>
      <c r="S21" s="21"/>
      <c r="T21" s="23"/>
      <c r="U21" s="21"/>
      <c r="V21" s="21"/>
      <c r="W21" s="21"/>
    </row>
    <row r="22" spans="2:25" x14ac:dyDescent="0.25">
      <c r="E22" s="11"/>
      <c r="G22" s="12"/>
      <c r="H22" s="12"/>
      <c r="I22" s="12"/>
      <c r="J22" s="12"/>
      <c r="K22" s="12"/>
      <c r="N22" s="12"/>
      <c r="O22" s="12"/>
      <c r="P22" s="12"/>
      <c r="Q22" s="12"/>
      <c r="R22" s="12"/>
      <c r="S22" s="12"/>
      <c r="T22" s="15"/>
      <c r="U22" s="12"/>
      <c r="V22" s="12"/>
      <c r="W22" s="12"/>
      <c r="Y22" s="4" t="s">
        <v>42</v>
      </c>
    </row>
    <row r="23" spans="2:25" x14ac:dyDescent="0.25">
      <c r="B23" s="3" t="s">
        <v>43</v>
      </c>
      <c r="E23" s="11" t="s">
        <v>44</v>
      </c>
      <c r="G23" s="20">
        <v>42907</v>
      </c>
      <c r="H23" s="20">
        <v>3059</v>
      </c>
      <c r="I23" s="20">
        <v>125704</v>
      </c>
      <c r="J23" s="20"/>
      <c r="K23" s="20">
        <f>J23+I23+H23+G23</f>
        <v>171670</v>
      </c>
      <c r="M23" s="20">
        <f>$Q$23*0.25</f>
        <v>2283.3254838972025</v>
      </c>
      <c r="N23" s="20">
        <f>$Q$23*0.02</f>
        <v>182.6660387117762</v>
      </c>
      <c r="O23" s="20">
        <f>$Q$23*0.73</f>
        <v>6667.3104129798312</v>
      </c>
      <c r="P23" s="20">
        <v>0</v>
      </c>
      <c r="Q23" s="20">
        <f>K23*Y23</f>
        <v>9133.30193558881</v>
      </c>
      <c r="R23" s="12"/>
      <c r="S23" s="12"/>
      <c r="T23" s="15">
        <f>251603.59-K23</f>
        <v>79933.59</v>
      </c>
      <c r="U23" s="12"/>
      <c r="V23" s="12"/>
      <c r="W23" s="12"/>
      <c r="Y23" s="24">
        <f>Y20/Y17</f>
        <v>5.320266753415745E-2</v>
      </c>
    </row>
    <row r="24" spans="2:25" x14ac:dyDescent="0.25">
      <c r="B24" s="3"/>
      <c r="D24" s="3" t="s">
        <v>45</v>
      </c>
      <c r="E24" s="11"/>
      <c r="G24" s="21">
        <f>G23</f>
        <v>42907</v>
      </c>
      <c r="H24" s="21">
        <f t="shared" ref="H24:I24" si="4">H23</f>
        <v>3059</v>
      </c>
      <c r="I24" s="21">
        <f t="shared" si="4"/>
        <v>125704</v>
      </c>
      <c r="J24" s="21"/>
      <c r="K24" s="21">
        <f>K23</f>
        <v>171670</v>
      </c>
      <c r="M24" s="21">
        <f>SUM(M23)</f>
        <v>2283.3254838972025</v>
      </c>
      <c r="N24" s="21">
        <f>SUM(N23)</f>
        <v>182.6660387117762</v>
      </c>
      <c r="O24" s="21">
        <f>SUM(O23)</f>
        <v>6667.3104129798312</v>
      </c>
      <c r="P24" s="21">
        <f>SUM(P23)</f>
        <v>0</v>
      </c>
      <c r="Q24" s="21">
        <f>SUM(M24:P24)</f>
        <v>9133.30193558881</v>
      </c>
      <c r="R24" s="21"/>
      <c r="S24" s="21"/>
      <c r="T24" s="23"/>
      <c r="U24" s="21"/>
      <c r="V24" s="21"/>
      <c r="W24" s="21"/>
    </row>
    <row r="25" spans="2:25" x14ac:dyDescent="0.25">
      <c r="B25" s="3"/>
    </row>
    <row r="26" spans="2:25" x14ac:dyDescent="0.25">
      <c r="B26" s="3" t="s">
        <v>46</v>
      </c>
      <c r="E26" s="11" t="s">
        <v>47</v>
      </c>
      <c r="G26" s="12">
        <v>1995</v>
      </c>
      <c r="H26" s="12">
        <v>121</v>
      </c>
      <c r="I26" s="12">
        <v>5845</v>
      </c>
      <c r="J26" s="12"/>
      <c r="K26" s="12">
        <f>G26+H26+I26+J26</f>
        <v>7961</v>
      </c>
      <c r="M26" s="12">
        <v>0</v>
      </c>
      <c r="N26" s="12">
        <v>0</v>
      </c>
      <c r="O26" s="12">
        <v>0</v>
      </c>
      <c r="P26" s="12">
        <v>0</v>
      </c>
      <c r="Q26" s="12">
        <f t="shared" ref="Q26:Q31" si="5">SUM(M26:P26)</f>
        <v>0</v>
      </c>
      <c r="R26" s="12"/>
      <c r="S26" s="12"/>
      <c r="T26" s="12"/>
      <c r="U26" s="12"/>
      <c r="V26" s="12"/>
      <c r="W26" s="12"/>
    </row>
    <row r="27" spans="2:25" x14ac:dyDescent="0.25">
      <c r="B27" s="3"/>
      <c r="E27" s="11" t="s">
        <v>48</v>
      </c>
      <c r="G27" s="12">
        <v>2738</v>
      </c>
      <c r="H27" s="12">
        <v>218</v>
      </c>
      <c r="I27" s="12">
        <v>7995</v>
      </c>
      <c r="J27" s="12"/>
      <c r="K27" s="12">
        <f t="shared" ref="K27:K30" si="6">G27+H27+I27+J27</f>
        <v>10951</v>
      </c>
      <c r="M27" s="12">
        <f>G27</f>
        <v>2738</v>
      </c>
      <c r="N27" s="12">
        <f>H27</f>
        <v>218</v>
      </c>
      <c r="O27" s="12">
        <f>I27</f>
        <v>7995</v>
      </c>
      <c r="P27" s="12">
        <f>J27</f>
        <v>0</v>
      </c>
      <c r="Q27" s="12">
        <f>SUM(M27:P27)</f>
        <v>10951</v>
      </c>
      <c r="R27" s="12"/>
      <c r="S27" s="12"/>
      <c r="T27" s="12"/>
      <c r="U27" s="12"/>
      <c r="V27" s="12"/>
      <c r="W27" s="12"/>
    </row>
    <row r="28" spans="2:25" x14ac:dyDescent="0.25">
      <c r="B28" s="3"/>
      <c r="E28" s="1" t="s">
        <v>49</v>
      </c>
      <c r="G28" s="12"/>
      <c r="H28" s="12"/>
      <c r="I28" s="12"/>
      <c r="J28" s="12"/>
      <c r="K28" s="12">
        <f t="shared" si="6"/>
        <v>0</v>
      </c>
      <c r="M28" s="12">
        <v>0</v>
      </c>
      <c r="N28" s="12">
        <v>0</v>
      </c>
      <c r="O28" s="12">
        <v>0</v>
      </c>
      <c r="P28" s="12">
        <v>0</v>
      </c>
      <c r="Q28" s="12">
        <f t="shared" si="5"/>
        <v>0</v>
      </c>
      <c r="R28" s="12"/>
      <c r="S28" s="12"/>
      <c r="T28" s="12"/>
      <c r="U28" s="12"/>
      <c r="V28" s="12"/>
      <c r="W28" s="12"/>
    </row>
    <row r="29" spans="2:25" x14ac:dyDescent="0.25">
      <c r="B29" s="3"/>
      <c r="E29" s="11" t="s">
        <v>50</v>
      </c>
      <c r="G29" s="12">
        <v>62702.020000000004</v>
      </c>
      <c r="H29" s="12">
        <v>182981.84</v>
      </c>
      <c r="I29" s="12">
        <v>5013.25</v>
      </c>
      <c r="J29" s="12"/>
      <c r="K29" s="12">
        <f t="shared" si="6"/>
        <v>250697.11</v>
      </c>
      <c r="M29" s="12">
        <f t="shared" ref="M29:P30" si="7">G29</f>
        <v>62702.020000000004</v>
      </c>
      <c r="N29" s="12">
        <f t="shared" si="7"/>
        <v>182981.84</v>
      </c>
      <c r="O29" s="12">
        <f t="shared" si="7"/>
        <v>5013.25</v>
      </c>
      <c r="P29" s="12">
        <f t="shared" si="7"/>
        <v>0</v>
      </c>
      <c r="Q29" s="12">
        <f t="shared" si="5"/>
        <v>250697.11</v>
      </c>
      <c r="R29" s="12"/>
      <c r="S29" s="12"/>
      <c r="T29" s="12"/>
      <c r="U29" s="12"/>
      <c r="V29" s="12"/>
      <c r="W29" s="12"/>
    </row>
    <row r="30" spans="2:25" x14ac:dyDescent="0.25">
      <c r="B30" s="3"/>
      <c r="E30" s="11" t="s">
        <v>51</v>
      </c>
      <c r="G30" s="20">
        <v>5128</v>
      </c>
      <c r="H30" s="20">
        <v>364</v>
      </c>
      <c r="I30" s="20">
        <v>14977</v>
      </c>
      <c r="J30" s="20"/>
      <c r="K30" s="20">
        <f t="shared" si="6"/>
        <v>20469</v>
      </c>
      <c r="M30" s="20">
        <f t="shared" si="7"/>
        <v>5128</v>
      </c>
      <c r="N30" s="20">
        <f t="shared" si="7"/>
        <v>364</v>
      </c>
      <c r="O30" s="20">
        <f t="shared" si="7"/>
        <v>14977</v>
      </c>
      <c r="P30" s="20">
        <f>J30</f>
        <v>0</v>
      </c>
      <c r="Q30" s="20">
        <f t="shared" si="5"/>
        <v>20469</v>
      </c>
      <c r="R30" s="12"/>
      <c r="S30" s="12"/>
      <c r="T30" s="12"/>
      <c r="U30" s="12"/>
      <c r="V30" s="12"/>
      <c r="W30" s="12"/>
    </row>
    <row r="31" spans="2:25" x14ac:dyDescent="0.25">
      <c r="B31" s="3"/>
      <c r="D31" s="3" t="s">
        <v>52</v>
      </c>
      <c r="G31" s="21">
        <f>SUM(G26:G30)</f>
        <v>72563.02</v>
      </c>
      <c r="H31" s="21">
        <f t="shared" ref="H31:I31" si="8">SUM(H26:H30)</f>
        <v>183684.84</v>
      </c>
      <c r="I31" s="21">
        <f t="shared" si="8"/>
        <v>33830.25</v>
      </c>
      <c r="J31" s="21"/>
      <c r="K31" s="21">
        <f>SUM(K26:K30)</f>
        <v>290078.11</v>
      </c>
      <c r="M31" s="21">
        <f>SUM(M26:M30)</f>
        <v>70568.02</v>
      </c>
      <c r="N31" s="21">
        <f>SUM(N26:N30)</f>
        <v>183563.84</v>
      </c>
      <c r="O31" s="21">
        <f>SUM(O26:O30)</f>
        <v>27985.25</v>
      </c>
      <c r="P31" s="21">
        <f>SUM(P26:P30)</f>
        <v>0</v>
      </c>
      <c r="Q31" s="21">
        <f t="shared" si="5"/>
        <v>282117.11</v>
      </c>
      <c r="R31" s="21"/>
      <c r="S31" s="21"/>
      <c r="T31" s="21"/>
      <c r="U31" s="21"/>
      <c r="V31" s="21"/>
      <c r="W31" s="21"/>
    </row>
    <row r="32" spans="2:25" x14ac:dyDescent="0.25">
      <c r="B32" s="3"/>
    </row>
    <row r="33" spans="2:23" x14ac:dyDescent="0.25">
      <c r="B33" s="3" t="s">
        <v>53</v>
      </c>
      <c r="D33" s="3" t="s">
        <v>54</v>
      </c>
      <c r="E33" s="1" t="s">
        <v>55</v>
      </c>
      <c r="G33" s="12">
        <v>25902</v>
      </c>
      <c r="H33" s="12"/>
      <c r="I33" s="12"/>
      <c r="J33" s="12"/>
      <c r="K33" s="12">
        <f>G33+H33+I33+J33</f>
        <v>25902</v>
      </c>
      <c r="M33" s="12">
        <f t="shared" ref="M33:P34" si="9">G33</f>
        <v>25902</v>
      </c>
      <c r="N33" s="12">
        <f t="shared" si="9"/>
        <v>0</v>
      </c>
      <c r="O33" s="12">
        <f t="shared" si="9"/>
        <v>0</v>
      </c>
      <c r="P33" s="12">
        <f t="shared" si="9"/>
        <v>0</v>
      </c>
      <c r="Q33" s="12">
        <f>SUM(M33:P33)</f>
        <v>25902</v>
      </c>
      <c r="R33" s="12"/>
      <c r="S33" s="12"/>
      <c r="T33" s="12"/>
      <c r="U33" s="12"/>
      <c r="V33" s="12"/>
      <c r="W33" s="12"/>
    </row>
    <row r="34" spans="2:23" x14ac:dyDescent="0.25">
      <c r="B34" s="3" t="s">
        <v>56</v>
      </c>
      <c r="D34" s="3" t="s">
        <v>57</v>
      </c>
      <c r="E34" s="1" t="s">
        <v>58</v>
      </c>
      <c r="G34" s="12">
        <v>14524</v>
      </c>
      <c r="H34" s="12"/>
      <c r="I34" s="12"/>
      <c r="J34" s="12"/>
      <c r="K34" s="12">
        <f t="shared" ref="K34:K42" si="10">G34+H34+I34+J34</f>
        <v>14524</v>
      </c>
      <c r="M34" s="12">
        <f t="shared" si="9"/>
        <v>14524</v>
      </c>
      <c r="N34" s="12">
        <f t="shared" si="9"/>
        <v>0</v>
      </c>
      <c r="O34" s="12">
        <f t="shared" si="9"/>
        <v>0</v>
      </c>
      <c r="P34" s="12">
        <f t="shared" si="9"/>
        <v>0</v>
      </c>
      <c r="Q34" s="12">
        <f>SUM(M34:P34)</f>
        <v>14524</v>
      </c>
      <c r="R34" s="12"/>
      <c r="S34" s="12"/>
      <c r="T34" s="12"/>
      <c r="U34" s="12"/>
      <c r="V34" s="12"/>
      <c r="W34" s="12"/>
    </row>
    <row r="35" spans="2:23" x14ac:dyDescent="0.25">
      <c r="D35" s="3"/>
      <c r="K35" s="12">
        <f t="shared" si="10"/>
        <v>0</v>
      </c>
      <c r="Q35" s="12"/>
      <c r="R35" s="12"/>
      <c r="S35" s="12"/>
      <c r="T35" s="12"/>
      <c r="U35" s="12"/>
      <c r="V35" s="12"/>
      <c r="W35" s="12"/>
    </row>
    <row r="36" spans="2:23" x14ac:dyDescent="0.25">
      <c r="D36" s="3" t="s">
        <v>59</v>
      </c>
      <c r="E36" s="1" t="s">
        <v>60</v>
      </c>
      <c r="G36" s="12">
        <v>35711</v>
      </c>
      <c r="H36" s="12"/>
      <c r="I36" s="12"/>
      <c r="J36" s="12"/>
      <c r="K36" s="12">
        <f t="shared" si="10"/>
        <v>35711</v>
      </c>
      <c r="M36" s="12">
        <f t="shared" ref="M36:P41" si="11">G36</f>
        <v>35711</v>
      </c>
      <c r="N36" s="12">
        <f t="shared" si="11"/>
        <v>0</v>
      </c>
      <c r="O36" s="12">
        <f t="shared" si="11"/>
        <v>0</v>
      </c>
      <c r="P36" s="12">
        <f t="shared" si="11"/>
        <v>0</v>
      </c>
      <c r="Q36" s="12">
        <f t="shared" ref="Q36:Q41" si="12">SUM(M36:P36)</f>
        <v>35711</v>
      </c>
      <c r="R36" s="12"/>
      <c r="S36" s="12"/>
      <c r="T36" s="12"/>
      <c r="U36" s="12"/>
      <c r="V36" s="12"/>
      <c r="W36" s="12"/>
    </row>
    <row r="37" spans="2:23" x14ac:dyDescent="0.25">
      <c r="D37" s="3" t="s">
        <v>61</v>
      </c>
      <c r="E37" s="1" t="s">
        <v>62</v>
      </c>
      <c r="G37" s="12">
        <v>11227</v>
      </c>
      <c r="H37" s="12"/>
      <c r="I37" s="12"/>
      <c r="J37" s="12"/>
      <c r="K37" s="12">
        <f t="shared" si="10"/>
        <v>11227</v>
      </c>
      <c r="M37" s="12">
        <f t="shared" si="11"/>
        <v>11227</v>
      </c>
      <c r="N37" s="12">
        <f t="shared" si="11"/>
        <v>0</v>
      </c>
      <c r="O37" s="12">
        <f t="shared" si="11"/>
        <v>0</v>
      </c>
      <c r="P37" s="12">
        <f t="shared" si="11"/>
        <v>0</v>
      </c>
      <c r="Q37" s="12">
        <f t="shared" si="12"/>
        <v>11227</v>
      </c>
      <c r="R37" s="12"/>
      <c r="S37" s="12"/>
      <c r="T37" s="12"/>
      <c r="U37" s="12"/>
      <c r="V37" s="12"/>
      <c r="W37" s="12"/>
    </row>
    <row r="38" spans="2:23" x14ac:dyDescent="0.25">
      <c r="D38" s="3"/>
      <c r="E38" s="1" t="s">
        <v>63</v>
      </c>
      <c r="G38" s="12">
        <v>19229</v>
      </c>
      <c r="H38" s="12"/>
      <c r="I38" s="12"/>
      <c r="J38" s="12"/>
      <c r="K38" s="12">
        <f t="shared" si="10"/>
        <v>19229</v>
      </c>
      <c r="M38" s="12">
        <f t="shared" si="11"/>
        <v>19229</v>
      </c>
      <c r="N38" s="12">
        <f t="shared" si="11"/>
        <v>0</v>
      </c>
      <c r="O38" s="12">
        <f t="shared" si="11"/>
        <v>0</v>
      </c>
      <c r="P38" s="12">
        <f t="shared" si="11"/>
        <v>0</v>
      </c>
      <c r="Q38" s="12">
        <f t="shared" si="12"/>
        <v>19229</v>
      </c>
      <c r="R38" s="12"/>
      <c r="S38" s="12"/>
      <c r="T38" s="12"/>
      <c r="U38" s="12"/>
      <c r="V38" s="12"/>
      <c r="W38" s="12"/>
    </row>
    <row r="39" spans="2:23" x14ac:dyDescent="0.25">
      <c r="D39" s="3"/>
      <c r="E39" s="1" t="s">
        <v>64</v>
      </c>
      <c r="G39" s="12">
        <v>71786</v>
      </c>
      <c r="H39" s="12"/>
      <c r="I39" s="12"/>
      <c r="J39" s="12"/>
      <c r="K39" s="12">
        <f t="shared" si="10"/>
        <v>71786</v>
      </c>
      <c r="M39" s="12">
        <f t="shared" si="11"/>
        <v>71786</v>
      </c>
      <c r="N39" s="12">
        <f t="shared" si="11"/>
        <v>0</v>
      </c>
      <c r="O39" s="12">
        <f t="shared" si="11"/>
        <v>0</v>
      </c>
      <c r="P39" s="12">
        <f t="shared" si="11"/>
        <v>0</v>
      </c>
      <c r="Q39" s="12">
        <f t="shared" si="12"/>
        <v>71786</v>
      </c>
      <c r="R39" s="12"/>
      <c r="S39" s="12"/>
      <c r="T39" s="12"/>
      <c r="U39" s="12"/>
      <c r="V39" s="12"/>
      <c r="W39" s="12"/>
    </row>
    <row r="40" spans="2:23" x14ac:dyDescent="0.25">
      <c r="D40" s="3"/>
      <c r="E40" s="1" t="s">
        <v>65</v>
      </c>
      <c r="G40" s="12">
        <v>6515</v>
      </c>
      <c r="H40" s="12"/>
      <c r="I40" s="12"/>
      <c r="J40" s="12"/>
      <c r="K40" s="12">
        <f t="shared" si="10"/>
        <v>6515</v>
      </c>
      <c r="M40" s="12">
        <f t="shared" si="11"/>
        <v>6515</v>
      </c>
      <c r="N40" s="12">
        <f t="shared" si="11"/>
        <v>0</v>
      </c>
      <c r="O40" s="12">
        <f t="shared" si="11"/>
        <v>0</v>
      </c>
      <c r="P40" s="12">
        <f t="shared" si="11"/>
        <v>0</v>
      </c>
      <c r="Q40" s="12">
        <f t="shared" si="12"/>
        <v>6515</v>
      </c>
      <c r="R40" s="12"/>
      <c r="S40" s="12"/>
      <c r="T40" s="12"/>
      <c r="U40" s="12"/>
      <c r="V40" s="12"/>
      <c r="W40" s="12"/>
    </row>
    <row r="41" spans="2:23" x14ac:dyDescent="0.25">
      <c r="D41" s="3"/>
      <c r="E41" s="1" t="s">
        <v>66</v>
      </c>
      <c r="G41" s="12">
        <v>64479</v>
      </c>
      <c r="H41" s="12"/>
      <c r="I41" s="12"/>
      <c r="J41" s="12"/>
      <c r="K41" s="12">
        <f t="shared" si="10"/>
        <v>64479</v>
      </c>
      <c r="M41" s="12">
        <f t="shared" si="11"/>
        <v>64479</v>
      </c>
      <c r="N41" s="12">
        <f t="shared" si="11"/>
        <v>0</v>
      </c>
      <c r="O41" s="12">
        <f t="shared" si="11"/>
        <v>0</v>
      </c>
      <c r="P41" s="12">
        <f t="shared" si="11"/>
        <v>0</v>
      </c>
      <c r="Q41" s="12">
        <f t="shared" si="12"/>
        <v>64479</v>
      </c>
      <c r="R41" s="12"/>
      <c r="S41" s="12"/>
      <c r="T41" s="12"/>
      <c r="U41" s="12"/>
      <c r="V41" s="12"/>
      <c r="W41" s="12"/>
    </row>
    <row r="42" spans="2:23" x14ac:dyDescent="0.25">
      <c r="D42" s="3"/>
      <c r="K42" s="12">
        <f t="shared" si="10"/>
        <v>0</v>
      </c>
      <c r="Q42" s="12"/>
      <c r="R42" s="12"/>
      <c r="S42" s="12"/>
      <c r="T42" s="12"/>
      <c r="U42" s="12"/>
      <c r="V42" s="12"/>
      <c r="W42" s="12"/>
    </row>
    <row r="43" spans="2:23" x14ac:dyDescent="0.25">
      <c r="D43" s="3" t="s">
        <v>67</v>
      </c>
      <c r="G43" s="12"/>
      <c r="H43" s="12">
        <f>H11</f>
        <v>0</v>
      </c>
      <c r="I43" s="12">
        <v>0</v>
      </c>
      <c r="J43" s="12">
        <v>0</v>
      </c>
      <c r="K43" s="12">
        <f>SUM(G43:J43)</f>
        <v>0</v>
      </c>
      <c r="M43" s="12">
        <f>G43</f>
        <v>0</v>
      </c>
      <c r="N43" s="12">
        <f>H43</f>
        <v>0</v>
      </c>
      <c r="O43" s="12">
        <f>I43</f>
        <v>0</v>
      </c>
      <c r="P43" s="12">
        <f>J43</f>
        <v>0</v>
      </c>
      <c r="Q43" s="12">
        <f>SUM(M43:P43)</f>
        <v>0</v>
      </c>
      <c r="R43" s="12"/>
      <c r="S43" s="12"/>
      <c r="T43" s="12"/>
      <c r="U43" s="12"/>
      <c r="V43" s="12"/>
      <c r="W43" s="12"/>
    </row>
    <row r="44" spans="2:23" x14ac:dyDescent="0.25">
      <c r="D44" s="3"/>
    </row>
    <row r="45" spans="2:23" x14ac:dyDescent="0.25">
      <c r="D45" s="3" t="s">
        <v>68</v>
      </c>
      <c r="G45" s="12"/>
      <c r="H45" s="12"/>
      <c r="I45" s="12">
        <v>0</v>
      </c>
      <c r="J45" s="12">
        <v>0</v>
      </c>
      <c r="K45" s="12">
        <f>SUM(G45:J45)</f>
        <v>0</v>
      </c>
      <c r="M45" s="12">
        <f>G45</f>
        <v>0</v>
      </c>
      <c r="N45" s="12">
        <f>H45</f>
        <v>0</v>
      </c>
      <c r="O45" s="12">
        <f>I45</f>
        <v>0</v>
      </c>
      <c r="P45" s="12">
        <f>J45</f>
        <v>0</v>
      </c>
      <c r="Q45" s="12">
        <f>SUM(M45:P45)</f>
        <v>0</v>
      </c>
      <c r="R45" s="12"/>
      <c r="S45" s="12"/>
      <c r="T45" s="12"/>
      <c r="U45" s="12"/>
      <c r="V45" s="12"/>
      <c r="W45" s="12"/>
    </row>
    <row r="46" spans="2:23" x14ac:dyDescent="0.25">
      <c r="D46" s="3"/>
    </row>
    <row r="47" spans="2:23" x14ac:dyDescent="0.25">
      <c r="D47" s="3" t="s">
        <v>69</v>
      </c>
      <c r="G47" s="12"/>
      <c r="H47" s="12"/>
      <c r="I47" s="12">
        <v>0</v>
      </c>
      <c r="J47" s="12">
        <v>0</v>
      </c>
      <c r="K47" s="12">
        <f>SUM(G47:J47)</f>
        <v>0</v>
      </c>
      <c r="M47" s="12">
        <f>G47</f>
        <v>0</v>
      </c>
      <c r="N47" s="12">
        <f>H47</f>
        <v>0</v>
      </c>
      <c r="O47" s="12">
        <f>I47</f>
        <v>0</v>
      </c>
      <c r="P47" s="12">
        <f>J47</f>
        <v>0</v>
      </c>
      <c r="Q47" s="12">
        <f>SUM(M47:P47)</f>
        <v>0</v>
      </c>
      <c r="R47" s="12"/>
      <c r="S47" s="12"/>
      <c r="T47" s="12"/>
      <c r="U47" s="12"/>
      <c r="V47" s="12"/>
      <c r="W47" s="12"/>
    </row>
    <row r="48" spans="2:23" x14ac:dyDescent="0.25">
      <c r="D48" s="3"/>
    </row>
    <row r="49" spans="2:23" x14ac:dyDescent="0.25">
      <c r="D49" s="3" t="s">
        <v>70</v>
      </c>
      <c r="G49" s="12"/>
      <c r="H49" s="12">
        <v>0</v>
      </c>
      <c r="I49" s="12">
        <v>0</v>
      </c>
      <c r="J49" s="12">
        <v>0</v>
      </c>
      <c r="K49" s="12">
        <f>SUM(G49:J49)</f>
        <v>0</v>
      </c>
      <c r="M49" s="12">
        <f>G49</f>
        <v>0</v>
      </c>
      <c r="N49" s="12">
        <f>H49</f>
        <v>0</v>
      </c>
      <c r="O49" s="12">
        <f>I49</f>
        <v>0</v>
      </c>
      <c r="P49" s="12">
        <f>J49</f>
        <v>0</v>
      </c>
      <c r="Q49" s="12">
        <f>SUM(M49:P49)</f>
        <v>0</v>
      </c>
      <c r="R49" s="12"/>
      <c r="S49" s="12"/>
      <c r="T49" s="12"/>
      <c r="U49" s="12"/>
      <c r="V49" s="12"/>
      <c r="W49" s="12"/>
    </row>
    <row r="50" spans="2:23" x14ac:dyDescent="0.25">
      <c r="D50" s="3" t="s">
        <v>71</v>
      </c>
    </row>
    <row r="51" spans="2:23" x14ac:dyDescent="0.25">
      <c r="D51" s="3"/>
    </row>
    <row r="52" spans="2:23" x14ac:dyDescent="0.25">
      <c r="B52" s="3"/>
      <c r="D52" s="3" t="s">
        <v>66</v>
      </c>
      <c r="G52" s="20"/>
      <c r="H52" s="20">
        <v>0</v>
      </c>
      <c r="I52" s="20">
        <v>0</v>
      </c>
      <c r="J52" s="20">
        <v>0</v>
      </c>
      <c r="K52" s="20">
        <f>SUM(G52:J52)</f>
        <v>0</v>
      </c>
      <c r="M52" s="20">
        <f>G52</f>
        <v>0</v>
      </c>
      <c r="N52" s="20">
        <f>H52</f>
        <v>0</v>
      </c>
      <c r="O52" s="20">
        <f>I52</f>
        <v>0</v>
      </c>
      <c r="P52" s="20">
        <f>J52</f>
        <v>0</v>
      </c>
      <c r="Q52" s="20">
        <f>SUM(M52:P52)</f>
        <v>0</v>
      </c>
      <c r="R52" s="12"/>
      <c r="S52" s="12"/>
      <c r="T52" s="12"/>
      <c r="U52" s="12"/>
      <c r="V52" s="12"/>
      <c r="W52" s="12"/>
    </row>
    <row r="53" spans="2:23" x14ac:dyDescent="0.25">
      <c r="D53" s="3" t="s">
        <v>72</v>
      </c>
      <c r="E53" s="1">
        <v>249373</v>
      </c>
      <c r="G53" s="21">
        <f>SUM(G33:G52)</f>
        <v>249373</v>
      </c>
      <c r="H53" s="21">
        <f>SUM(H33:H52)</f>
        <v>0</v>
      </c>
      <c r="I53" s="21">
        <f>SUM(I33:I52)</f>
        <v>0</v>
      </c>
      <c r="J53" s="21">
        <f>SUM(J33:J52)</f>
        <v>0</v>
      </c>
      <c r="K53" s="21">
        <f>SUM(G53:J53)</f>
        <v>249373</v>
      </c>
      <c r="M53" s="21">
        <f>SUM(M33:M52)</f>
        <v>249373</v>
      </c>
      <c r="N53" s="21">
        <f>SUM(N33:N52)</f>
        <v>0</v>
      </c>
      <c r="O53" s="21">
        <f>SUM(O33:O52)</f>
        <v>0</v>
      </c>
      <c r="P53" s="21">
        <f>SUM(P33:P52)</f>
        <v>0</v>
      </c>
      <c r="Q53" s="21">
        <f>SUM(M53:P53)</f>
        <v>249373</v>
      </c>
      <c r="R53" s="21"/>
      <c r="S53" s="21"/>
      <c r="T53" s="21"/>
      <c r="U53" s="21"/>
      <c r="V53" s="21"/>
      <c r="W53" s="21"/>
    </row>
    <row r="54" spans="2:23" x14ac:dyDescent="0.25">
      <c r="B54" s="3"/>
      <c r="G54" s="12"/>
    </row>
    <row r="55" spans="2:23" x14ac:dyDescent="0.25">
      <c r="B55" s="3" t="s">
        <v>73</v>
      </c>
      <c r="G55" s="12">
        <v>0</v>
      </c>
      <c r="H55" s="12">
        <v>0</v>
      </c>
      <c r="I55" s="12">
        <v>0</v>
      </c>
      <c r="J55" s="12">
        <v>0</v>
      </c>
      <c r="K55" s="12">
        <f>SUM(G55:J55)</f>
        <v>0</v>
      </c>
      <c r="M55" s="12">
        <v>0</v>
      </c>
      <c r="N55" s="12">
        <v>0</v>
      </c>
      <c r="O55" s="12">
        <v>0</v>
      </c>
      <c r="P55" s="12">
        <v>0</v>
      </c>
      <c r="Q55" s="12">
        <f>SUM(M55:P55)</f>
        <v>0</v>
      </c>
      <c r="R55" s="12"/>
      <c r="S55" s="12"/>
      <c r="T55" s="12"/>
      <c r="U55" s="12"/>
      <c r="V55" s="12"/>
      <c r="W55" s="12"/>
    </row>
    <row r="56" spans="2:23" x14ac:dyDescent="0.25">
      <c r="B56" s="3" t="s">
        <v>74</v>
      </c>
      <c r="D56" s="12"/>
    </row>
    <row r="57" spans="2:23" ht="13" thickBot="1" x14ac:dyDescent="0.3">
      <c r="K57" s="12"/>
      <c r="Q57" s="25"/>
      <c r="R57" s="12"/>
      <c r="S57" s="12"/>
      <c r="T57" s="12"/>
      <c r="U57" s="12"/>
      <c r="V57" s="12"/>
      <c r="W57" s="12"/>
    </row>
    <row r="58" spans="2:23" x14ac:dyDescent="0.25">
      <c r="B58" s="3" t="s">
        <v>75</v>
      </c>
      <c r="E58" s="12"/>
      <c r="G58" s="26">
        <f>G21+G24+G31+G53+G55</f>
        <v>1086937.02</v>
      </c>
      <c r="H58" s="26">
        <f>H21+H24+H31+H53+H55</f>
        <v>227640.84</v>
      </c>
      <c r="I58" s="26">
        <f>I21+I24+I31+I53+I55</f>
        <v>827494.25</v>
      </c>
      <c r="J58" s="26">
        <f>J21+J24+J31+J53+J55</f>
        <v>0</v>
      </c>
      <c r="K58" s="26">
        <f>SUM(G58:J58)</f>
        <v>2142072.1100000003</v>
      </c>
      <c r="L58" s="64"/>
      <c r="M58" s="26">
        <f>M21+M24+M31+M53+M55</f>
        <v>963386.34548389725</v>
      </c>
      <c r="N58" s="26">
        <f>N21+N24+N31+N53+N55</f>
        <v>218596.50603871176</v>
      </c>
      <c r="O58" s="26">
        <f>O21+O24+O31+O53+O55</f>
        <v>480324.56041297986</v>
      </c>
      <c r="P58" s="26">
        <f>P21+P24+P31+P53+P55</f>
        <v>0</v>
      </c>
      <c r="Q58" s="26">
        <f>SUM(M58:P58)</f>
        <v>1662307.411935589</v>
      </c>
      <c r="R58" s="21"/>
      <c r="S58" s="21"/>
      <c r="T58" s="21"/>
      <c r="U58" s="21"/>
      <c r="V58" s="21"/>
      <c r="W58" s="21"/>
    </row>
    <row r="61" spans="2:23" ht="14" x14ac:dyDescent="0.3">
      <c r="B61" s="10" t="s">
        <v>76</v>
      </c>
    </row>
    <row r="62" spans="2:23" x14ac:dyDescent="0.25">
      <c r="E62" s="11"/>
    </row>
    <row r="63" spans="2:23" x14ac:dyDescent="0.25">
      <c r="D63" s="1" t="s">
        <v>77</v>
      </c>
      <c r="E63" s="11" t="s">
        <v>26</v>
      </c>
      <c r="G63" s="12">
        <v>133972.70000000001</v>
      </c>
      <c r="H63" s="12">
        <v>10717.83</v>
      </c>
      <c r="I63" s="12">
        <v>391200.31</v>
      </c>
      <c r="J63" s="12"/>
      <c r="K63" s="12">
        <f>I63+H63+G63</f>
        <v>535890.84000000008</v>
      </c>
      <c r="M63" s="12">
        <f>Q63*0.25</f>
        <v>86540.730000000025</v>
      </c>
      <c r="N63" s="12">
        <f>Q63*0.02</f>
        <v>6923.2584000000024</v>
      </c>
      <c r="O63" s="12">
        <f>Q63*0.73</f>
        <v>252698.93160000007</v>
      </c>
      <c r="P63" s="12">
        <f t="shared" ref="P63" si="13">J63</f>
        <v>0</v>
      </c>
      <c r="Q63" s="12">
        <f>K63-((((69*114.57)*8)*3))</f>
        <v>346162.9200000001</v>
      </c>
    </row>
    <row r="64" spans="2:23" x14ac:dyDescent="0.25">
      <c r="E64" s="11"/>
      <c r="G64" s="12"/>
      <c r="H64" s="12"/>
      <c r="I64" s="12"/>
      <c r="J64" s="12"/>
      <c r="K64" s="12"/>
      <c r="M64" s="12"/>
      <c r="N64" s="12"/>
      <c r="O64" s="12"/>
      <c r="P64" s="12"/>
      <c r="Q64" s="12"/>
    </row>
    <row r="65" spans="4:17" x14ac:dyDescent="0.25">
      <c r="D65" s="1" t="s">
        <v>158</v>
      </c>
      <c r="E65" s="11" t="s">
        <v>26</v>
      </c>
      <c r="G65" s="12">
        <v>0</v>
      </c>
      <c r="H65" s="12">
        <v>0</v>
      </c>
      <c r="I65" s="12">
        <v>481277.42</v>
      </c>
      <c r="J65" s="12">
        <v>0</v>
      </c>
      <c r="K65" s="12">
        <f>I65+H65+G65</f>
        <v>481277.42</v>
      </c>
      <c r="M65" s="12">
        <f>G65</f>
        <v>0</v>
      </c>
      <c r="N65" s="12">
        <f>H65</f>
        <v>0</v>
      </c>
      <c r="O65" s="12">
        <f>I65</f>
        <v>481277.42</v>
      </c>
      <c r="P65" s="12">
        <f>J65</f>
        <v>0</v>
      </c>
      <c r="Q65" s="12">
        <f>K65</f>
        <v>481277.42</v>
      </c>
    </row>
    <row r="66" spans="4:17" x14ac:dyDescent="0.25">
      <c r="E66" s="11"/>
    </row>
    <row r="67" spans="4:17" x14ac:dyDescent="0.25">
      <c r="D67" s="1" t="s">
        <v>97</v>
      </c>
      <c r="E67" s="11" t="s">
        <v>26</v>
      </c>
      <c r="G67" s="12">
        <v>0</v>
      </c>
      <c r="H67" s="12">
        <v>0</v>
      </c>
      <c r="I67" s="12">
        <v>214226.45</v>
      </c>
      <c r="J67" s="12">
        <v>0</v>
      </c>
      <c r="K67" s="12">
        <f>I67+H67+G67</f>
        <v>214226.45</v>
      </c>
      <c r="M67" s="12">
        <f>G67</f>
        <v>0</v>
      </c>
      <c r="N67" s="12">
        <f>H67</f>
        <v>0</v>
      </c>
      <c r="O67" s="12">
        <f>I67</f>
        <v>214226.45</v>
      </c>
      <c r="P67" s="12">
        <f>J67</f>
        <v>0</v>
      </c>
      <c r="Q67" s="12">
        <f>K67</f>
        <v>214226.45</v>
      </c>
    </row>
    <row r="68" spans="4:17" x14ac:dyDescent="0.25">
      <c r="E68" s="11"/>
    </row>
    <row r="69" spans="4:17" x14ac:dyDescent="0.25">
      <c r="D69" s="1" t="s">
        <v>157</v>
      </c>
      <c r="E69" s="11" t="s">
        <v>26</v>
      </c>
      <c r="G69" s="12">
        <v>7992.362524242877</v>
      </c>
      <c r="H69" s="12">
        <v>1950.1229452767093</v>
      </c>
      <c r="I69" s="12">
        <v>10133.514530480417</v>
      </c>
      <c r="J69" s="12">
        <v>0</v>
      </c>
      <c r="K69" s="12">
        <f>I69+H69+G69</f>
        <v>20076.000000000004</v>
      </c>
      <c r="M69" s="12">
        <f>G69</f>
        <v>7992.362524242877</v>
      </c>
      <c r="N69" s="12">
        <f>H69</f>
        <v>1950.1229452767093</v>
      </c>
      <c r="O69" s="12">
        <f>I69</f>
        <v>10133.514530480417</v>
      </c>
      <c r="P69" s="12">
        <f>J69</f>
        <v>0</v>
      </c>
      <c r="Q69" s="12">
        <f>K69</f>
        <v>20076.000000000004</v>
      </c>
    </row>
    <row r="70" spans="4:17" x14ac:dyDescent="0.25">
      <c r="E70" s="11"/>
    </row>
    <row r="71" spans="4:17" x14ac:dyDescent="0.25">
      <c r="D71" s="1" t="s">
        <v>161</v>
      </c>
      <c r="E71" s="11" t="s">
        <v>26</v>
      </c>
      <c r="G71" s="12">
        <v>0</v>
      </c>
      <c r="H71" s="12">
        <v>0</v>
      </c>
      <c r="I71" s="12">
        <v>5176.66</v>
      </c>
      <c r="J71" s="12">
        <v>0</v>
      </c>
      <c r="K71" s="12">
        <f>I71+H71+G71</f>
        <v>5176.66</v>
      </c>
      <c r="M71" s="12">
        <f>G71</f>
        <v>0</v>
      </c>
      <c r="N71" s="12">
        <f>H71</f>
        <v>0</v>
      </c>
      <c r="O71" s="12">
        <f>I71</f>
        <v>5176.66</v>
      </c>
      <c r="P71" s="12">
        <f>J71</f>
        <v>0</v>
      </c>
      <c r="Q71" s="12">
        <f>K71</f>
        <v>5176.66</v>
      </c>
    </row>
    <row r="72" spans="4:17" x14ac:dyDescent="0.25">
      <c r="E72" s="11"/>
    </row>
    <row r="73" spans="4:17" x14ac:dyDescent="0.25">
      <c r="D73" s="1" t="s">
        <v>159</v>
      </c>
      <c r="E73" s="11" t="s">
        <v>26</v>
      </c>
      <c r="G73" s="12">
        <v>171926.88</v>
      </c>
      <c r="H73" s="12">
        <v>13754.15</v>
      </c>
      <c r="I73" s="12">
        <v>502026.48</v>
      </c>
      <c r="J73" s="12"/>
      <c r="K73" s="12">
        <f>I73+H73+G73</f>
        <v>687707.51</v>
      </c>
      <c r="M73" s="12">
        <f>G73</f>
        <v>171926.88</v>
      </c>
      <c r="N73" s="12">
        <f>H73</f>
        <v>13754.15</v>
      </c>
      <c r="O73" s="12">
        <f>I73</f>
        <v>502026.48</v>
      </c>
      <c r="P73" s="12">
        <f>J73</f>
        <v>0</v>
      </c>
      <c r="Q73" s="12">
        <f>K73</f>
        <v>687707.51</v>
      </c>
    </row>
    <row r="74" spans="4:17" x14ac:dyDescent="0.25">
      <c r="E74" s="11"/>
    </row>
    <row r="75" spans="4:17" x14ac:dyDescent="0.25">
      <c r="D75" s="1" t="s">
        <v>160</v>
      </c>
      <c r="E75" s="11" t="s">
        <v>26</v>
      </c>
      <c r="G75" s="12">
        <v>562</v>
      </c>
      <c r="H75" s="12">
        <v>44.96</v>
      </c>
      <c r="I75" s="12">
        <v>1641.04</v>
      </c>
      <c r="J75" s="12"/>
      <c r="K75" s="12">
        <f>I75+H75+G75</f>
        <v>2248</v>
      </c>
      <c r="M75" s="12">
        <f>G75</f>
        <v>562</v>
      </c>
      <c r="N75" s="12">
        <f>H75</f>
        <v>44.96</v>
      </c>
      <c r="O75" s="12">
        <f>I75</f>
        <v>1641.04</v>
      </c>
      <c r="P75" s="12">
        <f>J75</f>
        <v>0</v>
      </c>
      <c r="Q75" s="12">
        <f>K75</f>
        <v>2248</v>
      </c>
    </row>
    <row r="76" spans="4:17" x14ac:dyDescent="0.25">
      <c r="E76" s="11"/>
    </row>
    <row r="77" spans="4:17" x14ac:dyDescent="0.25">
      <c r="D77" s="1" t="s">
        <v>162</v>
      </c>
      <c r="E77" s="11" t="s">
        <v>26</v>
      </c>
      <c r="G77" s="12">
        <v>1300.98</v>
      </c>
      <c r="H77" s="12">
        <v>104.07</v>
      </c>
      <c r="I77" s="12">
        <v>3798.84</v>
      </c>
      <c r="J77" s="12"/>
      <c r="K77" s="12">
        <f>I77+H77+G77</f>
        <v>5203.8900000000003</v>
      </c>
      <c r="M77" s="12">
        <f>G77</f>
        <v>1300.98</v>
      </c>
      <c r="N77" s="12">
        <f>H77</f>
        <v>104.07</v>
      </c>
      <c r="O77" s="12">
        <f>I77</f>
        <v>3798.84</v>
      </c>
      <c r="P77" s="12">
        <f>J77</f>
        <v>0</v>
      </c>
      <c r="Q77" s="12">
        <f>K77</f>
        <v>5203.8900000000003</v>
      </c>
    </row>
    <row r="78" spans="4:17" x14ac:dyDescent="0.25">
      <c r="E78" s="11"/>
    </row>
    <row r="79" spans="4:17" x14ac:dyDescent="0.25">
      <c r="D79" s="1" t="s">
        <v>163</v>
      </c>
      <c r="E79" s="11" t="s">
        <v>26</v>
      </c>
      <c r="G79" s="12">
        <v>36246.629999999997</v>
      </c>
      <c r="H79" s="12">
        <v>2899.73</v>
      </c>
      <c r="I79" s="12">
        <v>105840.15</v>
      </c>
      <c r="J79" s="12"/>
      <c r="K79" s="12">
        <f>I79+H79+G79</f>
        <v>144986.50999999998</v>
      </c>
      <c r="M79" s="12">
        <f>G79</f>
        <v>36246.629999999997</v>
      </c>
      <c r="N79" s="12">
        <f>H79</f>
        <v>2899.73</v>
      </c>
      <c r="O79" s="12">
        <f>I79</f>
        <v>105840.15</v>
      </c>
      <c r="P79" s="12">
        <f>J79</f>
        <v>0</v>
      </c>
      <c r="Q79" s="12">
        <f>K79</f>
        <v>144986.50999999998</v>
      </c>
    </row>
    <row r="80" spans="4:17" x14ac:dyDescent="0.25">
      <c r="E80" s="11"/>
    </row>
    <row r="81" spans="4:17" x14ac:dyDescent="0.25">
      <c r="D81" s="1" t="s">
        <v>164</v>
      </c>
      <c r="E81" s="11" t="s">
        <v>26</v>
      </c>
      <c r="G81" s="12">
        <v>70.88</v>
      </c>
      <c r="H81" s="12">
        <v>5.67</v>
      </c>
      <c r="I81" s="12">
        <v>206.97</v>
      </c>
      <c r="J81" s="12"/>
      <c r="K81" s="12">
        <f>I81+H81+G81</f>
        <v>283.52</v>
      </c>
      <c r="M81" s="12">
        <f>G81</f>
        <v>70.88</v>
      </c>
      <c r="N81" s="12">
        <f>H81</f>
        <v>5.67</v>
      </c>
      <c r="O81" s="12">
        <f>I81</f>
        <v>206.97</v>
      </c>
      <c r="P81" s="12">
        <f>J81</f>
        <v>0</v>
      </c>
      <c r="Q81" s="12">
        <f>K81</f>
        <v>283.52</v>
      </c>
    </row>
    <row r="82" spans="4:17" x14ac:dyDescent="0.25">
      <c r="E82" s="11"/>
    </row>
    <row r="83" spans="4:17" x14ac:dyDescent="0.25">
      <c r="D83" s="1" t="s">
        <v>165</v>
      </c>
      <c r="E83" s="11" t="s">
        <v>26</v>
      </c>
      <c r="G83" s="12">
        <v>655.64</v>
      </c>
      <c r="H83" s="12">
        <v>52.45</v>
      </c>
      <c r="I83" s="12">
        <v>1914.44</v>
      </c>
      <c r="J83" s="12"/>
      <c r="K83" s="12">
        <f>I83+H83+G83</f>
        <v>2622.53</v>
      </c>
      <c r="M83" s="12">
        <f>G83</f>
        <v>655.64</v>
      </c>
      <c r="N83" s="12">
        <f>H83</f>
        <v>52.45</v>
      </c>
      <c r="O83" s="12">
        <f>I83</f>
        <v>1914.44</v>
      </c>
      <c r="P83" s="12">
        <f>J83</f>
        <v>0</v>
      </c>
      <c r="Q83" s="12">
        <f>K83</f>
        <v>2622.53</v>
      </c>
    </row>
    <row r="84" spans="4:17" x14ac:dyDescent="0.25">
      <c r="E84" s="11"/>
    </row>
    <row r="85" spans="4:17" x14ac:dyDescent="0.25">
      <c r="D85" s="1" t="s">
        <v>94</v>
      </c>
      <c r="E85" s="11" t="s">
        <v>26</v>
      </c>
      <c r="G85" s="12">
        <v>126645.75</v>
      </c>
      <c r="H85" s="12">
        <v>10131.66</v>
      </c>
      <c r="I85" s="12">
        <v>369805.58</v>
      </c>
      <c r="J85" s="12"/>
      <c r="K85" s="12">
        <f>I85+H85+G85</f>
        <v>506582.99</v>
      </c>
      <c r="M85" s="12">
        <f>G85</f>
        <v>126645.75</v>
      </c>
      <c r="N85" s="12">
        <f>H85</f>
        <v>10131.66</v>
      </c>
      <c r="O85" s="12">
        <f>I85</f>
        <v>369805.58</v>
      </c>
      <c r="P85" s="12">
        <f>J85</f>
        <v>0</v>
      </c>
      <c r="Q85" s="12">
        <f>K85</f>
        <v>506582.99</v>
      </c>
    </row>
    <row r="86" spans="4:17" x14ac:dyDescent="0.25">
      <c r="E86" s="11"/>
      <c r="G86" s="12"/>
      <c r="H86" s="12"/>
      <c r="I86" s="12"/>
      <c r="J86" s="12"/>
      <c r="K86" s="12"/>
      <c r="M86" s="12"/>
      <c r="N86" s="12"/>
      <c r="O86" s="12"/>
      <c r="P86" s="12"/>
      <c r="Q86" s="12"/>
    </row>
    <row r="87" spans="4:17" x14ac:dyDescent="0.25">
      <c r="D87" s="1" t="s">
        <v>166</v>
      </c>
      <c r="E87" s="11" t="s">
        <v>26</v>
      </c>
      <c r="G87" s="12">
        <v>340524.14</v>
      </c>
      <c r="H87" s="12">
        <v>27241.919999999998</v>
      </c>
      <c r="I87" s="12">
        <v>994330.46</v>
      </c>
      <c r="J87" s="12"/>
      <c r="K87" s="12">
        <f t="shared" ref="K87" si="14">I87+H87+G87</f>
        <v>1362096.52</v>
      </c>
      <c r="M87" s="12">
        <f t="shared" ref="M87" si="15">G87</f>
        <v>340524.14</v>
      </c>
      <c r="N87" s="12">
        <f t="shared" ref="N87" si="16">H87</f>
        <v>27241.919999999998</v>
      </c>
      <c r="O87" s="12">
        <f t="shared" ref="O87" si="17">I87</f>
        <v>994330.46</v>
      </c>
      <c r="P87" s="12">
        <f t="shared" ref="P87" si="18">J87</f>
        <v>0</v>
      </c>
      <c r="Q87" s="12">
        <f t="shared" ref="Q87" si="19">K87</f>
        <v>1362096.52</v>
      </c>
    </row>
    <row r="88" spans="4:17" x14ac:dyDescent="0.25">
      <c r="E88" s="11"/>
      <c r="G88" s="12"/>
      <c r="H88" s="12"/>
      <c r="I88" s="12"/>
      <c r="J88" s="12"/>
      <c r="K88" s="12"/>
      <c r="M88" s="12"/>
      <c r="N88" s="12"/>
      <c r="O88" s="12"/>
      <c r="P88" s="12"/>
      <c r="Q88" s="12"/>
    </row>
    <row r="89" spans="4:17" x14ac:dyDescent="0.25">
      <c r="D89" s="1" t="s">
        <v>167</v>
      </c>
      <c r="E89" s="11" t="s">
        <v>26</v>
      </c>
      <c r="G89" s="12">
        <v>120337</v>
      </c>
      <c r="H89" s="12">
        <v>9626.9599999999991</v>
      </c>
      <c r="I89" s="12">
        <v>351384.02</v>
      </c>
      <c r="J89" s="12"/>
      <c r="K89" s="12">
        <f t="shared" ref="K89" si="20">I89+H89+G89</f>
        <v>481347.98000000004</v>
      </c>
      <c r="M89" s="12">
        <f t="shared" ref="M89" si="21">G89</f>
        <v>120337</v>
      </c>
      <c r="N89" s="12">
        <f t="shared" ref="N89" si="22">H89</f>
        <v>9626.9599999999991</v>
      </c>
      <c r="O89" s="12">
        <f t="shared" ref="O89" si="23">I89</f>
        <v>351384.02</v>
      </c>
      <c r="P89" s="12">
        <f t="shared" ref="P89" si="24">J89</f>
        <v>0</v>
      </c>
      <c r="Q89" s="12">
        <f t="shared" ref="Q89" si="25">K89</f>
        <v>481347.98000000004</v>
      </c>
    </row>
    <row r="90" spans="4:17" x14ac:dyDescent="0.25">
      <c r="E90" s="11"/>
      <c r="G90" s="12"/>
      <c r="H90" s="12"/>
      <c r="I90" s="12"/>
      <c r="J90" s="12"/>
      <c r="K90" s="12"/>
      <c r="M90" s="12"/>
      <c r="N90" s="12"/>
      <c r="O90" s="12"/>
      <c r="P90" s="12"/>
      <c r="Q90" s="12"/>
    </row>
    <row r="91" spans="4:17" x14ac:dyDescent="0.25">
      <c r="D91" s="1" t="s">
        <v>168</v>
      </c>
      <c r="E91" s="11" t="s">
        <v>26</v>
      </c>
      <c r="G91" s="12">
        <v>16055</v>
      </c>
      <c r="H91" s="12">
        <v>1284.4000000000001</v>
      </c>
      <c r="I91" s="12">
        <v>46880.59</v>
      </c>
      <c r="J91" s="12"/>
      <c r="K91" s="12">
        <f t="shared" ref="K91" si="26">I91+H91+G91</f>
        <v>64219.99</v>
      </c>
      <c r="M91" s="12">
        <f t="shared" ref="M91" si="27">G91</f>
        <v>16055</v>
      </c>
      <c r="N91" s="12">
        <f t="shared" ref="N91" si="28">H91</f>
        <v>1284.4000000000001</v>
      </c>
      <c r="O91" s="12">
        <f t="shared" ref="O91" si="29">I91</f>
        <v>46880.59</v>
      </c>
      <c r="P91" s="12">
        <f t="shared" ref="P91" si="30">J91</f>
        <v>0</v>
      </c>
      <c r="Q91" s="12">
        <f t="shared" ref="Q91" si="31">K91</f>
        <v>64219.99</v>
      </c>
    </row>
    <row r="92" spans="4:17" x14ac:dyDescent="0.25">
      <c r="E92" s="11"/>
      <c r="G92" s="12"/>
      <c r="H92" s="12"/>
      <c r="I92" s="12"/>
      <c r="J92" s="12"/>
      <c r="K92" s="12"/>
      <c r="M92" s="12"/>
      <c r="N92" s="12"/>
      <c r="O92" s="12"/>
      <c r="P92" s="12"/>
      <c r="Q92" s="12"/>
    </row>
    <row r="93" spans="4:17" x14ac:dyDescent="0.25">
      <c r="D93" s="1" t="s">
        <v>169</v>
      </c>
      <c r="E93" s="11" t="s">
        <v>26</v>
      </c>
      <c r="G93" s="12">
        <v>90620</v>
      </c>
      <c r="H93" s="12">
        <v>7249.59</v>
      </c>
      <c r="I93" s="12">
        <v>264610.34999999998</v>
      </c>
      <c r="J93" s="12"/>
      <c r="K93" s="12">
        <f t="shared" ref="K93" si="32">I93+H93+G93</f>
        <v>362479.94</v>
      </c>
      <c r="M93" s="12">
        <f t="shared" ref="M93" si="33">G93</f>
        <v>90620</v>
      </c>
      <c r="N93" s="12">
        <f t="shared" ref="N93" si="34">H93</f>
        <v>7249.59</v>
      </c>
      <c r="O93" s="12">
        <f t="shared" ref="O93" si="35">I93</f>
        <v>264610.34999999998</v>
      </c>
      <c r="P93" s="12">
        <f t="shared" ref="P93" si="36">J93</f>
        <v>0</v>
      </c>
      <c r="Q93" s="12">
        <f t="shared" ref="Q93" si="37">K93</f>
        <v>362479.94</v>
      </c>
    </row>
    <row r="94" spans="4:17" x14ac:dyDescent="0.25">
      <c r="E94" s="11"/>
      <c r="G94" s="12"/>
      <c r="H94" s="12"/>
      <c r="I94" s="12"/>
      <c r="J94" s="12"/>
      <c r="K94" s="12"/>
      <c r="M94" s="12"/>
      <c r="N94" s="12"/>
      <c r="O94" s="12"/>
      <c r="P94" s="12"/>
      <c r="Q94" s="12"/>
    </row>
    <row r="95" spans="4:17" x14ac:dyDescent="0.25">
      <c r="D95" s="1" t="s">
        <v>170</v>
      </c>
      <c r="E95" s="11" t="s">
        <v>26</v>
      </c>
      <c r="G95" s="12">
        <v>24505.91</v>
      </c>
      <c r="H95" s="12">
        <v>1960.47</v>
      </c>
      <c r="I95" s="12">
        <v>71557.27</v>
      </c>
      <c r="J95" s="12"/>
      <c r="K95" s="12">
        <f t="shared" ref="K95" si="38">I95+H95+G95</f>
        <v>98023.650000000009</v>
      </c>
      <c r="M95" s="12">
        <f t="shared" ref="M95" si="39">G95</f>
        <v>24505.91</v>
      </c>
      <c r="N95" s="12">
        <f t="shared" ref="N95" si="40">H95</f>
        <v>1960.47</v>
      </c>
      <c r="O95" s="12">
        <f t="shared" ref="O95" si="41">I95</f>
        <v>71557.27</v>
      </c>
      <c r="P95" s="12">
        <f t="shared" ref="P95" si="42">J95</f>
        <v>0</v>
      </c>
      <c r="Q95" s="12">
        <f t="shared" ref="Q95" si="43">K95</f>
        <v>98023.650000000009</v>
      </c>
    </row>
    <row r="96" spans="4:17" x14ac:dyDescent="0.25">
      <c r="E96" s="11"/>
      <c r="G96" s="12"/>
      <c r="H96" s="12"/>
      <c r="I96" s="12"/>
      <c r="J96" s="12"/>
      <c r="K96" s="12"/>
      <c r="M96" s="12"/>
      <c r="N96" s="12"/>
      <c r="O96" s="12"/>
      <c r="P96" s="12"/>
      <c r="Q96" s="12"/>
    </row>
    <row r="97" spans="1:24" s="4" customFormat="1" x14ac:dyDescent="0.25">
      <c r="A97" s="1"/>
      <c r="B97" s="1"/>
      <c r="C97" s="1"/>
      <c r="D97" s="1" t="s">
        <v>171</v>
      </c>
      <c r="E97" s="11" t="s">
        <v>26</v>
      </c>
      <c r="F97" s="1"/>
      <c r="G97" s="12">
        <v>12453.25</v>
      </c>
      <c r="H97" s="12">
        <v>996.26</v>
      </c>
      <c r="I97" s="12">
        <v>36363.49</v>
      </c>
      <c r="J97" s="12"/>
      <c r="K97" s="12">
        <f t="shared" ref="K97" si="44">I97+H97+G97</f>
        <v>49813</v>
      </c>
      <c r="L97" s="1"/>
      <c r="M97" s="12">
        <f t="shared" ref="M97" si="45">G97</f>
        <v>12453.25</v>
      </c>
      <c r="N97" s="12">
        <f t="shared" ref="N97" si="46">H97</f>
        <v>996.26</v>
      </c>
      <c r="O97" s="12">
        <f t="shared" ref="O97" si="47">I97</f>
        <v>36363.49</v>
      </c>
      <c r="P97" s="12">
        <f t="shared" ref="P97" si="48">J97</f>
        <v>0</v>
      </c>
      <c r="Q97" s="12">
        <f t="shared" ref="Q97" si="49">K97</f>
        <v>49813</v>
      </c>
      <c r="R97" s="12"/>
      <c r="S97" s="12"/>
      <c r="T97" s="12"/>
      <c r="U97" s="12"/>
      <c r="V97" s="12"/>
      <c r="W97" s="12"/>
      <c r="X97" s="1"/>
    </row>
    <row r="98" spans="1:24" s="4" customFormat="1" ht="13" thickBot="1" x14ac:dyDescent="0.3">
      <c r="A98" s="1"/>
      <c r="B98" s="1"/>
      <c r="C98" s="1"/>
      <c r="D98" s="1"/>
      <c r="E98" s="11"/>
      <c r="F98" s="1"/>
      <c r="G98" s="1"/>
      <c r="H98" s="1"/>
      <c r="I98" s="1"/>
      <c r="J98" s="1"/>
      <c r="K98" s="12"/>
      <c r="L98" s="1"/>
      <c r="M98" s="12"/>
      <c r="N98" s="12"/>
      <c r="O98" s="12"/>
      <c r="P98" s="12"/>
      <c r="Q98" s="12"/>
      <c r="R98" s="1"/>
      <c r="S98" s="1"/>
      <c r="T98" s="1"/>
      <c r="U98" s="1"/>
      <c r="V98" s="1"/>
      <c r="W98" s="1"/>
      <c r="X98" s="1"/>
    </row>
    <row r="99" spans="1:24" s="4" customFormat="1" ht="13" thickBot="1" x14ac:dyDescent="0.3">
      <c r="A99" s="1"/>
      <c r="B99" s="3" t="s">
        <v>79</v>
      </c>
      <c r="C99" s="1"/>
      <c r="D99" s="1"/>
      <c r="E99" s="11" t="s">
        <v>26</v>
      </c>
      <c r="F99" s="1"/>
      <c r="G99" s="26">
        <f t="shared" ref="G99:H99" si="50">SUM(G63:G98)</f>
        <v>1083869.1225242428</v>
      </c>
      <c r="H99" s="26">
        <f t="shared" si="50"/>
        <v>88020.242945276681</v>
      </c>
      <c r="I99" s="26">
        <f>SUM(I63:I98)</f>
        <v>3852374.0345304804</v>
      </c>
      <c r="J99" s="26">
        <f t="shared" ref="J99:Q99" si="51">SUM(J63:J98)</f>
        <v>0</v>
      </c>
      <c r="K99" s="26">
        <f>SUM(K63:K98)</f>
        <v>5024263.4000000004</v>
      </c>
      <c r="L99" s="26">
        <f t="shared" si="51"/>
        <v>0</v>
      </c>
      <c r="M99" s="26">
        <f t="shared" si="51"/>
        <v>1036437.152524243</v>
      </c>
      <c r="N99" s="26">
        <f t="shared" si="51"/>
        <v>84225.671345276685</v>
      </c>
      <c r="O99" s="26">
        <f t="shared" si="51"/>
        <v>3713872.6561304806</v>
      </c>
      <c r="P99" s="26">
        <f t="shared" si="51"/>
        <v>0</v>
      </c>
      <c r="Q99" s="26">
        <f t="shared" si="51"/>
        <v>4834535.4800000014</v>
      </c>
      <c r="R99" s="21"/>
      <c r="S99" s="21"/>
      <c r="T99" s="21"/>
      <c r="U99" s="21"/>
      <c r="V99" s="21"/>
      <c r="W99" s="21"/>
      <c r="X99" s="12"/>
    </row>
    <row r="100" spans="1:24" s="4" customFormat="1" x14ac:dyDescent="0.25">
      <c r="A100" s="1"/>
      <c r="B100" s="3"/>
      <c r="C100" s="1"/>
      <c r="D100" s="1"/>
      <c r="E100" s="11" t="s">
        <v>28</v>
      </c>
      <c r="F100" s="1"/>
      <c r="G100" s="26">
        <f>G98</f>
        <v>0</v>
      </c>
      <c r="H100" s="26">
        <f t="shared" ref="H100:Q100" si="52">H98</f>
        <v>0</v>
      </c>
      <c r="I100" s="26">
        <f t="shared" si="52"/>
        <v>0</v>
      </c>
      <c r="J100" s="26">
        <f t="shared" si="52"/>
        <v>0</v>
      </c>
      <c r="K100" s="26">
        <f t="shared" si="52"/>
        <v>0</v>
      </c>
      <c r="L100" s="1"/>
      <c r="M100" s="26">
        <f t="shared" si="52"/>
        <v>0</v>
      </c>
      <c r="N100" s="26">
        <f t="shared" si="52"/>
        <v>0</v>
      </c>
      <c r="O100" s="26">
        <f t="shared" si="52"/>
        <v>0</v>
      </c>
      <c r="P100" s="26">
        <f t="shared" si="52"/>
        <v>0</v>
      </c>
      <c r="Q100" s="26">
        <f t="shared" si="52"/>
        <v>0</v>
      </c>
      <c r="R100" s="27"/>
      <c r="S100" s="27"/>
      <c r="T100" s="27"/>
      <c r="U100" s="27"/>
      <c r="V100" s="27"/>
      <c r="W100" s="27"/>
      <c r="X100" s="1"/>
    </row>
    <row r="101" spans="1:24" s="4" customFormat="1" x14ac:dyDescent="0.25">
      <c r="A101" s="1"/>
      <c r="B101" s="1"/>
      <c r="C101" s="1"/>
      <c r="D101" s="1"/>
      <c r="E101" s="1"/>
      <c r="F101" s="1"/>
      <c r="G101" s="1"/>
      <c r="H101" s="1"/>
      <c r="I101" s="1"/>
      <c r="J101" s="1"/>
      <c r="K101" s="12"/>
      <c r="L101" s="1"/>
      <c r="M101" s="1"/>
      <c r="N101" s="1"/>
      <c r="O101" s="1"/>
      <c r="P101" s="1"/>
      <c r="Q101" s="1"/>
      <c r="R101" s="1"/>
      <c r="S101" s="1"/>
      <c r="T101" s="1"/>
      <c r="U101" s="1"/>
      <c r="V101" s="1"/>
      <c r="W101" s="1"/>
      <c r="X101" s="12"/>
    </row>
    <row r="102" spans="1:24" s="4" customFormat="1" ht="13" thickBo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s="4" customFormat="1" ht="14.5" thickBot="1" x14ac:dyDescent="0.35">
      <c r="A103" s="1"/>
      <c r="B103" s="10" t="s">
        <v>80</v>
      </c>
      <c r="C103" s="1"/>
      <c r="D103" s="1"/>
      <c r="E103" s="1"/>
      <c r="F103" s="1"/>
      <c r="G103" s="28">
        <f>G58+G99</f>
        <v>2170806.1425242429</v>
      </c>
      <c r="H103" s="28">
        <f t="shared" ref="H103:K103" si="53">H58+H99</f>
        <v>315661.08294527669</v>
      </c>
      <c r="I103" s="28">
        <f t="shared" si="53"/>
        <v>4679868.2845304804</v>
      </c>
      <c r="J103" s="28">
        <f t="shared" si="53"/>
        <v>0</v>
      </c>
      <c r="K103" s="28">
        <f t="shared" si="53"/>
        <v>7166335.5100000007</v>
      </c>
      <c r="L103" s="28">
        <f t="shared" ref="L103:P103" si="54">L58+L99</f>
        <v>0</v>
      </c>
      <c r="M103" s="28">
        <f>M58+M99</f>
        <v>1999823.4980081404</v>
      </c>
      <c r="N103" s="28">
        <f>N58+N99</f>
        <v>302822.17738398846</v>
      </c>
      <c r="O103" s="28">
        <f>O58+O99</f>
        <v>4194197.2165434603</v>
      </c>
      <c r="P103" s="28">
        <f t="shared" si="54"/>
        <v>0</v>
      </c>
      <c r="Q103" s="28">
        <f>Q58+Q99</f>
        <v>6496842.8919355907</v>
      </c>
      <c r="R103" s="21"/>
      <c r="S103" s="21"/>
      <c r="T103" s="21"/>
      <c r="U103" s="21"/>
      <c r="V103" s="21"/>
      <c r="W103" s="21"/>
      <c r="X103" s="1"/>
    </row>
    <row r="104" spans="1:24" s="4" customFormat="1" ht="13" thickTop="1" x14ac:dyDescent="0.25">
      <c r="A104" s="1"/>
      <c r="B104" s="1"/>
      <c r="C104" s="1"/>
      <c r="D104" s="1"/>
      <c r="E104" s="1"/>
      <c r="F104" s="1"/>
      <c r="G104" s="1"/>
      <c r="H104" s="1"/>
      <c r="I104" s="29"/>
      <c r="J104" s="1"/>
      <c r="K104" s="1"/>
      <c r="L104" s="1"/>
      <c r="M104" s="1"/>
      <c r="N104" s="1"/>
      <c r="O104" s="30"/>
      <c r="P104" s="1"/>
      <c r="Q104" s="1"/>
      <c r="R104" s="1"/>
      <c r="S104" s="1"/>
      <c r="T104" s="1"/>
      <c r="U104" s="1"/>
      <c r="V104" s="1"/>
      <c r="W104" s="1"/>
      <c r="X104" s="1"/>
    </row>
    <row r="105" spans="1:24" x14ac:dyDescent="0.25">
      <c r="I105" s="29"/>
      <c r="K105" s="12"/>
      <c r="O105" s="30"/>
    </row>
    <row r="106" spans="1:24" x14ac:dyDescent="0.25">
      <c r="G106" s="18"/>
      <c r="H106" s="18"/>
      <c r="I106" s="18"/>
      <c r="J106" s="12"/>
      <c r="K106" s="12"/>
      <c r="O106" s="30"/>
    </row>
    <row r="107" spans="1:24" x14ac:dyDescent="0.25">
      <c r="G107" s="29"/>
      <c r="H107" s="29"/>
      <c r="I107" s="29"/>
      <c r="K107" s="12"/>
      <c r="O107" s="65"/>
    </row>
    <row r="108" spans="1:24" x14ac:dyDescent="0.25">
      <c r="G108" s="29"/>
      <c r="H108" s="29"/>
      <c r="I108" s="29"/>
      <c r="J108" s="12"/>
      <c r="K108" s="12"/>
      <c r="O108" s="30"/>
    </row>
    <row r="109" spans="1:24" x14ac:dyDescent="0.25">
      <c r="G109" s="29"/>
      <c r="H109" s="29"/>
      <c r="I109" s="29"/>
      <c r="J109" s="29"/>
      <c r="K109" s="12"/>
      <c r="M109" s="32"/>
      <c r="N109" s="32"/>
      <c r="O109" s="33"/>
      <c r="P109" s="32"/>
      <c r="Q109" s="32"/>
      <c r="R109" s="32"/>
      <c r="S109" s="32"/>
      <c r="T109" s="32"/>
      <c r="U109" s="32"/>
    </row>
    <row r="110" spans="1:24" x14ac:dyDescent="0.25">
      <c r="K110" s="29"/>
      <c r="M110" s="32"/>
      <c r="N110" s="32"/>
      <c r="O110" s="33"/>
      <c r="P110" s="32"/>
      <c r="Q110" s="32"/>
      <c r="R110" s="32"/>
      <c r="S110" s="32"/>
      <c r="T110" s="32"/>
      <c r="U110" s="32"/>
    </row>
    <row r="111" spans="1:24" x14ac:dyDescent="0.25">
      <c r="G111" s="34"/>
      <c r="I111" s="29"/>
      <c r="M111" s="32"/>
      <c r="N111" s="32"/>
      <c r="O111" s="33"/>
      <c r="P111" s="32"/>
      <c r="Q111" s="32"/>
      <c r="R111" s="32"/>
      <c r="S111" s="32"/>
      <c r="T111" s="32"/>
      <c r="U111" s="32"/>
    </row>
    <row r="112" spans="1:24" x14ac:dyDescent="0.25">
      <c r="I112" s="85"/>
      <c r="M112" s="32"/>
      <c r="N112" s="32"/>
      <c r="O112" s="32"/>
      <c r="P112" s="32"/>
      <c r="Q112" s="32"/>
      <c r="R112" s="32"/>
      <c r="S112" s="32"/>
      <c r="T112" s="32"/>
      <c r="U112" s="32"/>
    </row>
    <row r="113" spans="5:21" s="4" customFormat="1" x14ac:dyDescent="0.25">
      <c r="G113" s="56">
        <v>0.25</v>
      </c>
      <c r="H113" s="56">
        <v>0.02</v>
      </c>
      <c r="I113" s="56">
        <v>0.73</v>
      </c>
      <c r="M113" s="142"/>
      <c r="N113" s="141"/>
      <c r="O113" s="141"/>
      <c r="P113" s="141"/>
      <c r="Q113" s="39"/>
    </row>
    <row r="114" spans="5:21" s="4" customFormat="1" x14ac:dyDescent="0.25">
      <c r="M114" s="143"/>
    </row>
    <row r="115" spans="5:21" s="4" customFormat="1" x14ac:dyDescent="0.25">
      <c r="K115" s="144"/>
      <c r="N115" s="56"/>
      <c r="O115" s="56"/>
      <c r="P115" s="56"/>
    </row>
    <row r="116" spans="5:21" s="4" customFormat="1" x14ac:dyDescent="0.25">
      <c r="J116" s="144"/>
      <c r="K116" s="144"/>
    </row>
    <row r="117" spans="5:21" x14ac:dyDescent="0.25">
      <c r="E117" s="58"/>
      <c r="G117" s="49"/>
      <c r="H117" s="49"/>
      <c r="I117" s="59"/>
      <c r="J117" s="60"/>
      <c r="K117" s="59"/>
      <c r="M117" s="32"/>
      <c r="N117" s="4"/>
      <c r="O117" s="4"/>
      <c r="P117" s="4"/>
      <c r="Q117" s="4"/>
      <c r="R117" s="4"/>
      <c r="S117" s="4"/>
      <c r="T117" s="4"/>
      <c r="U117" s="4"/>
    </row>
    <row r="118" spans="5:21" x14ac:dyDescent="0.25">
      <c r="I118" s="59"/>
      <c r="J118" s="60"/>
      <c r="K118" s="60"/>
      <c r="M118" s="44"/>
      <c r="N118" s="61"/>
      <c r="O118" s="61"/>
      <c r="P118" s="61"/>
      <c r="Q118" s="4"/>
      <c r="R118" s="4"/>
      <c r="S118" s="4"/>
      <c r="T118" s="4"/>
      <c r="U118" s="4"/>
    </row>
    <row r="119" spans="5:21" x14ac:dyDescent="0.25">
      <c r="H119" s="49"/>
      <c r="I119" s="49"/>
      <c r="M119" s="32"/>
      <c r="N119" s="4"/>
      <c r="O119" s="4"/>
      <c r="P119" s="4"/>
      <c r="Q119" s="4"/>
      <c r="R119" s="4"/>
      <c r="S119" s="4"/>
      <c r="T119" s="4"/>
      <c r="U119" s="4"/>
    </row>
    <row r="120" spans="5:21" x14ac:dyDescent="0.25">
      <c r="G120" s="62"/>
      <c r="H120" s="62"/>
      <c r="I120" s="62"/>
      <c r="M120" s="32"/>
      <c r="N120" s="32"/>
      <c r="O120" s="32"/>
      <c r="P120" s="32"/>
      <c r="Q120" s="32"/>
      <c r="R120" s="32"/>
      <c r="S120" s="32"/>
      <c r="T120" s="32"/>
      <c r="U120" s="32"/>
    </row>
    <row r="121" spans="5:21" x14ac:dyDescent="0.25">
      <c r="G121" s="49"/>
      <c r="H121" s="49"/>
      <c r="I121" s="49"/>
      <c r="M121" s="32"/>
      <c r="N121" s="32"/>
      <c r="O121" s="32"/>
      <c r="P121" s="32"/>
      <c r="Q121" s="32"/>
      <c r="R121" s="32"/>
      <c r="S121" s="32"/>
      <c r="T121" s="32"/>
      <c r="U121" s="32"/>
    </row>
    <row r="122" spans="5:21" x14ac:dyDescent="0.25">
      <c r="G122" s="62"/>
      <c r="H122" s="62"/>
      <c r="I122" s="62"/>
      <c r="M122" s="32"/>
      <c r="N122" s="32"/>
      <c r="O122" s="32"/>
      <c r="P122" s="32"/>
      <c r="Q122" s="32"/>
      <c r="R122" s="32"/>
      <c r="S122" s="32"/>
      <c r="T122" s="32"/>
      <c r="U122" s="32"/>
    </row>
    <row r="123" spans="5:21" x14ac:dyDescent="0.25">
      <c r="G123" s="63"/>
      <c r="H123" s="63"/>
      <c r="I123" s="63"/>
      <c r="M123" s="32"/>
      <c r="N123" s="32"/>
      <c r="O123" s="32"/>
      <c r="P123" s="32"/>
      <c r="Q123" s="32"/>
      <c r="R123" s="32"/>
      <c r="S123" s="32"/>
      <c r="T123" s="32"/>
      <c r="U123" s="32"/>
    </row>
    <row r="124" spans="5:21" x14ac:dyDescent="0.25">
      <c r="G124" s="49"/>
      <c r="H124" s="49"/>
      <c r="I124" s="49"/>
      <c r="M124" s="32"/>
      <c r="N124" s="32"/>
      <c r="O124" s="32"/>
      <c r="P124" s="32"/>
      <c r="Q124" s="32"/>
      <c r="R124" s="32"/>
      <c r="S124" s="32"/>
      <c r="T124" s="32"/>
      <c r="U124" s="32"/>
    </row>
    <row r="125" spans="5:21" x14ac:dyDescent="0.25">
      <c r="M125" s="32"/>
      <c r="N125" s="32"/>
      <c r="O125" s="32"/>
      <c r="P125" s="32"/>
      <c r="Q125" s="32"/>
      <c r="R125" s="32"/>
      <c r="S125" s="32"/>
      <c r="T125" s="32"/>
      <c r="U125" s="32"/>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95C-51F8-4434-A7F6-793EA5F616D5}">
  <sheetPr>
    <tabColor rgb="FF8FFFC7"/>
    <pageSetUpPr fitToPage="1"/>
  </sheetPr>
  <dimension ref="A1:Y127"/>
  <sheetViews>
    <sheetView zoomScale="90" zoomScaleNormal="90" workbookViewId="0">
      <selection activeCell="D7" sqref="D7"/>
    </sheetView>
  </sheetViews>
  <sheetFormatPr defaultColWidth="9.1796875" defaultRowHeight="12.5" x14ac:dyDescent="0.25"/>
  <cols>
    <col min="1" max="1" width="0.81640625" style="1" customWidth="1"/>
    <col min="2" max="2" width="22.1796875" style="1" customWidth="1"/>
    <col min="3" max="3" width="0.81640625" style="1" customWidth="1"/>
    <col min="4" max="4" width="36.1796875" style="1" customWidth="1"/>
    <col min="5" max="5" width="22" style="1" bestFit="1" customWidth="1"/>
    <col min="6" max="6" width="1.26953125" style="1" customWidth="1"/>
    <col min="7" max="7" width="22.54296875" style="1" customWidth="1"/>
    <col min="8" max="8" width="20" style="1" customWidth="1"/>
    <col min="9" max="9" width="16.1796875" style="1" customWidth="1"/>
    <col min="10" max="10" width="14.7265625" style="1" customWidth="1"/>
    <col min="11" max="11" width="16.81640625" style="1" customWidth="1"/>
    <col min="12" max="12" width="1.7265625" style="1" customWidth="1"/>
    <col min="13" max="13" width="14.7265625" style="1" customWidth="1"/>
    <col min="14" max="14" width="15.81640625" style="1" customWidth="1"/>
    <col min="15" max="15" width="16.81640625" style="1" customWidth="1"/>
    <col min="16" max="16" width="14.7265625" style="1" customWidth="1"/>
    <col min="17" max="17" width="16.1796875" style="1" customWidth="1"/>
    <col min="18" max="19" width="2.54296875" style="1" customWidth="1"/>
    <col min="20" max="23" width="16.1796875" style="1" customWidth="1"/>
    <col min="24" max="24" width="2.7265625" style="1" customWidth="1"/>
    <col min="25" max="25" width="47" style="4" hidden="1" customWidth="1"/>
    <col min="26" max="16384" width="9.1796875" style="1"/>
  </cols>
  <sheetData>
    <row r="1" spans="2:25" ht="14.5" x14ac:dyDescent="0.35">
      <c r="E1" s="3"/>
      <c r="F1" s="3"/>
      <c r="I1"/>
    </row>
    <row r="2" spans="2:25" ht="20.5" thickBot="1" x14ac:dyDescent="0.45">
      <c r="B2" s="5" t="s">
        <v>6</v>
      </c>
      <c r="C2" s="3"/>
      <c r="D2" s="3"/>
      <c r="E2" s="3"/>
      <c r="F2" s="3"/>
      <c r="G2" s="149" t="s">
        <v>106</v>
      </c>
      <c r="H2" s="149"/>
      <c r="I2" s="149"/>
      <c r="J2" s="149"/>
      <c r="K2" s="149"/>
      <c r="M2" s="149" t="s">
        <v>107</v>
      </c>
      <c r="N2" s="149"/>
      <c r="O2" s="149"/>
      <c r="P2" s="149"/>
      <c r="Q2" s="149"/>
      <c r="R2" s="6"/>
      <c r="S2" s="6"/>
      <c r="T2" s="6"/>
      <c r="U2" s="6"/>
      <c r="V2" s="6"/>
      <c r="W2" s="6"/>
    </row>
    <row r="3" spans="2:25" ht="20" x14ac:dyDescent="0.4">
      <c r="B3" s="5" t="s">
        <v>7</v>
      </c>
      <c r="C3" s="3"/>
      <c r="D3" s="3"/>
    </row>
    <row r="4" spans="2:25" x14ac:dyDescent="0.25">
      <c r="B4" s="3" t="s">
        <v>108</v>
      </c>
      <c r="C4" s="3"/>
      <c r="D4" s="3"/>
      <c r="G4" s="6" t="s">
        <v>8</v>
      </c>
      <c r="H4" s="6" t="s">
        <v>9</v>
      </c>
      <c r="I4" s="6" t="s">
        <v>10</v>
      </c>
      <c r="J4" s="6" t="s">
        <v>11</v>
      </c>
      <c r="K4" s="6" t="s">
        <v>12</v>
      </c>
      <c r="M4" s="6" t="s">
        <v>8</v>
      </c>
      <c r="N4" s="6" t="s">
        <v>9</v>
      </c>
      <c r="O4" s="6" t="s">
        <v>10</v>
      </c>
      <c r="P4" s="6" t="s">
        <v>11</v>
      </c>
      <c r="Q4" s="6" t="s">
        <v>12</v>
      </c>
      <c r="R4" s="6"/>
      <c r="S4" s="6"/>
      <c r="T4" s="6"/>
      <c r="U4" s="6"/>
      <c r="V4" s="6"/>
      <c r="W4" s="6"/>
    </row>
    <row r="5" spans="2:25" ht="15" x14ac:dyDescent="0.3">
      <c r="B5" s="7"/>
      <c r="C5" s="3"/>
      <c r="D5" s="7" t="s">
        <v>13</v>
      </c>
      <c r="G5" s="6" t="s">
        <v>14</v>
      </c>
      <c r="H5" s="6" t="s">
        <v>15</v>
      </c>
      <c r="I5" s="6" t="s">
        <v>16</v>
      </c>
      <c r="J5" s="6" t="s">
        <v>17</v>
      </c>
      <c r="K5" s="6" t="s">
        <v>18</v>
      </c>
      <c r="M5" s="6" t="s">
        <v>14</v>
      </c>
      <c r="N5" s="6" t="s">
        <v>15</v>
      </c>
      <c r="O5" s="6" t="s">
        <v>16</v>
      </c>
      <c r="P5" s="6" t="s">
        <v>17</v>
      </c>
      <c r="Q5" s="6" t="s">
        <v>18</v>
      </c>
      <c r="R5" s="6"/>
      <c r="S5" s="6"/>
      <c r="T5" s="6"/>
      <c r="U5" s="6"/>
      <c r="V5" s="6"/>
      <c r="W5" s="6"/>
    </row>
    <row r="6" spans="2:25" x14ac:dyDescent="0.25">
      <c r="B6" s="1" t="s">
        <v>109</v>
      </c>
      <c r="D6" s="8"/>
      <c r="G6" s="6"/>
      <c r="H6" s="6" t="s">
        <v>19</v>
      </c>
      <c r="I6" s="6"/>
      <c r="J6" s="6"/>
      <c r="K6" s="6"/>
      <c r="M6" s="6"/>
      <c r="N6" s="6" t="s">
        <v>19</v>
      </c>
      <c r="O6" s="6"/>
      <c r="P6" s="6"/>
      <c r="Q6" s="6"/>
      <c r="R6" s="6"/>
      <c r="S6" s="6"/>
      <c r="T6" s="6"/>
      <c r="U6" s="6"/>
      <c r="V6" s="6"/>
      <c r="W6" s="6"/>
    </row>
    <row r="7" spans="2:25" ht="13" thickBot="1" x14ac:dyDescent="0.3">
      <c r="B7" s="3" t="s">
        <v>98</v>
      </c>
      <c r="G7" s="9" t="s">
        <v>20</v>
      </c>
      <c r="H7" s="9" t="s">
        <v>21</v>
      </c>
      <c r="I7" s="9" t="s">
        <v>22</v>
      </c>
      <c r="J7" s="9"/>
      <c r="K7" s="9" t="s">
        <v>23</v>
      </c>
      <c r="M7" s="9" t="s">
        <v>20</v>
      </c>
      <c r="N7" s="9" t="s">
        <v>21</v>
      </c>
      <c r="O7" s="9" t="s">
        <v>22</v>
      </c>
      <c r="P7" s="9"/>
      <c r="Q7" s="9" t="s">
        <v>23</v>
      </c>
      <c r="R7" s="6"/>
      <c r="S7" s="6"/>
      <c r="T7" s="6"/>
      <c r="U7" s="6"/>
      <c r="V7" s="6"/>
      <c r="W7" s="6"/>
    </row>
    <row r="8" spans="2:25" ht="5.15" customHeight="1" x14ac:dyDescent="0.25">
      <c r="B8" s="3"/>
      <c r="G8" s="6"/>
      <c r="H8" s="6"/>
      <c r="I8" s="6"/>
      <c r="J8" s="6"/>
      <c r="K8" s="6"/>
      <c r="M8" s="6"/>
      <c r="N8" s="6"/>
      <c r="O8" s="6"/>
      <c r="P8" s="6"/>
      <c r="Q8" s="6"/>
      <c r="R8" s="6"/>
      <c r="S8" s="6"/>
      <c r="T8" s="6"/>
      <c r="U8" s="6"/>
      <c r="V8" s="6"/>
      <c r="W8" s="6"/>
    </row>
    <row r="9" spans="2:25" ht="14.5" thickBot="1" x14ac:dyDescent="0.35">
      <c r="B9" s="10" t="s">
        <v>24</v>
      </c>
      <c r="D9" s="1" t="s">
        <v>25</v>
      </c>
      <c r="E9" s="11" t="s">
        <v>26</v>
      </c>
      <c r="G9" s="12">
        <v>45399</v>
      </c>
      <c r="H9" s="12">
        <v>4161</v>
      </c>
      <c r="I9" s="12">
        <v>92923</v>
      </c>
      <c r="J9" s="12"/>
      <c r="K9" s="12">
        <f>J9+I9+H9+G9</f>
        <v>142483</v>
      </c>
      <c r="M9" s="12">
        <v>0</v>
      </c>
      <c r="N9" s="12">
        <v>0</v>
      </c>
      <c r="O9" s="12">
        <v>0</v>
      </c>
      <c r="P9" s="12">
        <v>0</v>
      </c>
      <c r="Q9" s="12">
        <f>SUM(M9:P9)</f>
        <v>0</v>
      </c>
      <c r="R9" s="12"/>
      <c r="S9" s="12"/>
      <c r="T9" s="12"/>
      <c r="U9" s="12"/>
      <c r="V9" s="12"/>
      <c r="W9" s="12"/>
    </row>
    <row r="10" spans="2:25" x14ac:dyDescent="0.25">
      <c r="B10" s="3" t="s">
        <v>27</v>
      </c>
      <c r="E10" s="11" t="s">
        <v>28</v>
      </c>
      <c r="G10" s="13">
        <v>774.9</v>
      </c>
      <c r="H10" s="13">
        <v>72.5</v>
      </c>
      <c r="I10" s="13">
        <v>1621.2</v>
      </c>
      <c r="J10" s="13">
        <v>0</v>
      </c>
      <c r="K10" s="13"/>
      <c r="M10" s="13">
        <f>G10</f>
        <v>774.9</v>
      </c>
      <c r="N10" s="13">
        <f>H10</f>
        <v>72.5</v>
      </c>
      <c r="O10" s="13">
        <f>I10</f>
        <v>1621.2</v>
      </c>
      <c r="P10" s="13">
        <v>0</v>
      </c>
      <c r="Q10" s="13">
        <f>SUM(M10:P10)</f>
        <v>2468.6</v>
      </c>
      <c r="R10" s="14"/>
      <c r="S10" s="14"/>
      <c r="T10" s="14"/>
      <c r="U10" s="14"/>
      <c r="V10" s="14"/>
      <c r="W10" s="14"/>
    </row>
    <row r="11" spans="2:25" x14ac:dyDescent="0.25">
      <c r="E11" s="11"/>
    </row>
    <row r="12" spans="2:25" ht="13" thickBot="1" x14ac:dyDescent="0.3">
      <c r="D12" s="1" t="s">
        <v>29</v>
      </c>
      <c r="E12" s="11" t="s">
        <v>26</v>
      </c>
      <c r="G12" s="12">
        <v>226733</v>
      </c>
      <c r="H12" s="12">
        <v>22352</v>
      </c>
      <c r="I12" s="12">
        <v>499196</v>
      </c>
      <c r="J12" s="12"/>
      <c r="K12" s="12">
        <f>J12+I12+H12+G12</f>
        <v>748281</v>
      </c>
      <c r="M12" s="12">
        <f t="shared" ref="M12:P13" si="0">G12</f>
        <v>226733</v>
      </c>
      <c r="N12" s="12">
        <f t="shared" si="0"/>
        <v>22352</v>
      </c>
      <c r="O12" s="12">
        <f t="shared" si="0"/>
        <v>499196</v>
      </c>
      <c r="P12" s="12">
        <f t="shared" si="0"/>
        <v>0</v>
      </c>
      <c r="Q12" s="12">
        <f>SUM(M12:P12)</f>
        <v>748281</v>
      </c>
      <c r="R12" s="12"/>
      <c r="S12" s="12"/>
      <c r="T12" s="15">
        <f>223294-K12</f>
        <v>-524987</v>
      </c>
      <c r="U12" s="12"/>
      <c r="V12" s="12"/>
      <c r="W12" s="12"/>
    </row>
    <row r="13" spans="2:25" x14ac:dyDescent="0.25">
      <c r="E13" s="11" t="s">
        <v>28</v>
      </c>
      <c r="G13" s="13">
        <v>3311.5</v>
      </c>
      <c r="H13" s="13">
        <v>327.3</v>
      </c>
      <c r="I13" s="13">
        <v>7298.7</v>
      </c>
      <c r="J13" s="13">
        <v>0</v>
      </c>
      <c r="K13" s="13">
        <f>G13+H13+I13+J13</f>
        <v>10937.5</v>
      </c>
      <c r="M13" s="13">
        <f t="shared" si="0"/>
        <v>3311.5</v>
      </c>
      <c r="N13" s="13">
        <f t="shared" si="0"/>
        <v>327.3</v>
      </c>
      <c r="O13" s="13">
        <f t="shared" si="0"/>
        <v>7298.7</v>
      </c>
      <c r="P13" s="13">
        <v>0</v>
      </c>
      <c r="Q13" s="13">
        <f>SUM(M13:P13)</f>
        <v>10937.5</v>
      </c>
      <c r="R13" s="14"/>
      <c r="S13" s="14"/>
      <c r="T13" s="16"/>
      <c r="U13" s="14"/>
      <c r="V13" s="14"/>
      <c r="W13" s="14"/>
    </row>
    <row r="14" spans="2:25" x14ac:dyDescent="0.25">
      <c r="T14" s="4"/>
      <c r="Y14" s="17" t="s">
        <v>30</v>
      </c>
    </row>
    <row r="15" spans="2:25" x14ac:dyDescent="0.25">
      <c r="D15" s="1" t="s">
        <v>31</v>
      </c>
      <c r="E15" s="11" t="s">
        <v>32</v>
      </c>
      <c r="G15" s="12">
        <v>16851</v>
      </c>
      <c r="H15" s="12">
        <v>1546</v>
      </c>
      <c r="I15" s="12">
        <f>680+33831</f>
        <v>34511</v>
      </c>
      <c r="J15" s="12"/>
      <c r="K15" s="12">
        <f>G15+H15+I15+J15</f>
        <v>52908</v>
      </c>
      <c r="M15" s="12">
        <v>0</v>
      </c>
      <c r="N15" s="12">
        <v>0</v>
      </c>
      <c r="O15" s="12">
        <v>0</v>
      </c>
      <c r="P15" s="12">
        <v>0</v>
      </c>
      <c r="Q15" s="12">
        <f t="shared" ref="Q15:Q20" si="1">SUM(M15:P15)</f>
        <v>0</v>
      </c>
      <c r="R15" s="12"/>
      <c r="S15" s="12"/>
      <c r="T15" s="15"/>
      <c r="U15" s="12"/>
      <c r="V15" s="12"/>
      <c r="W15" s="12"/>
    </row>
    <row r="16" spans="2:25" x14ac:dyDescent="0.25">
      <c r="D16" s="1" t="s">
        <v>33</v>
      </c>
      <c r="E16" s="11" t="s">
        <v>34</v>
      </c>
      <c r="G16" s="12">
        <v>25621</v>
      </c>
      <c r="H16" s="12">
        <v>2526</v>
      </c>
      <c r="I16" s="12">
        <f>482+55927</f>
        <v>56409</v>
      </c>
      <c r="J16" s="12"/>
      <c r="K16" s="12">
        <f t="shared" ref="K16:K20" si="2">G16+H16+I16+J16</f>
        <v>84556</v>
      </c>
      <c r="M16" s="12">
        <f>G16</f>
        <v>25621</v>
      </c>
      <c r="N16" s="12">
        <f>H16</f>
        <v>2526</v>
      </c>
      <c r="O16" s="12">
        <f>I16</f>
        <v>56409</v>
      </c>
      <c r="P16" s="12">
        <f>J16</f>
        <v>0</v>
      </c>
      <c r="Q16" s="12">
        <f t="shared" si="1"/>
        <v>84556</v>
      </c>
      <c r="R16" s="12"/>
      <c r="S16" s="12"/>
      <c r="T16" s="15"/>
      <c r="U16" s="12"/>
      <c r="V16" s="12"/>
      <c r="W16" s="12"/>
      <c r="Y16" s="4" t="s">
        <v>35</v>
      </c>
    </row>
    <row r="17" spans="2:25" x14ac:dyDescent="0.25">
      <c r="D17" s="18"/>
      <c r="E17" s="11" t="s">
        <v>36</v>
      </c>
      <c r="G17" s="12">
        <v>1016</v>
      </c>
      <c r="H17" s="12">
        <v>99</v>
      </c>
      <c r="I17" s="12">
        <f>2190+26</f>
        <v>2216</v>
      </c>
      <c r="J17" s="12"/>
      <c r="K17" s="12">
        <f t="shared" si="2"/>
        <v>3331</v>
      </c>
      <c r="M17" s="12">
        <v>0</v>
      </c>
      <c r="N17" s="12">
        <v>0</v>
      </c>
      <c r="O17" s="12">
        <v>0</v>
      </c>
      <c r="P17" s="12">
        <v>0</v>
      </c>
      <c r="Q17" s="12">
        <f t="shared" si="1"/>
        <v>0</v>
      </c>
      <c r="R17" s="12"/>
      <c r="S17" s="12"/>
      <c r="T17" s="15"/>
      <c r="U17" s="12"/>
      <c r="V17" s="12"/>
      <c r="W17" s="12"/>
      <c r="Y17" s="19">
        <v>614800</v>
      </c>
    </row>
    <row r="18" spans="2:25" x14ac:dyDescent="0.25">
      <c r="E18" s="11" t="s">
        <v>37</v>
      </c>
      <c r="G18" s="12">
        <v>10555</v>
      </c>
      <c r="H18" s="12">
        <v>1025</v>
      </c>
      <c r="I18" s="12">
        <v>23046</v>
      </c>
      <c r="J18" s="12"/>
      <c r="K18" s="12">
        <f t="shared" si="2"/>
        <v>34626</v>
      </c>
      <c r="M18" s="12">
        <v>0</v>
      </c>
      <c r="N18" s="12">
        <v>0</v>
      </c>
      <c r="O18" s="12">
        <v>0</v>
      </c>
      <c r="P18" s="12">
        <v>0</v>
      </c>
      <c r="Q18" s="12">
        <f t="shared" si="1"/>
        <v>0</v>
      </c>
      <c r="R18" s="12"/>
      <c r="S18" s="12"/>
      <c r="T18" s="15"/>
      <c r="U18" s="12"/>
      <c r="V18" s="12"/>
      <c r="W18" s="12"/>
    </row>
    <row r="19" spans="2:25" x14ac:dyDescent="0.25">
      <c r="E19" s="11" t="s">
        <v>38</v>
      </c>
      <c r="G19" s="12">
        <v>334379</v>
      </c>
      <c r="H19" s="12">
        <v>32122</v>
      </c>
      <c r="I19" s="12"/>
      <c r="J19" s="12"/>
      <c r="K19" s="12">
        <f t="shared" si="2"/>
        <v>366501</v>
      </c>
      <c r="M19" s="12">
        <f>G19</f>
        <v>334379</v>
      </c>
      <c r="N19" s="12">
        <f>H19</f>
        <v>32122</v>
      </c>
      <c r="O19" s="12">
        <f>I19</f>
        <v>0</v>
      </c>
      <c r="P19" s="12">
        <f>J19</f>
        <v>0</v>
      </c>
      <c r="Q19" s="12">
        <f t="shared" si="1"/>
        <v>366501</v>
      </c>
      <c r="R19" s="12"/>
      <c r="S19" s="12"/>
      <c r="T19" s="15"/>
      <c r="U19" s="12"/>
      <c r="V19" s="12"/>
      <c r="W19" s="12"/>
      <c r="Y19" s="4" t="s">
        <v>39</v>
      </c>
    </row>
    <row r="20" spans="2:25" x14ac:dyDescent="0.25">
      <c r="E20" s="11" t="s">
        <v>40</v>
      </c>
      <c r="G20" s="20">
        <v>38831</v>
      </c>
      <c r="H20" s="20">
        <v>3754</v>
      </c>
      <c r="I20" s="20">
        <v>83795</v>
      </c>
      <c r="J20" s="20"/>
      <c r="K20" s="20">
        <f t="shared" si="2"/>
        <v>126380</v>
      </c>
      <c r="M20" s="12">
        <v>0</v>
      </c>
      <c r="N20" s="12">
        <v>0</v>
      </c>
      <c r="O20" s="12">
        <v>0</v>
      </c>
      <c r="P20" s="12">
        <v>0</v>
      </c>
      <c r="Q20" s="12">
        <f t="shared" si="1"/>
        <v>0</v>
      </c>
      <c r="R20" s="12"/>
      <c r="S20" s="12"/>
      <c r="T20" s="15"/>
      <c r="U20" s="12"/>
      <c r="V20" s="12"/>
      <c r="W20" s="12"/>
      <c r="Y20" s="19">
        <f>31030+1679</f>
        <v>32709</v>
      </c>
    </row>
    <row r="21" spans="2:25" x14ac:dyDescent="0.25">
      <c r="D21" s="3" t="s">
        <v>41</v>
      </c>
      <c r="E21" s="11"/>
      <c r="G21" s="21">
        <f>SUM(G15:G20)+G12+G9</f>
        <v>699385</v>
      </c>
      <c r="H21" s="21">
        <f t="shared" ref="H21:K21" si="3">SUM(H15:H20)+H12+H9</f>
        <v>67585</v>
      </c>
      <c r="I21" s="21">
        <f t="shared" si="3"/>
        <v>792096</v>
      </c>
      <c r="J21" s="21">
        <f t="shared" si="3"/>
        <v>0</v>
      </c>
      <c r="K21" s="21">
        <f t="shared" si="3"/>
        <v>1559066</v>
      </c>
      <c r="M21" s="22">
        <f>M9+M12+SUM(M15:M20)</f>
        <v>586733</v>
      </c>
      <c r="N21" s="22">
        <f>N9+N12+SUM(N15:N20)</f>
        <v>57000</v>
      </c>
      <c r="O21" s="22">
        <f>O9+O12+SUM(O15:O20)</f>
        <v>555605</v>
      </c>
      <c r="P21" s="22">
        <f>P9+P12+SUM(P15:P20)</f>
        <v>0</v>
      </c>
      <c r="Q21" s="22">
        <f>Q9+Q12+SUM(Q15:Q20)</f>
        <v>1199338</v>
      </c>
      <c r="R21" s="21"/>
      <c r="S21" s="21"/>
      <c r="T21" s="23">
        <f>464310+207900+20790</f>
        <v>693000</v>
      </c>
      <c r="U21" s="21"/>
      <c r="V21" s="21"/>
      <c r="W21" s="21"/>
    </row>
    <row r="22" spans="2:25" x14ac:dyDescent="0.25">
      <c r="E22" s="11"/>
      <c r="G22" s="12"/>
      <c r="H22" s="12"/>
      <c r="I22" s="12"/>
      <c r="J22" s="12"/>
      <c r="K22" s="12"/>
      <c r="N22" s="12"/>
      <c r="O22" s="12"/>
      <c r="P22" s="12"/>
      <c r="Q22" s="12"/>
      <c r="R22" s="12"/>
      <c r="S22" s="12"/>
      <c r="T22" s="79"/>
      <c r="U22" s="12"/>
      <c r="V22" s="12"/>
      <c r="W22" s="12"/>
      <c r="Y22" s="4" t="s">
        <v>42</v>
      </c>
    </row>
    <row r="23" spans="2:25" x14ac:dyDescent="0.25">
      <c r="B23" s="3" t="s">
        <v>43</v>
      </c>
      <c r="E23" s="11" t="s">
        <v>44</v>
      </c>
      <c r="G23" s="20">
        <v>47080</v>
      </c>
      <c r="H23" s="20">
        <v>4318</v>
      </c>
      <c r="I23" s="20">
        <v>103804</v>
      </c>
      <c r="J23" s="20"/>
      <c r="K23" s="20">
        <f>J23+I23+H23+G23</f>
        <v>155202</v>
      </c>
      <c r="M23" s="20">
        <f>$Q$23*G$119</f>
        <v>2477.1481219908915</v>
      </c>
      <c r="N23" s="20">
        <f>$Q$23*H$119</f>
        <v>247.71481219908915</v>
      </c>
      <c r="O23" s="20">
        <f>$Q$23*I$119</f>
        <v>5532.2974724463247</v>
      </c>
      <c r="P23" s="20">
        <v>0</v>
      </c>
      <c r="Q23" s="20">
        <f>K23*Y23</f>
        <v>8257.1604066363052</v>
      </c>
      <c r="R23" s="12"/>
      <c r="S23" s="12"/>
      <c r="T23" s="15">
        <f>251603.59-K23</f>
        <v>96401.59</v>
      </c>
      <c r="U23" s="12"/>
      <c r="V23" s="12"/>
      <c r="W23" s="12"/>
      <c r="Y23" s="24">
        <f>Y20/Y17</f>
        <v>5.320266753415745E-2</v>
      </c>
    </row>
    <row r="24" spans="2:25" x14ac:dyDescent="0.25">
      <c r="B24" s="3"/>
      <c r="D24" s="3" t="s">
        <v>45</v>
      </c>
      <c r="E24" s="11"/>
      <c r="G24" s="21">
        <f>G23</f>
        <v>47080</v>
      </c>
      <c r="H24" s="21">
        <f t="shared" ref="H24:I24" si="4">H23</f>
        <v>4318</v>
      </c>
      <c r="I24" s="21">
        <f t="shared" si="4"/>
        <v>103804</v>
      </c>
      <c r="J24" s="21"/>
      <c r="K24" s="21">
        <f>K23</f>
        <v>155202</v>
      </c>
      <c r="M24" s="21">
        <f>SUM(M23)</f>
        <v>2477.1481219908915</v>
      </c>
      <c r="N24" s="21">
        <f>SUM(N23)</f>
        <v>247.71481219908915</v>
      </c>
      <c r="O24" s="21">
        <f>SUM(O23)</f>
        <v>5532.2974724463247</v>
      </c>
      <c r="P24" s="21">
        <f>SUM(P23)</f>
        <v>0</v>
      </c>
      <c r="Q24" s="21">
        <f>SUM(M24:P24)</f>
        <v>8257.1604066363052</v>
      </c>
      <c r="R24" s="21"/>
      <c r="S24" s="21"/>
      <c r="T24" s="23"/>
      <c r="U24" s="21"/>
      <c r="V24" s="21"/>
      <c r="W24" s="21"/>
    </row>
    <row r="25" spans="2:25" x14ac:dyDescent="0.25">
      <c r="B25" s="3"/>
    </row>
    <row r="26" spans="2:25" x14ac:dyDescent="0.25">
      <c r="B26" s="3" t="s">
        <v>46</v>
      </c>
      <c r="E26" s="11" t="s">
        <v>47</v>
      </c>
      <c r="G26" s="12">
        <v>1020</v>
      </c>
      <c r="H26" s="12">
        <v>82</v>
      </c>
      <c r="I26" s="12">
        <v>2193</v>
      </c>
      <c r="J26" s="12"/>
      <c r="K26" s="12">
        <f>G26+H26+I26+J26</f>
        <v>3295</v>
      </c>
      <c r="M26" s="12">
        <v>0</v>
      </c>
      <c r="N26" s="12">
        <v>0</v>
      </c>
      <c r="O26" s="12">
        <v>0</v>
      </c>
      <c r="P26" s="12">
        <v>0</v>
      </c>
      <c r="Q26" s="12">
        <f t="shared" ref="Q26:Q31" si="5">SUM(M26:P26)</f>
        <v>0</v>
      </c>
      <c r="R26" s="12"/>
      <c r="S26" s="12"/>
      <c r="T26" s="12"/>
      <c r="U26" s="12"/>
      <c r="V26" s="12"/>
      <c r="W26" s="12"/>
    </row>
    <row r="27" spans="2:25" x14ac:dyDescent="0.25">
      <c r="B27" s="3"/>
      <c r="E27" s="11" t="s">
        <v>48</v>
      </c>
      <c r="G27" s="12">
        <v>6558</v>
      </c>
      <c r="H27" s="12">
        <v>656</v>
      </c>
      <c r="I27" s="12">
        <v>14647</v>
      </c>
      <c r="J27" s="12"/>
      <c r="K27" s="12">
        <f t="shared" ref="K27:K30" si="6">G27+H27+I27+J27</f>
        <v>21861</v>
      </c>
      <c r="M27" s="12">
        <f>G27</f>
        <v>6558</v>
      </c>
      <c r="N27" s="12">
        <f>H27</f>
        <v>656</v>
      </c>
      <c r="O27" s="12">
        <f>I27</f>
        <v>14647</v>
      </c>
      <c r="P27" s="12">
        <f>J27</f>
        <v>0</v>
      </c>
      <c r="Q27" s="12">
        <f>SUM(M27:P27)</f>
        <v>21861</v>
      </c>
      <c r="R27" s="12"/>
      <c r="S27" s="12"/>
      <c r="T27" s="12"/>
      <c r="U27" s="12"/>
      <c r="V27" s="12"/>
      <c r="W27" s="12"/>
    </row>
    <row r="28" spans="2:25" x14ac:dyDescent="0.25">
      <c r="B28" s="3"/>
      <c r="E28" s="1" t="s">
        <v>49</v>
      </c>
      <c r="G28" s="12"/>
      <c r="H28" s="12"/>
      <c r="I28" s="12"/>
      <c r="J28" s="12"/>
      <c r="K28" s="12">
        <f t="shared" si="6"/>
        <v>0</v>
      </c>
      <c r="M28" s="12">
        <v>0</v>
      </c>
      <c r="N28" s="12">
        <v>0</v>
      </c>
      <c r="O28" s="12">
        <v>0</v>
      </c>
      <c r="P28" s="12">
        <v>0</v>
      </c>
      <c r="Q28" s="12">
        <f t="shared" si="5"/>
        <v>0</v>
      </c>
      <c r="R28" s="12"/>
      <c r="S28" s="12"/>
      <c r="T28" s="12"/>
      <c r="U28" s="12"/>
      <c r="V28" s="12"/>
      <c r="W28" s="12"/>
    </row>
    <row r="29" spans="2:25" x14ac:dyDescent="0.25">
      <c r="B29" s="3"/>
      <c r="E29" s="11" t="s">
        <v>50</v>
      </c>
      <c r="G29" s="12">
        <v>65515.257029499655</v>
      </c>
      <c r="H29" s="12">
        <v>6299.4891035055361</v>
      </c>
      <c r="I29" s="12">
        <v>140653.25386699499</v>
      </c>
      <c r="J29" s="12"/>
      <c r="K29" s="12">
        <f t="shared" si="6"/>
        <v>212468.00000000017</v>
      </c>
      <c r="M29" s="12">
        <f t="shared" ref="M29:P30" si="7">G29</f>
        <v>65515.257029499655</v>
      </c>
      <c r="N29" s="12">
        <f t="shared" si="7"/>
        <v>6299.4891035055361</v>
      </c>
      <c r="O29" s="12">
        <f t="shared" si="7"/>
        <v>140653.25386699499</v>
      </c>
      <c r="P29" s="12">
        <f t="shared" si="7"/>
        <v>0</v>
      </c>
      <c r="Q29" s="12">
        <f t="shared" si="5"/>
        <v>212468.00000000017</v>
      </c>
      <c r="R29" s="12"/>
      <c r="S29" s="12"/>
      <c r="T29" s="12"/>
      <c r="U29" s="12"/>
      <c r="V29" s="12"/>
      <c r="W29" s="12"/>
    </row>
    <row r="30" spans="2:25" x14ac:dyDescent="0.25">
      <c r="B30" s="3"/>
      <c r="E30" s="11" t="s">
        <v>51</v>
      </c>
      <c r="G30" s="20">
        <v>3842</v>
      </c>
      <c r="H30" s="20">
        <v>373</v>
      </c>
      <c r="I30" s="20">
        <v>8593</v>
      </c>
      <c r="J30" s="20"/>
      <c r="K30" s="20">
        <f t="shared" si="6"/>
        <v>12808</v>
      </c>
      <c r="M30" s="20">
        <f t="shared" si="7"/>
        <v>3842</v>
      </c>
      <c r="N30" s="20">
        <f t="shared" si="7"/>
        <v>373</v>
      </c>
      <c r="O30" s="20">
        <f t="shared" si="7"/>
        <v>8593</v>
      </c>
      <c r="P30" s="20">
        <f>J30</f>
        <v>0</v>
      </c>
      <c r="Q30" s="20">
        <f t="shared" si="5"/>
        <v>12808</v>
      </c>
      <c r="R30" s="12"/>
      <c r="S30" s="12"/>
      <c r="T30" s="12"/>
      <c r="U30" s="12"/>
      <c r="V30" s="12"/>
      <c r="W30" s="12"/>
    </row>
    <row r="31" spans="2:25" x14ac:dyDescent="0.25">
      <c r="B31" s="3"/>
      <c r="D31" s="3" t="s">
        <v>52</v>
      </c>
      <c r="G31" s="21">
        <f>SUM(G26:G30)</f>
        <v>76935.257029499655</v>
      </c>
      <c r="H31" s="21">
        <f t="shared" ref="H31:I31" si="8">SUM(H26:H30)</f>
        <v>7410.4891035055361</v>
      </c>
      <c r="I31" s="21">
        <f t="shared" si="8"/>
        <v>166086.25386699499</v>
      </c>
      <c r="J31" s="21"/>
      <c r="K31" s="21">
        <f>SUM(K26:K30)</f>
        <v>250432.00000000017</v>
      </c>
      <c r="M31" s="21">
        <f>SUM(M26:M30)</f>
        <v>75915.257029499655</v>
      </c>
      <c r="N31" s="21">
        <f>SUM(N26:N30)</f>
        <v>7328.4891035055361</v>
      </c>
      <c r="O31" s="21">
        <f>SUM(O26:O30)</f>
        <v>163893.25386699499</v>
      </c>
      <c r="P31" s="21">
        <f>SUM(P26:P30)</f>
        <v>0</v>
      </c>
      <c r="Q31" s="21">
        <f t="shared" si="5"/>
        <v>247137.00000000017</v>
      </c>
      <c r="R31" s="21"/>
      <c r="S31" s="21"/>
      <c r="T31" s="21"/>
      <c r="U31" s="21"/>
      <c r="V31" s="21"/>
      <c r="W31" s="21"/>
    </row>
    <row r="32" spans="2:25" x14ac:dyDescent="0.25">
      <c r="B32" s="3"/>
    </row>
    <row r="33" spans="2:23" x14ac:dyDescent="0.25">
      <c r="B33" s="3" t="s">
        <v>53</v>
      </c>
      <c r="D33" s="3" t="s">
        <v>54</v>
      </c>
      <c r="E33" s="1" t="s">
        <v>55</v>
      </c>
      <c r="G33" s="12">
        <v>29028</v>
      </c>
      <c r="H33" s="12"/>
      <c r="I33" s="12"/>
      <c r="J33" s="12"/>
      <c r="K33" s="12">
        <f>G33+H33+I33+J33</f>
        <v>29028</v>
      </c>
      <c r="M33" s="12">
        <f t="shared" ref="M33:P34" si="9">G33</f>
        <v>29028</v>
      </c>
      <c r="N33" s="12">
        <f t="shared" si="9"/>
        <v>0</v>
      </c>
      <c r="O33" s="12">
        <f t="shared" si="9"/>
        <v>0</v>
      </c>
      <c r="P33" s="12">
        <f t="shared" si="9"/>
        <v>0</v>
      </c>
      <c r="Q33" s="12">
        <f>SUM(M33:P33)</f>
        <v>29028</v>
      </c>
      <c r="R33" s="12"/>
      <c r="S33" s="12"/>
      <c r="T33" s="12"/>
      <c r="U33" s="12"/>
      <c r="V33" s="12"/>
      <c r="W33" s="12"/>
    </row>
    <row r="34" spans="2:23" x14ac:dyDescent="0.25">
      <c r="B34" s="3" t="s">
        <v>56</v>
      </c>
      <c r="D34" s="3" t="s">
        <v>57</v>
      </c>
      <c r="E34" s="1" t="s">
        <v>58</v>
      </c>
      <c r="G34" s="12">
        <v>13580</v>
      </c>
      <c r="H34" s="12"/>
      <c r="I34" s="12"/>
      <c r="J34" s="12"/>
      <c r="K34" s="12">
        <f t="shared" ref="K34:K42" si="10">G34+H34+I34+J34</f>
        <v>13580</v>
      </c>
      <c r="M34" s="12">
        <f t="shared" si="9"/>
        <v>13580</v>
      </c>
      <c r="N34" s="12">
        <f t="shared" si="9"/>
        <v>0</v>
      </c>
      <c r="O34" s="12">
        <f t="shared" si="9"/>
        <v>0</v>
      </c>
      <c r="P34" s="12">
        <f t="shared" si="9"/>
        <v>0</v>
      </c>
      <c r="Q34" s="12">
        <f>SUM(M34:P34)</f>
        <v>13580</v>
      </c>
      <c r="R34" s="12"/>
      <c r="S34" s="12"/>
      <c r="T34" s="12"/>
      <c r="U34" s="12"/>
      <c r="V34" s="12"/>
      <c r="W34" s="12"/>
    </row>
    <row r="35" spans="2:23" x14ac:dyDescent="0.25">
      <c r="D35" s="3"/>
      <c r="K35" s="12">
        <f t="shared" si="10"/>
        <v>0</v>
      </c>
      <c r="Q35" s="12"/>
      <c r="R35" s="12"/>
      <c r="S35" s="12"/>
      <c r="T35" s="12"/>
      <c r="U35" s="12"/>
      <c r="V35" s="12"/>
      <c r="W35" s="12"/>
    </row>
    <row r="36" spans="2:23" x14ac:dyDescent="0.25">
      <c r="D36" s="3" t="s">
        <v>59</v>
      </c>
      <c r="E36" s="1" t="s">
        <v>60</v>
      </c>
      <c r="G36" s="12">
        <v>20712</v>
      </c>
      <c r="H36" s="12"/>
      <c r="I36" s="12"/>
      <c r="J36" s="12"/>
      <c r="K36" s="12">
        <f t="shared" si="10"/>
        <v>20712</v>
      </c>
      <c r="M36" s="12">
        <f t="shared" ref="M36:P41" si="11">G36</f>
        <v>20712</v>
      </c>
      <c r="N36" s="12">
        <f t="shared" si="11"/>
        <v>0</v>
      </c>
      <c r="O36" s="12">
        <f t="shared" si="11"/>
        <v>0</v>
      </c>
      <c r="P36" s="12">
        <f t="shared" si="11"/>
        <v>0</v>
      </c>
      <c r="Q36" s="12">
        <f t="shared" ref="Q36:Q41" si="12">SUM(M36:P36)</f>
        <v>20712</v>
      </c>
      <c r="R36" s="12"/>
      <c r="S36" s="12"/>
      <c r="T36" s="12"/>
      <c r="U36" s="12"/>
      <c r="V36" s="12"/>
      <c r="W36" s="12"/>
    </row>
    <row r="37" spans="2:23" x14ac:dyDescent="0.25">
      <c r="D37" s="3" t="s">
        <v>61</v>
      </c>
      <c r="E37" s="1" t="s">
        <v>62</v>
      </c>
      <c r="G37" s="12">
        <v>10680</v>
      </c>
      <c r="H37" s="12"/>
      <c r="I37" s="12"/>
      <c r="J37" s="12"/>
      <c r="K37" s="12">
        <f t="shared" si="10"/>
        <v>10680</v>
      </c>
      <c r="M37" s="12">
        <f t="shared" si="11"/>
        <v>10680</v>
      </c>
      <c r="N37" s="12">
        <f t="shared" si="11"/>
        <v>0</v>
      </c>
      <c r="O37" s="12">
        <f t="shared" si="11"/>
        <v>0</v>
      </c>
      <c r="P37" s="12">
        <f t="shared" si="11"/>
        <v>0</v>
      </c>
      <c r="Q37" s="12">
        <f t="shared" si="12"/>
        <v>10680</v>
      </c>
      <c r="R37" s="12"/>
      <c r="S37" s="12"/>
      <c r="T37" s="12"/>
      <c r="U37" s="12"/>
      <c r="V37" s="12"/>
      <c r="W37" s="12"/>
    </row>
    <row r="38" spans="2:23" x14ac:dyDescent="0.25">
      <c r="D38" s="3"/>
      <c r="E38" s="1" t="s">
        <v>63</v>
      </c>
      <c r="G38" s="12"/>
      <c r="H38" s="12"/>
      <c r="I38" s="12"/>
      <c r="J38" s="12"/>
      <c r="K38" s="12">
        <f t="shared" si="10"/>
        <v>0</v>
      </c>
      <c r="M38" s="12">
        <f t="shared" si="11"/>
        <v>0</v>
      </c>
      <c r="N38" s="12">
        <f t="shared" si="11"/>
        <v>0</v>
      </c>
      <c r="O38" s="12">
        <f t="shared" si="11"/>
        <v>0</v>
      </c>
      <c r="P38" s="12">
        <f t="shared" si="11"/>
        <v>0</v>
      </c>
      <c r="Q38" s="12">
        <f t="shared" si="12"/>
        <v>0</v>
      </c>
      <c r="R38" s="12"/>
      <c r="S38" s="12"/>
      <c r="T38" s="12"/>
      <c r="U38" s="12"/>
      <c r="V38" s="12"/>
      <c r="W38" s="12"/>
    </row>
    <row r="39" spans="2:23" x14ac:dyDescent="0.25">
      <c r="D39" s="3"/>
      <c r="E39" s="1" t="s">
        <v>64</v>
      </c>
      <c r="G39" s="12">
        <f>92179*0.5</f>
        <v>46089.5</v>
      </c>
      <c r="H39" s="12"/>
      <c r="I39" s="12"/>
      <c r="J39" s="12"/>
      <c r="K39" s="12">
        <f t="shared" si="10"/>
        <v>46089.5</v>
      </c>
      <c r="M39" s="12">
        <f t="shared" si="11"/>
        <v>46089.5</v>
      </c>
      <c r="N39" s="12">
        <f t="shared" si="11"/>
        <v>0</v>
      </c>
      <c r="O39" s="12">
        <f t="shared" si="11"/>
        <v>0</v>
      </c>
      <c r="P39" s="12">
        <f t="shared" si="11"/>
        <v>0</v>
      </c>
      <c r="Q39" s="12">
        <f t="shared" si="12"/>
        <v>46089.5</v>
      </c>
      <c r="R39" s="12"/>
      <c r="S39" s="12"/>
      <c r="T39" s="12"/>
      <c r="U39" s="12"/>
      <c r="V39" s="12"/>
      <c r="W39" s="12"/>
    </row>
    <row r="40" spans="2:23" x14ac:dyDescent="0.25">
      <c r="D40" s="3"/>
      <c r="E40" s="1" t="s">
        <v>65</v>
      </c>
      <c r="G40" s="12">
        <v>6064</v>
      </c>
      <c r="H40" s="12"/>
      <c r="I40" s="12"/>
      <c r="J40" s="12"/>
      <c r="K40" s="12">
        <f t="shared" si="10"/>
        <v>6064</v>
      </c>
      <c r="M40" s="12">
        <f t="shared" si="11"/>
        <v>6064</v>
      </c>
      <c r="N40" s="12">
        <f t="shared" si="11"/>
        <v>0</v>
      </c>
      <c r="O40" s="12">
        <f t="shared" si="11"/>
        <v>0</v>
      </c>
      <c r="P40" s="12">
        <f t="shared" si="11"/>
        <v>0</v>
      </c>
      <c r="Q40" s="12">
        <f t="shared" si="12"/>
        <v>6064</v>
      </c>
      <c r="R40" s="12"/>
      <c r="S40" s="12"/>
      <c r="T40" s="12"/>
      <c r="U40" s="12"/>
      <c r="V40" s="12"/>
      <c r="W40" s="12"/>
    </row>
    <row r="41" spans="2:23" x14ac:dyDescent="0.25">
      <c r="D41" s="3"/>
      <c r="E41" s="1" t="s">
        <v>66</v>
      </c>
      <c r="G41" s="12">
        <f>349411-126154+865</f>
        <v>224122</v>
      </c>
      <c r="H41" s="12"/>
      <c r="I41" s="12"/>
      <c r="J41" s="12"/>
      <c r="K41" s="12">
        <f t="shared" si="10"/>
        <v>224122</v>
      </c>
      <c r="M41" s="12">
        <f t="shared" si="11"/>
        <v>224122</v>
      </c>
      <c r="N41" s="12">
        <f t="shared" si="11"/>
        <v>0</v>
      </c>
      <c r="O41" s="12">
        <f t="shared" si="11"/>
        <v>0</v>
      </c>
      <c r="P41" s="12">
        <f t="shared" si="11"/>
        <v>0</v>
      </c>
      <c r="Q41" s="12">
        <f t="shared" si="12"/>
        <v>224122</v>
      </c>
      <c r="R41" s="12"/>
      <c r="S41" s="12"/>
      <c r="T41" s="12"/>
      <c r="U41" s="12"/>
      <c r="V41" s="12"/>
      <c r="W41" s="12"/>
    </row>
    <row r="42" spans="2:23" x14ac:dyDescent="0.25">
      <c r="D42" s="3"/>
      <c r="K42" s="12">
        <f t="shared" si="10"/>
        <v>0</v>
      </c>
      <c r="Q42" s="12"/>
      <c r="R42" s="12"/>
      <c r="S42" s="12"/>
      <c r="T42" s="12"/>
      <c r="U42" s="12"/>
      <c r="V42" s="12"/>
      <c r="W42" s="12"/>
    </row>
    <row r="43" spans="2:23" x14ac:dyDescent="0.25">
      <c r="D43" s="3" t="s">
        <v>67</v>
      </c>
      <c r="G43" s="12"/>
      <c r="H43" s="12">
        <f>H11</f>
        <v>0</v>
      </c>
      <c r="I43" s="12">
        <v>0</v>
      </c>
      <c r="J43" s="12">
        <v>0</v>
      </c>
      <c r="K43" s="12">
        <f>SUM(G43:J43)</f>
        <v>0</v>
      </c>
      <c r="M43" s="12">
        <f>G43</f>
        <v>0</v>
      </c>
      <c r="N43" s="12">
        <f>H43</f>
        <v>0</v>
      </c>
      <c r="O43" s="12">
        <f>I43</f>
        <v>0</v>
      </c>
      <c r="P43" s="12">
        <f>J43</f>
        <v>0</v>
      </c>
      <c r="Q43" s="12">
        <f>SUM(M43:P43)</f>
        <v>0</v>
      </c>
      <c r="R43" s="12"/>
      <c r="S43" s="12"/>
      <c r="T43" s="12"/>
      <c r="U43" s="12"/>
      <c r="V43" s="12"/>
      <c r="W43" s="12"/>
    </row>
    <row r="44" spans="2:23" x14ac:dyDescent="0.25">
      <c r="D44" s="3"/>
    </row>
    <row r="45" spans="2:23" x14ac:dyDescent="0.25">
      <c r="D45" s="3" t="s">
        <v>68</v>
      </c>
      <c r="G45" s="12"/>
      <c r="H45" s="12"/>
      <c r="I45" s="12">
        <v>0</v>
      </c>
      <c r="J45" s="12">
        <v>0</v>
      </c>
      <c r="K45" s="12">
        <f>SUM(G45:J45)</f>
        <v>0</v>
      </c>
      <c r="M45" s="12">
        <f>G45</f>
        <v>0</v>
      </c>
      <c r="N45" s="12">
        <f>H45</f>
        <v>0</v>
      </c>
      <c r="O45" s="12">
        <f>I45</f>
        <v>0</v>
      </c>
      <c r="P45" s="12">
        <f>J45</f>
        <v>0</v>
      </c>
      <c r="Q45" s="12">
        <f>SUM(M45:P45)</f>
        <v>0</v>
      </c>
      <c r="R45" s="12"/>
      <c r="S45" s="12"/>
      <c r="T45" s="12"/>
      <c r="U45" s="12"/>
      <c r="V45" s="12"/>
      <c r="W45" s="12"/>
    </row>
    <row r="46" spans="2:23" x14ac:dyDescent="0.25">
      <c r="D46" s="3"/>
    </row>
    <row r="47" spans="2:23" x14ac:dyDescent="0.25">
      <c r="D47" s="3" t="s">
        <v>69</v>
      </c>
      <c r="G47" s="12"/>
      <c r="H47" s="12"/>
      <c r="I47" s="12">
        <v>0</v>
      </c>
      <c r="J47" s="12">
        <v>0</v>
      </c>
      <c r="K47" s="12">
        <f>SUM(G47:J47)</f>
        <v>0</v>
      </c>
      <c r="M47" s="12">
        <f>G47</f>
        <v>0</v>
      </c>
      <c r="N47" s="12">
        <f>H47</f>
        <v>0</v>
      </c>
      <c r="O47" s="12">
        <f>I47</f>
        <v>0</v>
      </c>
      <c r="P47" s="12">
        <f>J47</f>
        <v>0</v>
      </c>
      <c r="Q47" s="12">
        <f>SUM(M47:P47)</f>
        <v>0</v>
      </c>
      <c r="R47" s="12"/>
      <c r="S47" s="12"/>
      <c r="T47" s="12"/>
      <c r="U47" s="12"/>
      <c r="V47" s="12"/>
      <c r="W47" s="12"/>
    </row>
    <row r="48" spans="2:23" x14ac:dyDescent="0.25">
      <c r="D48" s="3"/>
    </row>
    <row r="49" spans="2:23" x14ac:dyDescent="0.25">
      <c r="D49" s="3" t="s">
        <v>70</v>
      </c>
      <c r="G49" s="12"/>
      <c r="H49" s="12">
        <v>0</v>
      </c>
      <c r="I49" s="12">
        <v>0</v>
      </c>
      <c r="J49" s="12">
        <v>0</v>
      </c>
      <c r="K49" s="12">
        <f>SUM(G49:J49)</f>
        <v>0</v>
      </c>
      <c r="M49" s="12">
        <f>G49</f>
        <v>0</v>
      </c>
      <c r="N49" s="12">
        <f>H49</f>
        <v>0</v>
      </c>
      <c r="O49" s="12">
        <f>I49</f>
        <v>0</v>
      </c>
      <c r="P49" s="12">
        <f>J49</f>
        <v>0</v>
      </c>
      <c r="Q49" s="12">
        <f>SUM(M49:P49)</f>
        <v>0</v>
      </c>
      <c r="R49" s="12"/>
      <c r="S49" s="12"/>
      <c r="T49" s="12"/>
      <c r="U49" s="12"/>
      <c r="V49" s="12"/>
      <c r="W49" s="12"/>
    </row>
    <row r="50" spans="2:23" x14ac:dyDescent="0.25">
      <c r="D50" s="3" t="s">
        <v>71</v>
      </c>
    </row>
    <row r="51" spans="2:23" x14ac:dyDescent="0.25">
      <c r="D51" s="3"/>
    </row>
    <row r="52" spans="2:23" x14ac:dyDescent="0.25">
      <c r="B52" s="3"/>
      <c r="D52" s="3" t="s">
        <v>66</v>
      </c>
      <c r="G52" s="20"/>
      <c r="H52" s="20">
        <v>0</v>
      </c>
      <c r="I52" s="20">
        <v>0</v>
      </c>
      <c r="J52" s="20">
        <v>0</v>
      </c>
      <c r="K52" s="20">
        <f>SUM(G52:J52)</f>
        <v>0</v>
      </c>
      <c r="M52" s="20">
        <f>G52</f>
        <v>0</v>
      </c>
      <c r="N52" s="20">
        <f>H52</f>
        <v>0</v>
      </c>
      <c r="O52" s="20">
        <f>I52</f>
        <v>0</v>
      </c>
      <c r="P52" s="20">
        <f>J52</f>
        <v>0</v>
      </c>
      <c r="Q52" s="20">
        <f>SUM(M52:P52)</f>
        <v>0</v>
      </c>
      <c r="R52" s="12"/>
      <c r="S52" s="12"/>
      <c r="T52" s="12"/>
      <c r="U52" s="12"/>
      <c r="V52" s="12"/>
      <c r="W52" s="12"/>
    </row>
    <row r="53" spans="2:23" x14ac:dyDescent="0.25">
      <c r="D53" s="3" t="s">
        <v>72</v>
      </c>
      <c r="G53" s="21">
        <f>SUM(G33:G52)</f>
        <v>350275.5</v>
      </c>
      <c r="H53" s="21">
        <f>SUM(H33:H52)</f>
        <v>0</v>
      </c>
      <c r="I53" s="21">
        <f>SUM(I33:I52)</f>
        <v>0</v>
      </c>
      <c r="J53" s="21">
        <f>SUM(J33:J52)</f>
        <v>0</v>
      </c>
      <c r="K53" s="21">
        <f>SUM(G53:J53)</f>
        <v>350275.5</v>
      </c>
      <c r="M53" s="21">
        <f>SUM(M33:M52)</f>
        <v>350275.5</v>
      </c>
      <c r="N53" s="21">
        <f>SUM(N33:N52)</f>
        <v>0</v>
      </c>
      <c r="O53" s="21">
        <f>SUM(O33:O52)</f>
        <v>0</v>
      </c>
      <c r="P53" s="21">
        <f>SUM(P33:P52)</f>
        <v>0</v>
      </c>
      <c r="Q53" s="21">
        <f>SUM(M53:P53)</f>
        <v>350275.5</v>
      </c>
      <c r="R53" s="21"/>
      <c r="S53" s="21"/>
      <c r="T53" s="21"/>
      <c r="U53" s="21"/>
      <c r="V53" s="21"/>
      <c r="W53" s="21"/>
    </row>
    <row r="54" spans="2:23" x14ac:dyDescent="0.25">
      <c r="B54" s="3"/>
      <c r="G54" s="12"/>
    </row>
    <row r="55" spans="2:23" x14ac:dyDescent="0.25">
      <c r="B55" s="3" t="s">
        <v>73</v>
      </c>
      <c r="G55" s="12">
        <v>0</v>
      </c>
      <c r="H55" s="12">
        <v>0</v>
      </c>
      <c r="I55" s="12">
        <v>0</v>
      </c>
      <c r="J55" s="12">
        <v>0</v>
      </c>
      <c r="K55" s="12">
        <f>SUM(G55:J55)</f>
        <v>0</v>
      </c>
      <c r="M55" s="12">
        <v>0</v>
      </c>
      <c r="N55" s="12">
        <v>0</v>
      </c>
      <c r="O55" s="12">
        <v>0</v>
      </c>
      <c r="P55" s="12">
        <v>0</v>
      </c>
      <c r="Q55" s="12">
        <f>SUM(M55:P55)</f>
        <v>0</v>
      </c>
      <c r="R55" s="12"/>
      <c r="S55" s="12"/>
      <c r="T55" s="12"/>
      <c r="U55" s="12"/>
      <c r="V55" s="12"/>
      <c r="W55" s="12"/>
    </row>
    <row r="56" spans="2:23" x14ac:dyDescent="0.25">
      <c r="B56" s="3" t="s">
        <v>74</v>
      </c>
      <c r="D56" s="12"/>
    </row>
    <row r="57" spans="2:23" ht="13" thickBot="1" x14ac:dyDescent="0.3">
      <c r="K57" s="12"/>
      <c r="Q57" s="25"/>
      <c r="R57" s="12"/>
      <c r="S57" s="12"/>
      <c r="T57" s="12"/>
      <c r="U57" s="12"/>
      <c r="V57" s="12"/>
      <c r="W57" s="12"/>
    </row>
    <row r="58" spans="2:23" x14ac:dyDescent="0.25">
      <c r="B58" s="3" t="s">
        <v>75</v>
      </c>
      <c r="E58" s="12"/>
      <c r="G58" s="26">
        <f>G21+G24+G31+G53+G55</f>
        <v>1173675.7570294996</v>
      </c>
      <c r="H58" s="26">
        <f>H21+H24+H31+H53+H55</f>
        <v>79313.489103505533</v>
      </c>
      <c r="I58" s="26">
        <f>I21+I24+I31+I53+I55</f>
        <v>1061986.253866995</v>
      </c>
      <c r="J58" s="26">
        <f>J21+J24+J31+J53+J55</f>
        <v>0</v>
      </c>
      <c r="K58" s="26">
        <f>SUM(G58:J58)</f>
        <v>2314975.5</v>
      </c>
      <c r="L58" s="64"/>
      <c r="M58" s="26">
        <f>M21+M24+M31+M53+M55</f>
        <v>1015400.9051514905</v>
      </c>
      <c r="N58" s="26">
        <f>N21+N24+N31+N53+N55</f>
        <v>64576.203915704624</v>
      </c>
      <c r="O58" s="26">
        <f>O21+O24+O31+O53+O55</f>
        <v>725030.55133944133</v>
      </c>
      <c r="P58" s="26">
        <f>P21+P24+P31+P53+P55</f>
        <v>0</v>
      </c>
      <c r="Q58" s="26">
        <f>SUM(M58:P58)</f>
        <v>1805007.6604066365</v>
      </c>
      <c r="R58" s="21"/>
      <c r="S58" s="21"/>
      <c r="T58" s="21"/>
      <c r="U58" s="21"/>
      <c r="V58" s="21"/>
      <c r="W58" s="21"/>
    </row>
    <row r="61" spans="2:23" ht="14" x14ac:dyDescent="0.3">
      <c r="B61" s="10" t="s">
        <v>76</v>
      </c>
    </row>
    <row r="62" spans="2:23" x14ac:dyDescent="0.25">
      <c r="E62" s="11"/>
    </row>
    <row r="63" spans="2:23" x14ac:dyDescent="0.25">
      <c r="D63" s="1" t="s">
        <v>77</v>
      </c>
      <c r="E63" s="11" t="s">
        <v>26</v>
      </c>
      <c r="G63" s="12">
        <v>240480.3</v>
      </c>
      <c r="H63" s="12">
        <v>24048.02</v>
      </c>
      <c r="I63" s="12">
        <v>537072.62</v>
      </c>
      <c r="J63" s="12"/>
      <c r="K63" s="12">
        <f>G63+H63+I63</f>
        <v>801600.94</v>
      </c>
      <c r="M63" s="12">
        <f>Q63*0.3</f>
        <v>172288.21799999996</v>
      </c>
      <c r="N63" s="12">
        <f>Q63*0.03</f>
        <v>17228.821799999998</v>
      </c>
      <c r="O63" s="12">
        <f>Q63*0.67</f>
        <v>384777.02019999997</v>
      </c>
      <c r="P63" s="12">
        <f t="shared" ref="P63" si="13">J63</f>
        <v>0</v>
      </c>
      <c r="Q63" s="12">
        <f>K63-((((62*114.57)*8)*4))</f>
        <v>574294.05999999994</v>
      </c>
    </row>
    <row r="64" spans="2:23" x14ac:dyDescent="0.25">
      <c r="E64" s="11"/>
      <c r="G64" s="12"/>
      <c r="H64" s="12"/>
      <c r="I64" s="12"/>
      <c r="J64" s="12"/>
      <c r="K64" s="12"/>
      <c r="M64" s="12"/>
      <c r="N64" s="12"/>
      <c r="O64" s="12"/>
      <c r="P64" s="12"/>
      <c r="Q64" s="12"/>
    </row>
    <row r="65" spans="4:17" x14ac:dyDescent="0.25">
      <c r="D65" s="1" t="s">
        <v>172</v>
      </c>
      <c r="E65" s="11" t="s">
        <v>26</v>
      </c>
      <c r="G65" s="12">
        <v>180105.77</v>
      </c>
      <c r="H65" s="12">
        <v>18010.580000000002</v>
      </c>
      <c r="I65" s="12">
        <v>402236.15999999997</v>
      </c>
      <c r="J65" s="12"/>
      <c r="K65" s="12">
        <f>I65+H65+G65</f>
        <v>600352.51</v>
      </c>
      <c r="M65" s="12">
        <f>G65</f>
        <v>180105.77</v>
      </c>
      <c r="N65" s="12">
        <f>H65</f>
        <v>18010.580000000002</v>
      </c>
      <c r="O65" s="12">
        <f>I65</f>
        <v>402236.15999999997</v>
      </c>
      <c r="P65" s="12">
        <f>J65</f>
        <v>0</v>
      </c>
      <c r="Q65" s="12">
        <f>K65</f>
        <v>600352.51</v>
      </c>
    </row>
    <row r="66" spans="4:17" x14ac:dyDescent="0.25">
      <c r="E66" s="11"/>
    </row>
    <row r="67" spans="4:17" x14ac:dyDescent="0.25">
      <c r="D67" s="1" t="s">
        <v>185</v>
      </c>
      <c r="E67" s="11" t="s">
        <v>26</v>
      </c>
      <c r="G67" s="12">
        <v>0</v>
      </c>
      <c r="H67" s="12">
        <v>0</v>
      </c>
      <c r="I67" s="12">
        <v>49500</v>
      </c>
      <c r="J67" s="12"/>
      <c r="K67" s="12">
        <f t="shared" ref="K67" si="14">I67+H67+G67</f>
        <v>49500</v>
      </c>
      <c r="M67" s="12">
        <f t="shared" ref="M67" si="15">G67</f>
        <v>0</v>
      </c>
      <c r="N67" s="12">
        <f t="shared" ref="N67" si="16">H67</f>
        <v>0</v>
      </c>
      <c r="O67" s="12">
        <f t="shared" ref="O67" si="17">I67</f>
        <v>49500</v>
      </c>
      <c r="P67" s="12">
        <f t="shared" ref="P67" si="18">J67</f>
        <v>0</v>
      </c>
      <c r="Q67" s="12">
        <f t="shared" ref="Q67" si="19">K67</f>
        <v>49500</v>
      </c>
    </row>
    <row r="68" spans="4:17" x14ac:dyDescent="0.25">
      <c r="E68" s="11"/>
    </row>
    <row r="69" spans="4:17" x14ac:dyDescent="0.25">
      <c r="D69" s="1" t="s">
        <v>173</v>
      </c>
      <c r="E69" s="11" t="s">
        <v>26</v>
      </c>
      <c r="G69" s="12">
        <v>195540.3</v>
      </c>
      <c r="H69" s="12">
        <v>19554.04</v>
      </c>
      <c r="I69" s="12">
        <v>436706.67</v>
      </c>
      <c r="J69" s="12"/>
      <c r="K69" s="12">
        <f t="shared" ref="K69" si="20">I69+H69+G69</f>
        <v>651801.01</v>
      </c>
      <c r="M69" s="12">
        <f t="shared" ref="M69" si="21">G69</f>
        <v>195540.3</v>
      </c>
      <c r="N69" s="12">
        <f t="shared" ref="N69" si="22">H69</f>
        <v>19554.04</v>
      </c>
      <c r="O69" s="12">
        <f t="shared" ref="O69" si="23">I69</f>
        <v>436706.67</v>
      </c>
      <c r="P69" s="12">
        <f t="shared" ref="P69" si="24">J69</f>
        <v>0</v>
      </c>
      <c r="Q69" s="12">
        <f t="shared" ref="Q69" si="25">K69</f>
        <v>651801.01</v>
      </c>
    </row>
    <row r="70" spans="4:17" x14ac:dyDescent="0.25">
      <c r="E70" s="11"/>
    </row>
    <row r="71" spans="4:17" x14ac:dyDescent="0.25">
      <c r="D71" s="1" t="s">
        <v>158</v>
      </c>
      <c r="E71" s="11" t="s">
        <v>26</v>
      </c>
      <c r="G71" s="12"/>
      <c r="H71" s="12"/>
      <c r="I71" s="12">
        <v>651778.38</v>
      </c>
      <c r="J71" s="12"/>
      <c r="K71" s="12">
        <f t="shared" ref="K71" si="26">I71+H71+G71</f>
        <v>651778.38</v>
      </c>
      <c r="M71" s="12">
        <f t="shared" ref="M71" si="27">G71</f>
        <v>0</v>
      </c>
      <c r="N71" s="12">
        <f t="shared" ref="N71" si="28">H71</f>
        <v>0</v>
      </c>
      <c r="O71" s="12">
        <f t="shared" ref="O71" si="29">I71</f>
        <v>651778.38</v>
      </c>
      <c r="P71" s="12">
        <f t="shared" ref="P71" si="30">J71</f>
        <v>0</v>
      </c>
      <c r="Q71" s="12">
        <f t="shared" ref="Q71" si="31">K71</f>
        <v>651778.38</v>
      </c>
    </row>
    <row r="72" spans="4:17" x14ac:dyDescent="0.25">
      <c r="E72" s="11"/>
    </row>
    <row r="73" spans="4:17" x14ac:dyDescent="0.25">
      <c r="D73" s="1" t="s">
        <v>157</v>
      </c>
      <c r="E73" s="11" t="s">
        <v>26</v>
      </c>
      <c r="G73" s="12">
        <v>7747.1291588092226</v>
      </c>
      <c r="H73" s="12">
        <v>1706.6290161931522</v>
      </c>
      <c r="I73" s="12">
        <v>9021.2418249976217</v>
      </c>
      <c r="J73" s="12"/>
      <c r="K73" s="12">
        <f t="shared" ref="K73" si="32">I73+H73+G73</f>
        <v>18474.999999999996</v>
      </c>
      <c r="M73" s="12">
        <f t="shared" ref="M73" si="33">G73</f>
        <v>7747.1291588092226</v>
      </c>
      <c r="N73" s="12">
        <f t="shared" ref="N73" si="34">H73</f>
        <v>1706.6290161931522</v>
      </c>
      <c r="O73" s="12">
        <f t="shared" ref="O73" si="35">I73</f>
        <v>9021.2418249976217</v>
      </c>
      <c r="P73" s="12">
        <f t="shared" ref="P73" si="36">J73</f>
        <v>0</v>
      </c>
      <c r="Q73" s="12">
        <f t="shared" ref="Q73" si="37">K73</f>
        <v>18474.999999999996</v>
      </c>
    </row>
    <row r="74" spans="4:17" x14ac:dyDescent="0.25">
      <c r="E74" s="11"/>
    </row>
    <row r="75" spans="4:17" x14ac:dyDescent="0.25">
      <c r="D75" s="1" t="s">
        <v>174</v>
      </c>
      <c r="E75" s="11" t="s">
        <v>26</v>
      </c>
      <c r="G75" s="12">
        <v>256102.42</v>
      </c>
      <c r="H75" s="12">
        <v>25610.240000000002</v>
      </c>
      <c r="I75" s="12">
        <v>571962.06000000006</v>
      </c>
      <c r="J75" s="12"/>
      <c r="K75" s="12">
        <f t="shared" ref="K75" si="38">I75+H75+G75</f>
        <v>853674.72000000009</v>
      </c>
      <c r="M75" s="12">
        <f t="shared" ref="M75" si="39">G75</f>
        <v>256102.42</v>
      </c>
      <c r="N75" s="12">
        <f t="shared" ref="N75" si="40">H75</f>
        <v>25610.240000000002</v>
      </c>
      <c r="O75" s="12">
        <f t="shared" ref="O75" si="41">I75</f>
        <v>571962.06000000006</v>
      </c>
      <c r="P75" s="12">
        <f t="shared" ref="P75" si="42">J75</f>
        <v>0</v>
      </c>
      <c r="Q75" s="12">
        <f t="shared" ref="Q75" si="43">K75</f>
        <v>853674.72000000009</v>
      </c>
    </row>
    <row r="76" spans="4:17" x14ac:dyDescent="0.25">
      <c r="E76" s="11"/>
    </row>
    <row r="77" spans="4:17" x14ac:dyDescent="0.25">
      <c r="D77" s="1" t="s">
        <v>161</v>
      </c>
      <c r="E77" s="11" t="s">
        <v>26</v>
      </c>
      <c r="G77" s="12"/>
      <c r="H77" s="12"/>
      <c r="I77" s="12">
        <v>4457.54</v>
      </c>
      <c r="J77" s="12"/>
      <c r="K77" s="12">
        <f t="shared" ref="K77" si="44">I77+H77+G77</f>
        <v>4457.54</v>
      </c>
      <c r="M77" s="12">
        <f t="shared" ref="M77" si="45">G77</f>
        <v>0</v>
      </c>
      <c r="N77" s="12">
        <f t="shared" ref="N77" si="46">H77</f>
        <v>0</v>
      </c>
      <c r="O77" s="12">
        <f t="shared" ref="O77" si="47">I77</f>
        <v>4457.54</v>
      </c>
      <c r="P77" s="12">
        <f t="shared" ref="P77" si="48">J77</f>
        <v>0</v>
      </c>
      <c r="Q77" s="12">
        <f t="shared" ref="Q77" si="49">K77</f>
        <v>4457.54</v>
      </c>
    </row>
    <row r="78" spans="4:17" x14ac:dyDescent="0.25">
      <c r="E78" s="11"/>
    </row>
    <row r="79" spans="4:17" x14ac:dyDescent="0.25">
      <c r="D79" s="1" t="s">
        <v>175</v>
      </c>
      <c r="E79" s="11" t="s">
        <v>26</v>
      </c>
      <c r="G79" s="12">
        <v>180</v>
      </c>
      <c r="H79" s="12">
        <v>18</v>
      </c>
      <c r="I79" s="12">
        <v>402</v>
      </c>
      <c r="J79" s="12"/>
      <c r="K79" s="12">
        <f t="shared" ref="K79" si="50">I79+H79+G79</f>
        <v>600</v>
      </c>
      <c r="M79" s="12">
        <f t="shared" ref="M79" si="51">G79</f>
        <v>180</v>
      </c>
      <c r="N79" s="12">
        <f t="shared" ref="N79" si="52">H79</f>
        <v>18</v>
      </c>
      <c r="O79" s="12">
        <f t="shared" ref="O79" si="53">I79</f>
        <v>402</v>
      </c>
      <c r="P79" s="12">
        <f t="shared" ref="P79" si="54">J79</f>
        <v>0</v>
      </c>
      <c r="Q79" s="12">
        <f t="shared" ref="Q79" si="55">K79</f>
        <v>600</v>
      </c>
    </row>
    <row r="80" spans="4:17" x14ac:dyDescent="0.25">
      <c r="E80" s="11"/>
    </row>
    <row r="81" spans="4:17" x14ac:dyDescent="0.25">
      <c r="D81" s="1" t="s">
        <v>176</v>
      </c>
      <c r="E81" s="11" t="s">
        <v>26</v>
      </c>
      <c r="G81" s="12">
        <v>336.63</v>
      </c>
      <c r="H81" s="12">
        <v>751.81</v>
      </c>
      <c r="I81" s="12">
        <v>33.659999999999997</v>
      </c>
      <c r="J81" s="12"/>
      <c r="K81" s="12">
        <f t="shared" ref="K81" si="56">I81+H81+G81</f>
        <v>1122.0999999999999</v>
      </c>
      <c r="M81" s="12">
        <f t="shared" ref="M81" si="57">G81</f>
        <v>336.63</v>
      </c>
      <c r="N81" s="12">
        <f t="shared" ref="N81" si="58">H81</f>
        <v>751.81</v>
      </c>
      <c r="O81" s="12">
        <f t="shared" ref="O81" si="59">I81</f>
        <v>33.659999999999997</v>
      </c>
      <c r="P81" s="12">
        <f t="shared" ref="P81" si="60">J81</f>
        <v>0</v>
      </c>
      <c r="Q81" s="12">
        <f t="shared" ref="Q81" si="61">K81</f>
        <v>1122.0999999999999</v>
      </c>
    </row>
    <row r="82" spans="4:17" x14ac:dyDescent="0.25">
      <c r="E82" s="11"/>
    </row>
    <row r="83" spans="4:17" x14ac:dyDescent="0.25">
      <c r="D83" s="1" t="s">
        <v>186</v>
      </c>
      <c r="E83" s="11" t="s">
        <v>26</v>
      </c>
      <c r="G83" s="12">
        <v>146844.99</v>
      </c>
      <c r="H83" s="12">
        <v>14684.5</v>
      </c>
      <c r="I83" s="12">
        <v>327953.84999999998</v>
      </c>
      <c r="J83" s="12"/>
      <c r="K83" s="12">
        <f t="shared" ref="K83" si="62">I83+H83+G83</f>
        <v>489483.33999999997</v>
      </c>
      <c r="M83" s="12">
        <f t="shared" ref="M83" si="63">G83</f>
        <v>146844.99</v>
      </c>
      <c r="N83" s="12">
        <f t="shared" ref="N83" si="64">H83</f>
        <v>14684.5</v>
      </c>
      <c r="O83" s="12">
        <f t="shared" ref="O83" si="65">I83</f>
        <v>327953.84999999998</v>
      </c>
      <c r="P83" s="12">
        <f t="shared" ref="P83" si="66">J83</f>
        <v>0</v>
      </c>
      <c r="Q83" s="12">
        <f t="shared" ref="Q83" si="67">K83</f>
        <v>489483.33999999997</v>
      </c>
    </row>
    <row r="84" spans="4:17" x14ac:dyDescent="0.25">
      <c r="E84" s="11"/>
    </row>
    <row r="85" spans="4:17" x14ac:dyDescent="0.25">
      <c r="D85" s="1" t="s">
        <v>177</v>
      </c>
      <c r="E85" s="11" t="s">
        <v>26</v>
      </c>
      <c r="G85" s="12">
        <v>37471.760000000002</v>
      </c>
      <c r="H85" s="12">
        <v>3747.18</v>
      </c>
      <c r="I85" s="12">
        <v>83686.92</v>
      </c>
      <c r="J85" s="12"/>
      <c r="K85" s="12">
        <f t="shared" ref="K85" si="68">I85+H85+G85</f>
        <v>124905.85999999999</v>
      </c>
      <c r="M85" s="12">
        <f t="shared" ref="M85" si="69">G85</f>
        <v>37471.760000000002</v>
      </c>
      <c r="N85" s="12">
        <f t="shared" ref="N85" si="70">H85</f>
        <v>3747.18</v>
      </c>
      <c r="O85" s="12">
        <f t="shared" ref="O85" si="71">I85</f>
        <v>83686.92</v>
      </c>
      <c r="P85" s="12">
        <f t="shared" ref="P85" si="72">J85</f>
        <v>0</v>
      </c>
      <c r="Q85" s="12">
        <f t="shared" ref="Q85" si="73">K85</f>
        <v>124905.85999999999</v>
      </c>
    </row>
    <row r="86" spans="4:17" x14ac:dyDescent="0.25">
      <c r="E86" s="11"/>
    </row>
    <row r="87" spans="4:17" x14ac:dyDescent="0.25">
      <c r="D87" s="1" t="s">
        <v>178</v>
      </c>
      <c r="E87" s="11" t="s">
        <v>26</v>
      </c>
      <c r="G87" s="12">
        <v>151416</v>
      </c>
      <c r="H87" s="12">
        <v>15141.6</v>
      </c>
      <c r="I87" s="12">
        <v>338162.4</v>
      </c>
      <c r="J87" s="12"/>
      <c r="K87" s="12">
        <f t="shared" ref="K87" si="74">I87+H87+G87</f>
        <v>504720</v>
      </c>
      <c r="M87" s="12">
        <f t="shared" ref="M87" si="75">G87</f>
        <v>151416</v>
      </c>
      <c r="N87" s="12">
        <f t="shared" ref="N87" si="76">H87</f>
        <v>15141.6</v>
      </c>
      <c r="O87" s="12">
        <f t="shared" ref="O87" si="77">I87</f>
        <v>338162.4</v>
      </c>
      <c r="P87" s="12">
        <f t="shared" ref="P87" si="78">J87</f>
        <v>0</v>
      </c>
      <c r="Q87" s="12">
        <f t="shared" ref="Q87" si="79">K87</f>
        <v>504720</v>
      </c>
    </row>
    <row r="88" spans="4:17" x14ac:dyDescent="0.25">
      <c r="E88" s="11"/>
    </row>
    <row r="89" spans="4:17" x14ac:dyDescent="0.25">
      <c r="D89" s="1" t="s">
        <v>179</v>
      </c>
      <c r="E89" s="11" t="s">
        <v>26</v>
      </c>
      <c r="G89" s="12">
        <v>19769.68</v>
      </c>
      <c r="H89" s="12">
        <v>1976.97</v>
      </c>
      <c r="I89" s="12">
        <v>44152.29</v>
      </c>
      <c r="J89" s="12"/>
      <c r="K89" s="12">
        <f t="shared" ref="K89" si="80">I89+H89+G89</f>
        <v>65898.94</v>
      </c>
      <c r="M89" s="12">
        <f t="shared" ref="M89" si="81">G89</f>
        <v>19769.68</v>
      </c>
      <c r="N89" s="12">
        <f t="shared" ref="N89" si="82">H89</f>
        <v>1976.97</v>
      </c>
      <c r="O89" s="12">
        <f t="shared" ref="O89" si="83">I89</f>
        <v>44152.29</v>
      </c>
      <c r="P89" s="12">
        <f t="shared" ref="P89" si="84">J89</f>
        <v>0</v>
      </c>
      <c r="Q89" s="12">
        <f t="shared" ref="Q89" si="85">K89</f>
        <v>65898.94</v>
      </c>
    </row>
    <row r="90" spans="4:17" x14ac:dyDescent="0.25">
      <c r="E90" s="11"/>
    </row>
    <row r="91" spans="4:17" x14ac:dyDescent="0.25">
      <c r="D91" s="1" t="s">
        <v>180</v>
      </c>
      <c r="E91" s="11" t="s">
        <v>26</v>
      </c>
      <c r="G91" s="12">
        <v>26652.75</v>
      </c>
      <c r="H91" s="12">
        <v>2665.28</v>
      </c>
      <c r="I91" s="12">
        <v>59524.47</v>
      </c>
      <c r="J91" s="12"/>
      <c r="K91" s="12">
        <f t="shared" ref="K91" si="86">I91+H91+G91</f>
        <v>88842.5</v>
      </c>
      <c r="M91" s="12">
        <f t="shared" ref="M91" si="87">G91</f>
        <v>26652.75</v>
      </c>
      <c r="N91" s="12">
        <f t="shared" ref="N91" si="88">H91</f>
        <v>2665.28</v>
      </c>
      <c r="O91" s="12">
        <f t="shared" ref="O91" si="89">I91</f>
        <v>59524.47</v>
      </c>
      <c r="P91" s="12">
        <f t="shared" ref="P91" si="90">J91</f>
        <v>0</v>
      </c>
      <c r="Q91" s="12">
        <f t="shared" ref="Q91" si="91">K91</f>
        <v>88842.5</v>
      </c>
    </row>
    <row r="92" spans="4:17" x14ac:dyDescent="0.25">
      <c r="E92" s="11"/>
    </row>
    <row r="93" spans="4:17" x14ac:dyDescent="0.25">
      <c r="D93" s="1" t="s">
        <v>181</v>
      </c>
      <c r="E93" s="11" t="s">
        <v>26</v>
      </c>
      <c r="G93" s="12">
        <v>802.02</v>
      </c>
      <c r="H93" s="12">
        <v>80.2</v>
      </c>
      <c r="I93" s="12">
        <v>1791.17</v>
      </c>
      <c r="J93" s="12"/>
      <c r="K93" s="12">
        <f t="shared" ref="K93" si="92">I93+H93+G93</f>
        <v>2673.3900000000003</v>
      </c>
      <c r="M93" s="12">
        <f t="shared" ref="M93" si="93">G93</f>
        <v>802.02</v>
      </c>
      <c r="N93" s="12">
        <f t="shared" ref="N93" si="94">H93</f>
        <v>80.2</v>
      </c>
      <c r="O93" s="12">
        <f t="shared" ref="O93" si="95">I93</f>
        <v>1791.17</v>
      </c>
      <c r="P93" s="12">
        <f t="shared" ref="P93" si="96">J93</f>
        <v>0</v>
      </c>
      <c r="Q93" s="12">
        <f t="shared" ref="Q93" si="97">K93</f>
        <v>2673.3900000000003</v>
      </c>
    </row>
    <row r="94" spans="4:17" x14ac:dyDescent="0.25">
      <c r="E94" s="11"/>
    </row>
    <row r="95" spans="4:17" x14ac:dyDescent="0.25">
      <c r="D95" s="1" t="s">
        <v>182</v>
      </c>
      <c r="E95" s="11" t="s">
        <v>26</v>
      </c>
      <c r="G95" s="12">
        <v>35830.800000000003</v>
      </c>
      <c r="H95" s="12">
        <v>3583.08</v>
      </c>
      <c r="I95" s="12">
        <v>80022.12</v>
      </c>
      <c r="J95" s="12"/>
      <c r="K95" s="12">
        <f t="shared" ref="K95" si="98">I95+H95+G95</f>
        <v>119436</v>
      </c>
      <c r="M95" s="12">
        <f t="shared" ref="M95" si="99">G95</f>
        <v>35830.800000000003</v>
      </c>
      <c r="N95" s="12">
        <f t="shared" ref="N95" si="100">H95</f>
        <v>3583.08</v>
      </c>
      <c r="O95" s="12">
        <f t="shared" ref="O95" si="101">I95</f>
        <v>80022.12</v>
      </c>
      <c r="P95" s="12">
        <f t="shared" ref="P95" si="102">J95</f>
        <v>0</v>
      </c>
      <c r="Q95" s="12">
        <f t="shared" ref="Q95" si="103">K95</f>
        <v>119436</v>
      </c>
    </row>
    <row r="96" spans="4:17" x14ac:dyDescent="0.25">
      <c r="E96" s="11"/>
    </row>
    <row r="97" spans="1:24" x14ac:dyDescent="0.25">
      <c r="D97" s="1" t="s">
        <v>171</v>
      </c>
      <c r="E97" s="11" t="s">
        <v>26</v>
      </c>
      <c r="G97" s="12">
        <v>12769.2</v>
      </c>
      <c r="H97" s="12">
        <v>1276.92</v>
      </c>
      <c r="I97" s="12">
        <v>28517.88</v>
      </c>
      <c r="J97" s="12"/>
      <c r="K97" s="12">
        <f t="shared" ref="K97" si="104">I97+H97+G97</f>
        <v>42564</v>
      </c>
      <c r="M97" s="12">
        <f t="shared" ref="M97" si="105">G97</f>
        <v>12769.2</v>
      </c>
      <c r="N97" s="12">
        <f t="shared" ref="N97" si="106">H97</f>
        <v>1276.92</v>
      </c>
      <c r="O97" s="12">
        <f t="shared" ref="O97" si="107">I97</f>
        <v>28517.88</v>
      </c>
      <c r="P97" s="12">
        <f t="shared" ref="P97" si="108">J97</f>
        <v>0</v>
      </c>
      <c r="Q97" s="12">
        <f t="shared" ref="Q97" si="109">K97</f>
        <v>42564</v>
      </c>
    </row>
    <row r="98" spans="1:24" x14ac:dyDescent="0.25">
      <c r="E98" s="11"/>
    </row>
    <row r="99" spans="1:24" x14ac:dyDescent="0.25">
      <c r="D99" s="1" t="s">
        <v>183</v>
      </c>
      <c r="E99" s="11" t="s">
        <v>26</v>
      </c>
      <c r="G99" s="12">
        <v>68.150000000000006</v>
      </c>
      <c r="H99" s="12">
        <v>6.82</v>
      </c>
      <c r="I99" s="12">
        <v>152.22</v>
      </c>
      <c r="J99" s="12"/>
      <c r="K99" s="12">
        <f t="shared" ref="K99" si="110">I99+H99+G99</f>
        <v>227.19</v>
      </c>
      <c r="M99" s="12">
        <f t="shared" ref="M99" si="111">G99</f>
        <v>68.150000000000006</v>
      </c>
      <c r="N99" s="12">
        <f t="shared" ref="N99" si="112">H99</f>
        <v>6.82</v>
      </c>
      <c r="O99" s="12">
        <f t="shared" ref="O99" si="113">I99</f>
        <v>152.22</v>
      </c>
      <c r="P99" s="12">
        <f t="shared" ref="P99" si="114">J99</f>
        <v>0</v>
      </c>
      <c r="Q99" s="12">
        <f t="shared" ref="Q99" si="115">K99</f>
        <v>227.19</v>
      </c>
    </row>
    <row r="100" spans="1:24" x14ac:dyDescent="0.25">
      <c r="E100" s="11"/>
    </row>
    <row r="101" spans="1:24" s="4" customFormat="1" x14ac:dyDescent="0.25">
      <c r="A101" s="1"/>
      <c r="B101" s="1"/>
      <c r="C101" s="1"/>
      <c r="D101" s="1" t="s">
        <v>184</v>
      </c>
      <c r="E101" s="11" t="s">
        <v>26</v>
      </c>
      <c r="F101" s="1"/>
      <c r="G101" s="12">
        <v>0</v>
      </c>
      <c r="H101" s="12"/>
      <c r="I101" s="12">
        <v>42126.38</v>
      </c>
      <c r="J101" s="12">
        <v>0</v>
      </c>
      <c r="K101" s="12">
        <f>G101+H101+I101</f>
        <v>42126.38</v>
      </c>
      <c r="L101" s="1"/>
      <c r="M101" s="12">
        <f>G101</f>
        <v>0</v>
      </c>
      <c r="N101" s="12">
        <f>H101</f>
        <v>0</v>
      </c>
      <c r="O101" s="12">
        <f>I101</f>
        <v>42126.38</v>
      </c>
      <c r="P101" s="12">
        <f>J101</f>
        <v>0</v>
      </c>
      <c r="Q101" s="12">
        <f>K101</f>
        <v>42126.38</v>
      </c>
      <c r="R101" s="12"/>
      <c r="S101" s="12"/>
      <c r="T101" s="12"/>
      <c r="U101" s="12"/>
      <c r="V101" s="12"/>
      <c r="W101" s="12"/>
      <c r="X101" s="1"/>
    </row>
    <row r="102" spans="1:24" s="4" customForma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s="4" customFormat="1" x14ac:dyDescent="0.25">
      <c r="A103" s="1"/>
      <c r="B103" s="1"/>
      <c r="C103" s="1"/>
      <c r="D103" s="1" t="s">
        <v>51</v>
      </c>
      <c r="E103" s="11" t="s">
        <v>26</v>
      </c>
      <c r="F103" s="1"/>
      <c r="G103" s="12">
        <v>521.0250168772302</v>
      </c>
      <c r="H103" s="12">
        <v>8.3929019191821777</v>
      </c>
      <c r="I103" s="12">
        <v>1112.5820812035877</v>
      </c>
      <c r="J103" s="12"/>
      <c r="K103" s="12">
        <f>G103+H103+I103</f>
        <v>1642</v>
      </c>
      <c r="L103" s="1"/>
      <c r="M103" s="12">
        <f>G103</f>
        <v>521.0250168772302</v>
      </c>
      <c r="N103" s="12">
        <f>H103</f>
        <v>8.3929019191821777</v>
      </c>
      <c r="O103" s="12">
        <f>I103</f>
        <v>1112.5820812035877</v>
      </c>
      <c r="P103" s="12">
        <f>J103</f>
        <v>0</v>
      </c>
      <c r="Q103" s="12">
        <f>K103</f>
        <v>1642</v>
      </c>
      <c r="R103" s="12"/>
      <c r="S103" s="12"/>
      <c r="T103" s="12"/>
      <c r="U103" s="12"/>
      <c r="V103" s="12"/>
      <c r="W103" s="12"/>
      <c r="X103" s="1"/>
    </row>
    <row r="104" spans="1:24" s="4" customFormat="1" ht="13" thickBo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s="4" customFormat="1" ht="13" thickBot="1" x14ac:dyDescent="0.3">
      <c r="A105" s="1"/>
      <c r="B105" s="3" t="s">
        <v>79</v>
      </c>
      <c r="C105" s="1"/>
      <c r="D105" s="1"/>
      <c r="E105" s="11" t="s">
        <v>26</v>
      </c>
      <c r="F105" s="1"/>
      <c r="G105" s="26">
        <f>SUM(G63:G104)</f>
        <v>1312638.9241756862</v>
      </c>
      <c r="H105" s="26">
        <f t="shared" ref="H105:I105" si="116">SUM(H63:H104)</f>
        <v>132870.26191811234</v>
      </c>
      <c r="I105" s="26">
        <f t="shared" si="116"/>
        <v>3670372.6139062019</v>
      </c>
      <c r="J105" s="26">
        <f t="shared" ref="J105:Q105" si="117">SUM(J63:J104)</f>
        <v>0</v>
      </c>
      <c r="K105" s="26">
        <f t="shared" si="117"/>
        <v>5115881.8000000007</v>
      </c>
      <c r="L105" s="26">
        <f t="shared" si="117"/>
        <v>0</v>
      </c>
      <c r="M105" s="26">
        <f t="shared" si="117"/>
        <v>1244446.8421756865</v>
      </c>
      <c r="N105" s="26">
        <f t="shared" si="117"/>
        <v>126051.06371811235</v>
      </c>
      <c r="O105" s="26">
        <f t="shared" si="117"/>
        <v>3518077.0141062019</v>
      </c>
      <c r="P105" s="26">
        <f t="shared" si="117"/>
        <v>0</v>
      </c>
      <c r="Q105" s="26">
        <f t="shared" si="117"/>
        <v>4888574.92</v>
      </c>
      <c r="R105" s="21"/>
      <c r="S105" s="21"/>
      <c r="T105" s="21"/>
      <c r="U105" s="21"/>
      <c r="V105" s="21"/>
      <c r="W105" s="21"/>
      <c r="X105" s="12"/>
    </row>
    <row r="106" spans="1:24" s="4" customFormat="1" x14ac:dyDescent="0.25">
      <c r="A106" s="1"/>
      <c r="B106" s="3"/>
      <c r="C106" s="1"/>
      <c r="D106" s="1"/>
      <c r="E106" s="11" t="s">
        <v>28</v>
      </c>
      <c r="F106" s="1"/>
      <c r="G106" s="26">
        <f>G104</f>
        <v>0</v>
      </c>
      <c r="H106" s="26">
        <f t="shared" ref="H106:Q106" si="118">H104</f>
        <v>0</v>
      </c>
      <c r="I106" s="26">
        <f t="shared" si="118"/>
        <v>0</v>
      </c>
      <c r="J106" s="26">
        <f t="shared" si="118"/>
        <v>0</v>
      </c>
      <c r="K106" s="26">
        <f t="shared" si="118"/>
        <v>0</v>
      </c>
      <c r="L106" s="1"/>
      <c r="M106" s="26">
        <f t="shared" si="118"/>
        <v>0</v>
      </c>
      <c r="N106" s="26">
        <f t="shared" si="118"/>
        <v>0</v>
      </c>
      <c r="O106" s="26">
        <f t="shared" si="118"/>
        <v>0</v>
      </c>
      <c r="P106" s="26">
        <f t="shared" si="118"/>
        <v>0</v>
      </c>
      <c r="Q106" s="26">
        <f t="shared" si="118"/>
        <v>0</v>
      </c>
      <c r="R106" s="27"/>
      <c r="S106" s="27"/>
      <c r="T106" s="27"/>
      <c r="U106" s="27"/>
      <c r="V106" s="27"/>
      <c r="W106" s="27"/>
      <c r="X106" s="1"/>
    </row>
    <row r="107" spans="1:24" s="4" customFormat="1" x14ac:dyDescent="0.25">
      <c r="A107" s="1"/>
      <c r="B107" s="1"/>
      <c r="C107" s="1"/>
      <c r="D107" s="1"/>
      <c r="E107" s="1"/>
      <c r="F107" s="1"/>
      <c r="G107" s="1"/>
      <c r="H107" s="1"/>
      <c r="I107" s="1"/>
      <c r="J107" s="1"/>
      <c r="K107" s="12"/>
      <c r="L107" s="1"/>
      <c r="M107" s="1"/>
      <c r="N107" s="1"/>
      <c r="O107" s="1"/>
      <c r="P107" s="1"/>
      <c r="Q107" s="1"/>
      <c r="R107" s="1"/>
      <c r="S107" s="1"/>
      <c r="T107" s="1"/>
      <c r="U107" s="1"/>
      <c r="V107" s="1"/>
      <c r="W107" s="1"/>
      <c r="X107" s="12"/>
    </row>
    <row r="108" spans="1:24" s="4" customFormat="1" ht="13" thickBo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s="4" customFormat="1" ht="14.5" thickBot="1" x14ac:dyDescent="0.35">
      <c r="A109" s="1"/>
      <c r="B109" s="10" t="s">
        <v>80</v>
      </c>
      <c r="C109" s="1"/>
      <c r="D109" s="1"/>
      <c r="E109" s="1"/>
      <c r="F109" s="1"/>
      <c r="G109" s="28">
        <f>G58+G105</f>
        <v>2486314.6812051861</v>
      </c>
      <c r="H109" s="28">
        <f t="shared" ref="H109:P109" si="119">H58+H105</f>
        <v>212183.75102161788</v>
      </c>
      <c r="I109" s="28">
        <f t="shared" si="119"/>
        <v>4732358.8677731967</v>
      </c>
      <c r="J109" s="28">
        <f t="shared" si="119"/>
        <v>0</v>
      </c>
      <c r="K109" s="28">
        <f t="shared" si="119"/>
        <v>7430857.3000000007</v>
      </c>
      <c r="L109" s="28">
        <f t="shared" si="119"/>
        <v>0</v>
      </c>
      <c r="M109" s="28">
        <f>M58+M105</f>
        <v>2259847.7473271769</v>
      </c>
      <c r="N109" s="28">
        <f>N58+N105</f>
        <v>190627.26763381698</v>
      </c>
      <c r="O109" s="28">
        <f>O58+O105</f>
        <v>4243107.5654456429</v>
      </c>
      <c r="P109" s="28">
        <f t="shared" si="119"/>
        <v>0</v>
      </c>
      <c r="Q109" s="28">
        <f>Q58+Q105</f>
        <v>6693582.580406636</v>
      </c>
      <c r="R109" s="21"/>
      <c r="S109" s="21"/>
      <c r="T109" s="21"/>
      <c r="U109" s="21"/>
      <c r="V109" s="21"/>
      <c r="W109" s="21"/>
      <c r="X109" s="1"/>
    </row>
    <row r="110" spans="1:24" s="4" customFormat="1" ht="13" thickTop="1" x14ac:dyDescent="0.25">
      <c r="A110" s="1"/>
      <c r="B110" s="1"/>
      <c r="C110" s="1"/>
      <c r="D110" s="1"/>
      <c r="E110" s="1"/>
      <c r="F110" s="1"/>
      <c r="G110" s="1"/>
      <c r="H110" s="1"/>
      <c r="I110" s="29"/>
      <c r="J110" s="1"/>
      <c r="K110" s="1"/>
      <c r="L110" s="1"/>
      <c r="M110" s="1"/>
      <c r="N110" s="1"/>
      <c r="O110" s="30"/>
      <c r="P110" s="1"/>
      <c r="Q110" s="1"/>
      <c r="R110" s="1"/>
      <c r="S110" s="1"/>
      <c r="T110" s="1"/>
      <c r="U110" s="1"/>
      <c r="V110" s="1"/>
      <c r="W110" s="1"/>
      <c r="X110" s="1"/>
    </row>
    <row r="111" spans="1:24" x14ac:dyDescent="0.25">
      <c r="I111" s="29"/>
      <c r="K111" s="12"/>
      <c r="O111" s="30"/>
    </row>
    <row r="112" spans="1:24" x14ac:dyDescent="0.25">
      <c r="H112" s="18"/>
      <c r="I112" s="18"/>
      <c r="J112" s="12"/>
      <c r="K112" s="85"/>
      <c r="O112" s="30"/>
    </row>
    <row r="113" spans="5:21" x14ac:dyDescent="0.25">
      <c r="G113" s="29"/>
      <c r="H113" s="29"/>
      <c r="I113" s="29"/>
      <c r="K113" s="85"/>
      <c r="O113" s="65"/>
    </row>
    <row r="114" spans="5:21" x14ac:dyDescent="0.25">
      <c r="E114" s="12"/>
      <c r="G114" s="31"/>
      <c r="H114" s="31"/>
      <c r="I114" s="31"/>
      <c r="K114" s="12"/>
      <c r="O114" s="30"/>
    </row>
    <row r="115" spans="5:21" x14ac:dyDescent="0.25">
      <c r="G115" s="29"/>
      <c r="H115" s="29"/>
      <c r="I115" s="29"/>
      <c r="J115" s="12"/>
      <c r="K115" s="12"/>
      <c r="M115" s="32"/>
      <c r="N115" s="32"/>
      <c r="O115" s="33"/>
      <c r="P115" s="32"/>
      <c r="Q115" s="32"/>
      <c r="R115" s="32"/>
      <c r="S115" s="32"/>
      <c r="T115" s="32"/>
      <c r="U115" s="32"/>
    </row>
    <row r="116" spans="5:21" x14ac:dyDescent="0.25">
      <c r="G116" s="29"/>
      <c r="H116" s="29"/>
      <c r="I116" s="29"/>
      <c r="K116" s="12"/>
      <c r="M116" s="32"/>
      <c r="N116" s="32"/>
      <c r="O116" s="33"/>
      <c r="P116" s="32"/>
      <c r="Q116" s="32"/>
      <c r="R116" s="32"/>
      <c r="S116" s="32"/>
      <c r="T116" s="32"/>
      <c r="U116" s="32"/>
    </row>
    <row r="117" spans="5:21" x14ac:dyDescent="0.25">
      <c r="G117" s="29"/>
      <c r="H117" s="29"/>
      <c r="I117" s="29"/>
      <c r="M117" s="32"/>
      <c r="N117" s="32"/>
      <c r="O117" s="33"/>
      <c r="P117" s="32"/>
      <c r="Q117" s="32"/>
      <c r="R117" s="32"/>
      <c r="S117" s="32"/>
      <c r="T117" s="32"/>
      <c r="U117" s="32"/>
    </row>
    <row r="118" spans="5:21" x14ac:dyDescent="0.25">
      <c r="M118" s="32"/>
      <c r="N118" s="32"/>
      <c r="O118" s="32"/>
      <c r="P118" s="32"/>
      <c r="Q118" s="32"/>
      <c r="R118" s="32"/>
      <c r="S118" s="32"/>
      <c r="T118" s="32"/>
      <c r="U118" s="32"/>
    </row>
    <row r="119" spans="5:21" s="4" customFormat="1" x14ac:dyDescent="0.25">
      <c r="G119" s="56">
        <v>0.3</v>
      </c>
      <c r="H119" s="56">
        <v>0.03</v>
      </c>
      <c r="I119" s="56">
        <v>0.67</v>
      </c>
      <c r="M119" s="142"/>
      <c r="N119" s="141"/>
      <c r="O119" s="141"/>
      <c r="P119" s="141"/>
      <c r="Q119" s="39"/>
    </row>
    <row r="120" spans="5:21" x14ac:dyDescent="0.25">
      <c r="G120" s="139"/>
      <c r="H120" s="139"/>
      <c r="I120" s="139"/>
      <c r="J120" s="60"/>
      <c r="K120" s="60"/>
      <c r="M120" s="44"/>
      <c r="N120" s="61"/>
      <c r="O120" s="61"/>
      <c r="P120" s="61"/>
      <c r="Q120" s="4"/>
      <c r="R120" s="4"/>
      <c r="S120" s="4"/>
      <c r="T120" s="4"/>
      <c r="U120" s="4"/>
    </row>
    <row r="121" spans="5:21" x14ac:dyDescent="0.25">
      <c r="H121" s="49"/>
      <c r="I121" s="49"/>
      <c r="M121" s="32"/>
      <c r="N121" s="4"/>
      <c r="O121" s="4"/>
      <c r="P121" s="4"/>
      <c r="Q121" s="4"/>
      <c r="R121" s="4"/>
      <c r="S121" s="4"/>
      <c r="T121" s="4"/>
      <c r="U121" s="4"/>
    </row>
    <row r="122" spans="5:21" x14ac:dyDescent="0.25">
      <c r="G122" s="62"/>
      <c r="H122" s="62"/>
      <c r="I122" s="62"/>
      <c r="M122" s="32"/>
      <c r="N122" s="32"/>
      <c r="O122" s="32"/>
      <c r="P122" s="32"/>
      <c r="Q122" s="32"/>
      <c r="R122" s="32"/>
      <c r="S122" s="32"/>
      <c r="T122" s="32"/>
      <c r="U122" s="32"/>
    </row>
    <row r="123" spans="5:21" x14ac:dyDescent="0.25">
      <c r="G123" s="49"/>
      <c r="H123" s="49"/>
      <c r="I123" s="49"/>
      <c r="M123" s="32"/>
      <c r="N123" s="32"/>
      <c r="O123" s="32"/>
      <c r="P123" s="32"/>
      <c r="Q123" s="32"/>
      <c r="R123" s="32"/>
      <c r="S123" s="32"/>
      <c r="T123" s="32"/>
      <c r="U123" s="32"/>
    </row>
    <row r="124" spans="5:21" x14ac:dyDescent="0.25">
      <c r="G124" s="140"/>
      <c r="H124" s="140"/>
      <c r="I124" s="140"/>
      <c r="M124" s="32"/>
      <c r="N124" s="32"/>
      <c r="O124" s="32"/>
      <c r="P124" s="32"/>
      <c r="Q124" s="32"/>
      <c r="R124" s="32"/>
      <c r="S124" s="32"/>
      <c r="T124" s="32"/>
      <c r="U124" s="32"/>
    </row>
    <row r="125" spans="5:21" x14ac:dyDescent="0.25">
      <c r="G125" s="63"/>
      <c r="H125" s="63"/>
      <c r="I125" s="63"/>
      <c r="M125" s="32"/>
      <c r="N125" s="32"/>
      <c r="O125" s="32"/>
      <c r="P125" s="32"/>
      <c r="Q125" s="32"/>
      <c r="R125" s="32"/>
      <c r="S125" s="32"/>
      <c r="T125" s="32"/>
      <c r="U125" s="32"/>
    </row>
    <row r="126" spans="5:21" x14ac:dyDescent="0.25">
      <c r="G126" s="49"/>
      <c r="H126" s="49"/>
      <c r="I126" s="49"/>
      <c r="M126" s="32"/>
      <c r="N126" s="32"/>
      <c r="O126" s="32"/>
      <c r="P126" s="32"/>
      <c r="Q126" s="32"/>
      <c r="R126" s="32"/>
      <c r="S126" s="32"/>
      <c r="T126" s="32"/>
      <c r="U126" s="32"/>
    </row>
    <row r="127" spans="5:21" x14ac:dyDescent="0.25">
      <c r="M127" s="32"/>
      <c r="N127" s="32"/>
      <c r="O127" s="32"/>
      <c r="P127" s="32"/>
      <c r="Q127" s="32"/>
      <c r="R127" s="32"/>
      <c r="S127" s="32"/>
      <c r="T127" s="32"/>
      <c r="U127" s="32"/>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2267-04D4-492F-820B-834AB93B5786}">
  <sheetPr>
    <tabColor rgb="FF8FFFC7"/>
    <pageSetUpPr fitToPage="1"/>
  </sheetPr>
  <dimension ref="A1:Y105"/>
  <sheetViews>
    <sheetView zoomScale="90" zoomScaleNormal="90" workbookViewId="0">
      <selection activeCell="G64" sqref="G64"/>
    </sheetView>
  </sheetViews>
  <sheetFormatPr defaultColWidth="9.1796875" defaultRowHeight="12.5" x14ac:dyDescent="0.25"/>
  <cols>
    <col min="1" max="1" width="0.81640625" style="1" customWidth="1"/>
    <col min="2" max="2" width="22.1796875" style="1" customWidth="1"/>
    <col min="3" max="3" width="0.81640625" style="1" customWidth="1"/>
    <col min="4" max="4" width="36.1796875" style="1" customWidth="1"/>
    <col min="5" max="5" width="22" style="1" bestFit="1" customWidth="1"/>
    <col min="6" max="6" width="1.26953125" style="1" customWidth="1"/>
    <col min="7" max="7" width="22.54296875" style="1" customWidth="1"/>
    <col min="8" max="8" width="20" style="1" customWidth="1"/>
    <col min="9" max="9" width="16.1796875" style="1" customWidth="1"/>
    <col min="10" max="10" width="14.7265625" style="1" customWidth="1"/>
    <col min="11" max="11" width="16.81640625" style="1" customWidth="1"/>
    <col min="12" max="12" width="1.7265625" style="1" customWidth="1"/>
    <col min="13" max="13" width="14.7265625" style="1" customWidth="1"/>
    <col min="14" max="14" width="15.81640625" style="1" customWidth="1"/>
    <col min="15" max="15" width="16.81640625" style="1" customWidth="1"/>
    <col min="16" max="16" width="14.7265625" style="1" customWidth="1"/>
    <col min="17" max="17" width="16.1796875" style="1" customWidth="1"/>
    <col min="18" max="19" width="2.54296875" style="1" customWidth="1"/>
    <col min="20" max="23" width="16.1796875" style="1" customWidth="1"/>
    <col min="24" max="24" width="2.7265625" style="1" customWidth="1"/>
    <col min="25" max="25" width="47" style="4" hidden="1" customWidth="1"/>
    <col min="26" max="16384" width="9.1796875" style="1"/>
  </cols>
  <sheetData>
    <row r="1" spans="2:25" ht="14.5" x14ac:dyDescent="0.35">
      <c r="E1" s="3"/>
      <c r="F1" s="3"/>
      <c r="I1"/>
    </row>
    <row r="2" spans="2:25" ht="20.5" thickBot="1" x14ac:dyDescent="0.45">
      <c r="B2" s="5" t="s">
        <v>6</v>
      </c>
      <c r="C2" s="3"/>
      <c r="D2" s="3"/>
      <c r="E2" s="3"/>
      <c r="F2" s="3"/>
      <c r="G2" s="149" t="s">
        <v>106</v>
      </c>
      <c r="H2" s="149"/>
      <c r="I2" s="149"/>
      <c r="J2" s="149"/>
      <c r="K2" s="149"/>
      <c r="M2" s="149" t="s">
        <v>107</v>
      </c>
      <c r="N2" s="149"/>
      <c r="O2" s="149"/>
      <c r="P2" s="149"/>
      <c r="Q2" s="149"/>
      <c r="R2" s="6"/>
      <c r="S2" s="6"/>
      <c r="T2" s="6"/>
      <c r="U2" s="6"/>
      <c r="V2" s="6"/>
      <c r="W2" s="6"/>
    </row>
    <row r="3" spans="2:25" ht="20" x14ac:dyDescent="0.4">
      <c r="B3" s="5" t="s">
        <v>7</v>
      </c>
      <c r="C3" s="3"/>
      <c r="D3" s="3"/>
    </row>
    <row r="4" spans="2:25" x14ac:dyDescent="0.25">
      <c r="B4" s="3" t="s">
        <v>110</v>
      </c>
      <c r="C4" s="3"/>
      <c r="D4" s="3"/>
      <c r="G4" s="6" t="s">
        <v>8</v>
      </c>
      <c r="H4" s="6" t="s">
        <v>9</v>
      </c>
      <c r="I4" s="6" t="s">
        <v>10</v>
      </c>
      <c r="J4" s="6" t="s">
        <v>11</v>
      </c>
      <c r="K4" s="6" t="s">
        <v>12</v>
      </c>
      <c r="M4" s="6" t="s">
        <v>8</v>
      </c>
      <c r="N4" s="6" t="s">
        <v>9</v>
      </c>
      <c r="O4" s="6" t="s">
        <v>10</v>
      </c>
      <c r="P4" s="6" t="s">
        <v>11</v>
      </c>
      <c r="Q4" s="6" t="s">
        <v>12</v>
      </c>
      <c r="R4" s="6"/>
      <c r="S4" s="6"/>
      <c r="T4" s="6"/>
      <c r="U4" s="6"/>
      <c r="V4" s="6"/>
      <c r="W4" s="6"/>
    </row>
    <row r="5" spans="2:25" ht="15" x14ac:dyDescent="0.3">
      <c r="B5" s="7"/>
      <c r="C5" s="3"/>
      <c r="D5" s="7" t="s">
        <v>13</v>
      </c>
      <c r="G5" s="6" t="s">
        <v>14</v>
      </c>
      <c r="H5" s="6" t="s">
        <v>15</v>
      </c>
      <c r="I5" s="6" t="s">
        <v>16</v>
      </c>
      <c r="J5" s="6" t="s">
        <v>17</v>
      </c>
      <c r="K5" s="6" t="s">
        <v>18</v>
      </c>
      <c r="M5" s="6" t="s">
        <v>14</v>
      </c>
      <c r="N5" s="6" t="s">
        <v>15</v>
      </c>
      <c r="O5" s="6" t="s">
        <v>16</v>
      </c>
      <c r="P5" s="6" t="s">
        <v>17</v>
      </c>
      <c r="Q5" s="6" t="s">
        <v>18</v>
      </c>
      <c r="R5" s="6"/>
      <c r="S5" s="6"/>
      <c r="T5" s="6"/>
      <c r="U5" s="6"/>
      <c r="V5" s="6"/>
      <c r="W5" s="6"/>
    </row>
    <row r="6" spans="2:25" x14ac:dyDescent="0.25">
      <c r="B6" s="3" t="s">
        <v>111</v>
      </c>
      <c r="D6" s="8"/>
      <c r="G6" s="6"/>
      <c r="H6" s="6" t="s">
        <v>19</v>
      </c>
      <c r="I6" s="6"/>
      <c r="J6" s="6"/>
      <c r="K6" s="6"/>
      <c r="M6" s="6"/>
      <c r="N6" s="6" t="s">
        <v>19</v>
      </c>
      <c r="O6" s="6"/>
      <c r="P6" s="6"/>
      <c r="Q6" s="6"/>
      <c r="R6" s="6"/>
      <c r="S6" s="6"/>
      <c r="T6" s="6"/>
      <c r="U6" s="6"/>
      <c r="V6" s="6"/>
      <c r="W6" s="6"/>
    </row>
    <row r="7" spans="2:25" ht="13" thickBot="1" x14ac:dyDescent="0.3">
      <c r="B7" s="3"/>
      <c r="G7" s="9" t="s">
        <v>20</v>
      </c>
      <c r="H7" s="9" t="s">
        <v>21</v>
      </c>
      <c r="I7" s="9" t="s">
        <v>22</v>
      </c>
      <c r="J7" s="9"/>
      <c r="K7" s="9" t="s">
        <v>23</v>
      </c>
      <c r="M7" s="9" t="s">
        <v>20</v>
      </c>
      <c r="N7" s="9" t="s">
        <v>21</v>
      </c>
      <c r="O7" s="9" t="s">
        <v>22</v>
      </c>
      <c r="P7" s="9"/>
      <c r="Q7" s="9" t="s">
        <v>23</v>
      </c>
      <c r="R7" s="6"/>
      <c r="S7" s="6"/>
      <c r="T7" s="6"/>
      <c r="U7" s="6"/>
      <c r="V7" s="6"/>
      <c r="W7" s="6"/>
    </row>
    <row r="8" spans="2:25" ht="5.15" customHeight="1" x14ac:dyDescent="0.25">
      <c r="B8" s="3"/>
      <c r="G8" s="6"/>
      <c r="H8" s="6"/>
      <c r="I8" s="6"/>
      <c r="J8" s="6"/>
      <c r="K8" s="6"/>
      <c r="M8" s="6"/>
      <c r="N8" s="6"/>
      <c r="O8" s="6"/>
      <c r="P8" s="6"/>
      <c r="Q8" s="6"/>
      <c r="R8" s="6"/>
      <c r="S8" s="6"/>
      <c r="T8" s="6"/>
      <c r="U8" s="6"/>
      <c r="V8" s="6"/>
      <c r="W8" s="6"/>
    </row>
    <row r="9" spans="2:25" ht="14.5" thickBot="1" x14ac:dyDescent="0.35">
      <c r="B9" s="10" t="s">
        <v>24</v>
      </c>
      <c r="D9" s="1" t="s">
        <v>25</v>
      </c>
      <c r="E9" s="11" t="s">
        <v>26</v>
      </c>
      <c r="G9" s="12"/>
      <c r="H9" s="12"/>
      <c r="I9" s="12"/>
      <c r="J9" s="12"/>
      <c r="K9" s="12"/>
      <c r="M9" s="12">
        <v>0</v>
      </c>
      <c r="N9" s="12">
        <v>0</v>
      </c>
      <c r="O9" s="12">
        <v>0</v>
      </c>
      <c r="P9" s="12">
        <v>0</v>
      </c>
      <c r="Q9" s="12">
        <f>SUM(M9:P9)</f>
        <v>0</v>
      </c>
      <c r="R9" s="12"/>
      <c r="S9" s="12"/>
      <c r="T9" s="12"/>
      <c r="U9" s="12"/>
      <c r="V9" s="12"/>
      <c r="W9" s="12"/>
    </row>
    <row r="10" spans="2:25" x14ac:dyDescent="0.25">
      <c r="B10" s="3" t="s">
        <v>27</v>
      </c>
      <c r="E10" s="11" t="s">
        <v>28</v>
      </c>
      <c r="G10" s="13"/>
      <c r="H10" s="13"/>
      <c r="I10" s="13"/>
      <c r="J10" s="13"/>
      <c r="K10" s="13"/>
      <c r="M10" s="13">
        <f>G10</f>
        <v>0</v>
      </c>
      <c r="N10" s="13">
        <f>H10</f>
        <v>0</v>
      </c>
      <c r="O10" s="13">
        <f>I10</f>
        <v>0</v>
      </c>
      <c r="P10" s="13">
        <v>0</v>
      </c>
      <c r="Q10" s="13">
        <f>SUM(M10:P10)</f>
        <v>0</v>
      </c>
      <c r="R10" s="14"/>
      <c r="S10" s="14"/>
      <c r="T10" s="14"/>
      <c r="U10" s="14"/>
      <c r="V10" s="14"/>
      <c r="W10" s="14"/>
    </row>
    <row r="11" spans="2:25" x14ac:dyDescent="0.25">
      <c r="E11" s="11"/>
    </row>
    <row r="12" spans="2:25" ht="13" thickBot="1" x14ac:dyDescent="0.3">
      <c r="D12" s="1" t="s">
        <v>29</v>
      </c>
      <c r="E12" s="11" t="s">
        <v>26</v>
      </c>
      <c r="G12" s="12"/>
      <c r="H12" s="12"/>
      <c r="I12" s="12"/>
      <c r="J12" s="12"/>
      <c r="K12" s="12"/>
      <c r="M12" s="12">
        <f t="shared" ref="M12:P13" si="0">G12</f>
        <v>0</v>
      </c>
      <c r="N12" s="12">
        <f t="shared" si="0"/>
        <v>0</v>
      </c>
      <c r="O12" s="12">
        <f t="shared" si="0"/>
        <v>0</v>
      </c>
      <c r="P12" s="12">
        <f t="shared" si="0"/>
        <v>0</v>
      </c>
      <c r="Q12" s="12">
        <f>SUM(M12:P12)</f>
        <v>0</v>
      </c>
      <c r="R12" s="12"/>
      <c r="S12" s="12"/>
      <c r="T12" s="15">
        <f>223294-K12</f>
        <v>223294</v>
      </c>
      <c r="U12" s="12"/>
      <c r="V12" s="12"/>
      <c r="W12" s="12"/>
    </row>
    <row r="13" spans="2:25" x14ac:dyDescent="0.25">
      <c r="E13" s="11" t="s">
        <v>28</v>
      </c>
      <c r="G13" s="13"/>
      <c r="H13" s="13"/>
      <c r="I13" s="13"/>
      <c r="J13" s="13"/>
      <c r="K13" s="13"/>
      <c r="M13" s="13">
        <f t="shared" si="0"/>
        <v>0</v>
      </c>
      <c r="N13" s="13">
        <f t="shared" si="0"/>
        <v>0</v>
      </c>
      <c r="O13" s="13">
        <f t="shared" si="0"/>
        <v>0</v>
      </c>
      <c r="P13" s="13">
        <v>0</v>
      </c>
      <c r="Q13" s="13">
        <f>SUM(M13:P13)</f>
        <v>0</v>
      </c>
      <c r="R13" s="14"/>
      <c r="S13" s="14"/>
      <c r="T13" s="16"/>
      <c r="U13" s="14"/>
      <c r="V13" s="14"/>
      <c r="W13" s="14"/>
    </row>
    <row r="14" spans="2:25" x14ac:dyDescent="0.25">
      <c r="T14" s="4"/>
      <c r="Y14" s="17" t="s">
        <v>30</v>
      </c>
    </row>
    <row r="15" spans="2:25" x14ac:dyDescent="0.25">
      <c r="D15" s="1" t="s">
        <v>31</v>
      </c>
      <c r="E15" s="11" t="s">
        <v>32</v>
      </c>
      <c r="G15" s="12"/>
      <c r="H15" s="12"/>
      <c r="I15" s="12"/>
      <c r="J15" s="12"/>
      <c r="K15" s="12"/>
      <c r="M15" s="12">
        <v>0</v>
      </c>
      <c r="N15" s="12">
        <v>0</v>
      </c>
      <c r="O15" s="12">
        <v>0</v>
      </c>
      <c r="P15" s="12">
        <v>0</v>
      </c>
      <c r="Q15" s="12">
        <f t="shared" ref="Q15:Q20" si="1">SUM(M15:P15)</f>
        <v>0</v>
      </c>
      <c r="R15" s="12"/>
      <c r="S15" s="12"/>
      <c r="T15" s="15"/>
      <c r="U15" s="12"/>
      <c r="V15" s="12"/>
      <c r="W15" s="12"/>
    </row>
    <row r="16" spans="2:25" x14ac:dyDescent="0.25">
      <c r="D16" s="1" t="s">
        <v>33</v>
      </c>
      <c r="E16" s="11" t="s">
        <v>34</v>
      </c>
      <c r="G16" s="12"/>
      <c r="H16" s="12"/>
      <c r="I16" s="12"/>
      <c r="J16" s="12"/>
      <c r="K16" s="12"/>
      <c r="M16" s="12">
        <f>G16</f>
        <v>0</v>
      </c>
      <c r="N16" s="12">
        <f>H16</f>
        <v>0</v>
      </c>
      <c r="O16" s="12">
        <f>I16</f>
        <v>0</v>
      </c>
      <c r="P16" s="12">
        <f>J16</f>
        <v>0</v>
      </c>
      <c r="Q16" s="12">
        <f t="shared" si="1"/>
        <v>0</v>
      </c>
      <c r="R16" s="12"/>
      <c r="S16" s="12"/>
      <c r="T16" s="15"/>
      <c r="U16" s="12"/>
      <c r="V16" s="12"/>
      <c r="W16" s="12"/>
      <c r="Y16" s="4" t="s">
        <v>35</v>
      </c>
    </row>
    <row r="17" spans="2:25" x14ac:dyDescent="0.25">
      <c r="D17" s="18"/>
      <c r="E17" s="11" t="s">
        <v>36</v>
      </c>
      <c r="G17" s="12"/>
      <c r="H17" s="12"/>
      <c r="I17" s="12"/>
      <c r="J17" s="12"/>
      <c r="K17" s="12"/>
      <c r="M17" s="12">
        <v>0</v>
      </c>
      <c r="N17" s="12">
        <v>0</v>
      </c>
      <c r="O17" s="12">
        <v>0</v>
      </c>
      <c r="P17" s="12">
        <v>0</v>
      </c>
      <c r="Q17" s="12">
        <f t="shared" si="1"/>
        <v>0</v>
      </c>
      <c r="R17" s="12"/>
      <c r="S17" s="12"/>
      <c r="T17" s="15"/>
      <c r="U17" s="12"/>
      <c r="V17" s="12"/>
      <c r="W17" s="12"/>
      <c r="Y17" s="19">
        <v>614800</v>
      </c>
    </row>
    <row r="18" spans="2:25" x14ac:dyDescent="0.25">
      <c r="E18" s="11" t="s">
        <v>37</v>
      </c>
      <c r="G18" s="12"/>
      <c r="H18" s="12"/>
      <c r="I18" s="12"/>
      <c r="J18" s="12"/>
      <c r="K18" s="12"/>
      <c r="M18" s="12">
        <v>0</v>
      </c>
      <c r="N18" s="12">
        <v>0</v>
      </c>
      <c r="O18" s="12">
        <v>0</v>
      </c>
      <c r="P18" s="12">
        <v>0</v>
      </c>
      <c r="Q18" s="12">
        <f t="shared" si="1"/>
        <v>0</v>
      </c>
      <c r="R18" s="12"/>
      <c r="S18" s="12"/>
      <c r="T18" s="15"/>
      <c r="U18" s="12"/>
      <c r="V18" s="12"/>
      <c r="W18" s="12"/>
    </row>
    <row r="19" spans="2:25" x14ac:dyDescent="0.25">
      <c r="E19" s="11" t="s">
        <v>38</v>
      </c>
      <c r="G19" s="12"/>
      <c r="H19" s="12"/>
      <c r="I19" s="12"/>
      <c r="J19" s="12"/>
      <c r="K19" s="12"/>
      <c r="M19" s="12">
        <f>G19</f>
        <v>0</v>
      </c>
      <c r="N19" s="12">
        <f>H19</f>
        <v>0</v>
      </c>
      <c r="O19" s="12">
        <f>I19</f>
        <v>0</v>
      </c>
      <c r="P19" s="12">
        <f>J19</f>
        <v>0</v>
      </c>
      <c r="Q19" s="12">
        <f t="shared" si="1"/>
        <v>0</v>
      </c>
      <c r="R19" s="12"/>
      <c r="S19" s="12"/>
      <c r="T19" s="15"/>
      <c r="U19" s="12"/>
      <c r="V19" s="12"/>
      <c r="W19" s="12"/>
      <c r="Y19" s="4" t="s">
        <v>39</v>
      </c>
    </row>
    <row r="20" spans="2:25" x14ac:dyDescent="0.25">
      <c r="E20" s="11" t="s">
        <v>40</v>
      </c>
      <c r="G20" s="20"/>
      <c r="H20" s="20"/>
      <c r="I20" s="20"/>
      <c r="J20" s="20"/>
      <c r="K20" s="20"/>
      <c r="M20" s="12">
        <v>0</v>
      </c>
      <c r="N20" s="12">
        <v>0</v>
      </c>
      <c r="O20" s="12">
        <v>0</v>
      </c>
      <c r="P20" s="12">
        <v>0</v>
      </c>
      <c r="Q20" s="12">
        <f t="shared" si="1"/>
        <v>0</v>
      </c>
      <c r="R20" s="12"/>
      <c r="S20" s="12"/>
      <c r="T20" s="15"/>
      <c r="U20" s="12"/>
      <c r="V20" s="12"/>
      <c r="W20" s="12"/>
      <c r="Y20" s="19">
        <f>31030+1679</f>
        <v>32709</v>
      </c>
    </row>
    <row r="21" spans="2:25" x14ac:dyDescent="0.25">
      <c r="D21" s="3" t="s">
        <v>41</v>
      </c>
      <c r="E21" s="11"/>
      <c r="G21" s="21"/>
      <c r="H21" s="21"/>
      <c r="I21" s="21"/>
      <c r="J21" s="21"/>
      <c r="K21" s="21"/>
      <c r="M21" s="22">
        <f>M9+M12+SUM(M15:M20)</f>
        <v>0</v>
      </c>
      <c r="N21" s="22">
        <f>N9+N12+SUM(N15:N20)</f>
        <v>0</v>
      </c>
      <c r="O21" s="22">
        <f>O9+O12+SUM(O15:O20)</f>
        <v>0</v>
      </c>
      <c r="P21" s="22">
        <f>P9+P12+SUM(P15:P20)</f>
        <v>0</v>
      </c>
      <c r="Q21" s="22">
        <f>Q9+Q12+SUM(Q15:Q20)</f>
        <v>0</v>
      </c>
      <c r="R21" s="21"/>
      <c r="S21" s="21"/>
      <c r="T21" s="23"/>
      <c r="U21" s="21"/>
      <c r="V21" s="21"/>
      <c r="W21" s="21"/>
    </row>
    <row r="22" spans="2:25" x14ac:dyDescent="0.25">
      <c r="E22" s="11"/>
      <c r="G22" s="12"/>
      <c r="H22" s="12"/>
      <c r="I22" s="12"/>
      <c r="J22" s="12"/>
      <c r="K22" s="12"/>
      <c r="N22" s="12"/>
      <c r="O22" s="12"/>
      <c r="P22" s="12"/>
      <c r="Q22" s="12"/>
      <c r="R22" s="12"/>
      <c r="S22" s="12"/>
      <c r="T22" s="15"/>
      <c r="U22" s="12"/>
      <c r="V22" s="12"/>
      <c r="W22" s="12"/>
      <c r="Y22" s="4" t="s">
        <v>42</v>
      </c>
    </row>
    <row r="23" spans="2:25" x14ac:dyDescent="0.25">
      <c r="B23" s="3" t="s">
        <v>43</v>
      </c>
      <c r="E23" s="11" t="s">
        <v>44</v>
      </c>
      <c r="G23" s="20"/>
      <c r="H23" s="20"/>
      <c r="I23" s="20"/>
      <c r="J23" s="20"/>
      <c r="K23" s="20"/>
      <c r="M23" s="20">
        <f>$Q$23*G$79</f>
        <v>0</v>
      </c>
      <c r="N23" s="20">
        <f>$Q$23*H$79</f>
        <v>0</v>
      </c>
      <c r="O23" s="20">
        <f>$Q$23*I$79</f>
        <v>0</v>
      </c>
      <c r="P23" s="20">
        <v>0</v>
      </c>
      <c r="Q23" s="20">
        <f>K23*Y23</f>
        <v>0</v>
      </c>
      <c r="R23" s="12"/>
      <c r="S23" s="12"/>
      <c r="T23" s="15">
        <f>251603.59-K23</f>
        <v>251603.59</v>
      </c>
      <c r="U23" s="12"/>
      <c r="V23" s="12"/>
      <c r="W23" s="12"/>
      <c r="Y23" s="24">
        <f>Y20/Y17</f>
        <v>5.320266753415745E-2</v>
      </c>
    </row>
    <row r="24" spans="2:25" x14ac:dyDescent="0.25">
      <c r="B24" s="3"/>
      <c r="D24" s="3" t="s">
        <v>45</v>
      </c>
      <c r="E24" s="11"/>
      <c r="G24" s="21"/>
      <c r="H24" s="21"/>
      <c r="I24" s="21"/>
      <c r="J24" s="21"/>
      <c r="K24" s="21"/>
      <c r="M24" s="21">
        <f>SUM(M23)</f>
        <v>0</v>
      </c>
      <c r="N24" s="21">
        <f>SUM(N23)</f>
        <v>0</v>
      </c>
      <c r="O24" s="21">
        <f>SUM(O23)</f>
        <v>0</v>
      </c>
      <c r="P24" s="21">
        <f>SUM(P23)</f>
        <v>0</v>
      </c>
      <c r="Q24" s="21">
        <f>SUM(M24:P24)</f>
        <v>0</v>
      </c>
      <c r="R24" s="21"/>
      <c r="S24" s="21"/>
      <c r="T24" s="23"/>
      <c r="U24" s="21"/>
      <c r="V24" s="21"/>
      <c r="W24" s="21"/>
    </row>
    <row r="25" spans="2:25" x14ac:dyDescent="0.25">
      <c r="B25" s="3"/>
    </row>
    <row r="26" spans="2:25" x14ac:dyDescent="0.25">
      <c r="B26" s="3" t="s">
        <v>46</v>
      </c>
      <c r="E26" s="11" t="s">
        <v>47</v>
      </c>
      <c r="G26" s="12"/>
      <c r="H26" s="12"/>
      <c r="I26" s="12"/>
      <c r="J26" s="12"/>
      <c r="K26" s="12"/>
      <c r="M26" s="12">
        <v>0</v>
      </c>
      <c r="N26" s="12">
        <v>0</v>
      </c>
      <c r="O26" s="12">
        <v>0</v>
      </c>
      <c r="P26" s="12">
        <v>0</v>
      </c>
      <c r="Q26" s="12">
        <f t="shared" ref="Q26:Q31" si="2">SUM(M26:P26)</f>
        <v>0</v>
      </c>
      <c r="R26" s="12"/>
      <c r="S26" s="12"/>
      <c r="T26" s="12"/>
      <c r="U26" s="12"/>
      <c r="V26" s="12"/>
      <c r="W26" s="12"/>
    </row>
    <row r="27" spans="2:25" x14ac:dyDescent="0.25">
      <c r="B27" s="3"/>
      <c r="E27" s="11" t="s">
        <v>48</v>
      </c>
      <c r="G27" s="12"/>
      <c r="H27" s="12"/>
      <c r="I27" s="12"/>
      <c r="J27" s="12"/>
      <c r="K27" s="12"/>
      <c r="M27" s="12">
        <f>G27</f>
        <v>0</v>
      </c>
      <c r="N27" s="12">
        <f>H27</f>
        <v>0</v>
      </c>
      <c r="O27" s="12">
        <f>I27</f>
        <v>0</v>
      </c>
      <c r="P27" s="12">
        <f>J27</f>
        <v>0</v>
      </c>
      <c r="Q27" s="12">
        <f>SUM(M27:P27)</f>
        <v>0</v>
      </c>
      <c r="R27" s="12"/>
      <c r="S27" s="12"/>
      <c r="T27" s="12"/>
      <c r="U27" s="12"/>
      <c r="V27" s="12"/>
      <c r="W27" s="12"/>
    </row>
    <row r="28" spans="2:25" x14ac:dyDescent="0.25">
      <c r="B28" s="3"/>
      <c r="E28" s="1" t="s">
        <v>49</v>
      </c>
      <c r="G28" s="12"/>
      <c r="H28" s="12"/>
      <c r="I28" s="12"/>
      <c r="J28" s="12"/>
      <c r="K28" s="12"/>
      <c r="M28" s="12">
        <v>0</v>
      </c>
      <c r="N28" s="12">
        <v>0</v>
      </c>
      <c r="O28" s="12">
        <v>0</v>
      </c>
      <c r="P28" s="12">
        <v>0</v>
      </c>
      <c r="Q28" s="12">
        <f t="shared" si="2"/>
        <v>0</v>
      </c>
      <c r="R28" s="12"/>
      <c r="S28" s="12"/>
      <c r="T28" s="12"/>
      <c r="U28" s="12"/>
      <c r="V28" s="12"/>
      <c r="W28" s="12"/>
    </row>
    <row r="29" spans="2:25" x14ac:dyDescent="0.25">
      <c r="B29" s="3"/>
      <c r="E29" s="11" t="s">
        <v>50</v>
      </c>
      <c r="G29" s="12"/>
      <c r="H29" s="12"/>
      <c r="I29" s="12"/>
      <c r="J29" s="12"/>
      <c r="K29" s="12"/>
      <c r="M29" s="12">
        <f t="shared" ref="M29:P30" si="3">G29</f>
        <v>0</v>
      </c>
      <c r="N29" s="12">
        <f t="shared" si="3"/>
        <v>0</v>
      </c>
      <c r="O29" s="12">
        <f t="shared" si="3"/>
        <v>0</v>
      </c>
      <c r="P29" s="12">
        <f t="shared" si="3"/>
        <v>0</v>
      </c>
      <c r="Q29" s="12">
        <f t="shared" si="2"/>
        <v>0</v>
      </c>
      <c r="R29" s="12"/>
      <c r="S29" s="12"/>
      <c r="T29" s="12"/>
      <c r="U29" s="12"/>
      <c r="V29" s="12"/>
      <c r="W29" s="12"/>
    </row>
    <row r="30" spans="2:25" x14ac:dyDescent="0.25">
      <c r="B30" s="3"/>
      <c r="E30" s="11" t="s">
        <v>51</v>
      </c>
      <c r="G30" s="20"/>
      <c r="H30" s="20"/>
      <c r="I30" s="20"/>
      <c r="J30" s="20"/>
      <c r="K30" s="20"/>
      <c r="M30" s="20">
        <f t="shared" si="3"/>
        <v>0</v>
      </c>
      <c r="N30" s="20">
        <f t="shared" si="3"/>
        <v>0</v>
      </c>
      <c r="O30" s="20">
        <f t="shared" si="3"/>
        <v>0</v>
      </c>
      <c r="P30" s="20">
        <f>J30</f>
        <v>0</v>
      </c>
      <c r="Q30" s="20">
        <f t="shared" si="2"/>
        <v>0</v>
      </c>
      <c r="R30" s="12"/>
      <c r="S30" s="12"/>
      <c r="T30" s="12"/>
      <c r="U30" s="12"/>
      <c r="V30" s="12"/>
      <c r="W30" s="12"/>
    </row>
    <row r="31" spans="2:25" x14ac:dyDescent="0.25">
      <c r="B31" s="3"/>
      <c r="D31" s="3" t="s">
        <v>52</v>
      </c>
      <c r="G31" s="21"/>
      <c r="H31" s="21"/>
      <c r="I31" s="21"/>
      <c r="J31" s="21"/>
      <c r="K31" s="21"/>
      <c r="M31" s="21">
        <f>SUM(M26:M30)</f>
        <v>0</v>
      </c>
      <c r="N31" s="21">
        <f>SUM(N26:N30)</f>
        <v>0</v>
      </c>
      <c r="O31" s="21">
        <f>SUM(O26:O30)</f>
        <v>0</v>
      </c>
      <c r="P31" s="21">
        <f>SUM(P26:P30)</f>
        <v>0</v>
      </c>
      <c r="Q31" s="21">
        <f t="shared" si="2"/>
        <v>0</v>
      </c>
      <c r="R31" s="21"/>
      <c r="S31" s="21"/>
      <c r="T31" s="21"/>
      <c r="U31" s="21"/>
      <c r="V31" s="21"/>
      <c r="W31" s="21"/>
    </row>
    <row r="32" spans="2:25" x14ac:dyDescent="0.25">
      <c r="B32" s="3"/>
    </row>
    <row r="33" spans="2:23" x14ac:dyDescent="0.25">
      <c r="B33" s="3" t="s">
        <v>53</v>
      </c>
      <c r="D33" s="3" t="s">
        <v>54</v>
      </c>
      <c r="E33" s="1" t="s">
        <v>55</v>
      </c>
      <c r="G33" s="12"/>
      <c r="H33" s="12"/>
      <c r="I33" s="12"/>
      <c r="J33" s="12"/>
      <c r="K33" s="12"/>
      <c r="M33" s="12">
        <f t="shared" ref="M33:P34" si="4">G33</f>
        <v>0</v>
      </c>
      <c r="N33" s="12">
        <f t="shared" si="4"/>
        <v>0</v>
      </c>
      <c r="O33" s="12">
        <f t="shared" si="4"/>
        <v>0</v>
      </c>
      <c r="P33" s="12">
        <f t="shared" si="4"/>
        <v>0</v>
      </c>
      <c r="Q33" s="12">
        <f>SUM(M33:P33)</f>
        <v>0</v>
      </c>
      <c r="R33" s="12"/>
      <c r="S33" s="12"/>
      <c r="T33" s="12"/>
      <c r="U33" s="12"/>
      <c r="V33" s="12"/>
      <c r="W33" s="12"/>
    </row>
    <row r="34" spans="2:23" x14ac:dyDescent="0.25">
      <c r="B34" s="3" t="s">
        <v>56</v>
      </c>
      <c r="D34" s="3" t="s">
        <v>57</v>
      </c>
      <c r="E34" s="1" t="s">
        <v>58</v>
      </c>
      <c r="G34" s="12"/>
      <c r="H34" s="12"/>
      <c r="I34" s="12"/>
      <c r="J34" s="12"/>
      <c r="K34" s="12"/>
      <c r="M34" s="12">
        <f t="shared" si="4"/>
        <v>0</v>
      </c>
      <c r="N34" s="12">
        <f t="shared" si="4"/>
        <v>0</v>
      </c>
      <c r="O34" s="12">
        <f t="shared" si="4"/>
        <v>0</v>
      </c>
      <c r="P34" s="12">
        <f t="shared" si="4"/>
        <v>0</v>
      </c>
      <c r="Q34" s="12">
        <f>SUM(M34:P34)</f>
        <v>0</v>
      </c>
      <c r="R34" s="12"/>
      <c r="S34" s="12"/>
      <c r="T34" s="12"/>
      <c r="U34" s="12"/>
      <c r="V34" s="12"/>
      <c r="W34" s="12"/>
    </row>
    <row r="35" spans="2:23" x14ac:dyDescent="0.25">
      <c r="D35" s="3"/>
      <c r="Q35" s="12"/>
      <c r="R35" s="12"/>
      <c r="S35" s="12"/>
      <c r="T35" s="12"/>
      <c r="U35" s="12"/>
      <c r="V35" s="12"/>
      <c r="W35" s="12"/>
    </row>
    <row r="36" spans="2:23" x14ac:dyDescent="0.25">
      <c r="D36" s="3" t="s">
        <v>59</v>
      </c>
      <c r="E36" s="1" t="s">
        <v>60</v>
      </c>
      <c r="G36" s="12"/>
      <c r="H36" s="12"/>
      <c r="I36" s="12"/>
      <c r="J36" s="12"/>
      <c r="K36" s="12"/>
      <c r="M36" s="12">
        <f t="shared" ref="M36:P41" si="5">G36</f>
        <v>0</v>
      </c>
      <c r="N36" s="12">
        <f t="shared" si="5"/>
        <v>0</v>
      </c>
      <c r="O36" s="12">
        <f t="shared" si="5"/>
        <v>0</v>
      </c>
      <c r="P36" s="12">
        <f t="shared" si="5"/>
        <v>0</v>
      </c>
      <c r="Q36" s="12">
        <f t="shared" ref="Q36:Q41" si="6">SUM(M36:P36)</f>
        <v>0</v>
      </c>
      <c r="R36" s="12"/>
      <c r="S36" s="12"/>
      <c r="T36" s="12"/>
      <c r="U36" s="12"/>
      <c r="V36" s="12"/>
      <c r="W36" s="12"/>
    </row>
    <row r="37" spans="2:23" x14ac:dyDescent="0.25">
      <c r="D37" s="3" t="s">
        <v>61</v>
      </c>
      <c r="E37" s="1" t="s">
        <v>62</v>
      </c>
      <c r="G37" s="12"/>
      <c r="H37" s="12"/>
      <c r="I37" s="12"/>
      <c r="J37" s="12"/>
      <c r="K37" s="12"/>
      <c r="M37" s="12">
        <f t="shared" si="5"/>
        <v>0</v>
      </c>
      <c r="N37" s="12">
        <f t="shared" si="5"/>
        <v>0</v>
      </c>
      <c r="O37" s="12">
        <f t="shared" si="5"/>
        <v>0</v>
      </c>
      <c r="P37" s="12">
        <f t="shared" si="5"/>
        <v>0</v>
      </c>
      <c r="Q37" s="12">
        <f t="shared" si="6"/>
        <v>0</v>
      </c>
      <c r="R37" s="12"/>
      <c r="S37" s="12"/>
      <c r="T37" s="12"/>
      <c r="U37" s="12"/>
      <c r="V37" s="12"/>
      <c r="W37" s="12"/>
    </row>
    <row r="38" spans="2:23" x14ac:dyDescent="0.25">
      <c r="D38" s="3"/>
      <c r="E38" s="1" t="s">
        <v>63</v>
      </c>
      <c r="G38" s="12"/>
      <c r="H38" s="12"/>
      <c r="I38" s="12"/>
      <c r="J38" s="12"/>
      <c r="K38" s="12"/>
      <c r="M38" s="12">
        <f t="shared" si="5"/>
        <v>0</v>
      </c>
      <c r="N38" s="12">
        <f t="shared" si="5"/>
        <v>0</v>
      </c>
      <c r="O38" s="12">
        <f t="shared" si="5"/>
        <v>0</v>
      </c>
      <c r="P38" s="12">
        <f t="shared" si="5"/>
        <v>0</v>
      </c>
      <c r="Q38" s="12">
        <f t="shared" si="6"/>
        <v>0</v>
      </c>
      <c r="R38" s="12"/>
      <c r="S38" s="12"/>
      <c r="T38" s="12"/>
      <c r="U38" s="12"/>
      <c r="V38" s="12"/>
      <c r="W38" s="12"/>
    </row>
    <row r="39" spans="2:23" x14ac:dyDescent="0.25">
      <c r="D39" s="3"/>
      <c r="E39" s="1" t="s">
        <v>64</v>
      </c>
      <c r="G39" s="12"/>
      <c r="H39" s="12"/>
      <c r="I39" s="12"/>
      <c r="J39" s="12"/>
      <c r="K39" s="12"/>
      <c r="M39" s="12">
        <f t="shared" si="5"/>
        <v>0</v>
      </c>
      <c r="N39" s="12">
        <f t="shared" si="5"/>
        <v>0</v>
      </c>
      <c r="O39" s="12">
        <f t="shared" si="5"/>
        <v>0</v>
      </c>
      <c r="P39" s="12">
        <f t="shared" si="5"/>
        <v>0</v>
      </c>
      <c r="Q39" s="12">
        <f t="shared" si="6"/>
        <v>0</v>
      </c>
      <c r="R39" s="12"/>
      <c r="S39" s="12"/>
      <c r="T39" s="12"/>
      <c r="U39" s="12"/>
      <c r="V39" s="12"/>
      <c r="W39" s="12"/>
    </row>
    <row r="40" spans="2:23" x14ac:dyDescent="0.25">
      <c r="D40" s="3"/>
      <c r="E40" s="1" t="s">
        <v>65</v>
      </c>
      <c r="G40" s="12"/>
      <c r="H40" s="12"/>
      <c r="I40" s="12"/>
      <c r="J40" s="12"/>
      <c r="K40" s="12"/>
      <c r="M40" s="12">
        <f t="shared" si="5"/>
        <v>0</v>
      </c>
      <c r="N40" s="12">
        <f t="shared" si="5"/>
        <v>0</v>
      </c>
      <c r="O40" s="12">
        <f t="shared" si="5"/>
        <v>0</v>
      </c>
      <c r="P40" s="12">
        <f t="shared" si="5"/>
        <v>0</v>
      </c>
      <c r="Q40" s="12">
        <f t="shared" si="6"/>
        <v>0</v>
      </c>
      <c r="R40" s="12"/>
      <c r="S40" s="12"/>
      <c r="T40" s="12"/>
      <c r="U40" s="12"/>
      <c r="V40" s="12"/>
      <c r="W40" s="12"/>
    </row>
    <row r="41" spans="2:23" x14ac:dyDescent="0.25">
      <c r="D41" s="3"/>
      <c r="E41" s="1" t="s">
        <v>66</v>
      </c>
      <c r="G41" s="12"/>
      <c r="H41" s="12"/>
      <c r="I41" s="12"/>
      <c r="J41" s="12"/>
      <c r="K41" s="12"/>
      <c r="M41" s="12">
        <f t="shared" si="5"/>
        <v>0</v>
      </c>
      <c r="N41" s="12">
        <f t="shared" si="5"/>
        <v>0</v>
      </c>
      <c r="O41" s="12">
        <f t="shared" si="5"/>
        <v>0</v>
      </c>
      <c r="P41" s="12">
        <f t="shared" si="5"/>
        <v>0</v>
      </c>
      <c r="Q41" s="12">
        <f t="shared" si="6"/>
        <v>0</v>
      </c>
      <c r="R41" s="12"/>
      <c r="S41" s="12"/>
      <c r="T41" s="12"/>
      <c r="U41" s="12"/>
      <c r="V41" s="12"/>
      <c r="W41" s="12"/>
    </row>
    <row r="42" spans="2:23" x14ac:dyDescent="0.25">
      <c r="D42" s="3"/>
      <c r="Q42" s="12"/>
      <c r="R42" s="12"/>
      <c r="S42" s="12"/>
      <c r="T42" s="12"/>
      <c r="U42" s="12"/>
      <c r="V42" s="12"/>
      <c r="W42" s="12"/>
    </row>
    <row r="43" spans="2:23" x14ac:dyDescent="0.25">
      <c r="D43" s="3" t="s">
        <v>67</v>
      </c>
      <c r="G43" s="12"/>
      <c r="H43" s="12">
        <f>H11</f>
        <v>0</v>
      </c>
      <c r="I43" s="12">
        <v>0</v>
      </c>
      <c r="J43" s="12">
        <v>0</v>
      </c>
      <c r="K43" s="12">
        <f>SUM(G43:J43)</f>
        <v>0</v>
      </c>
      <c r="M43" s="12">
        <f>G43</f>
        <v>0</v>
      </c>
      <c r="N43" s="12">
        <f>H43</f>
        <v>0</v>
      </c>
      <c r="O43" s="12">
        <f>I43</f>
        <v>0</v>
      </c>
      <c r="P43" s="12">
        <f>J43</f>
        <v>0</v>
      </c>
      <c r="Q43" s="12">
        <f>SUM(M43:P43)</f>
        <v>0</v>
      </c>
      <c r="R43" s="12"/>
      <c r="S43" s="12"/>
      <c r="T43" s="12"/>
      <c r="U43" s="12"/>
      <c r="V43" s="12"/>
      <c r="W43" s="12"/>
    </row>
    <row r="44" spans="2:23" x14ac:dyDescent="0.25">
      <c r="D44" s="3"/>
    </row>
    <row r="45" spans="2:23" x14ac:dyDescent="0.25">
      <c r="D45" s="3" t="s">
        <v>68</v>
      </c>
      <c r="G45" s="12"/>
      <c r="H45" s="12"/>
      <c r="I45" s="12">
        <v>0</v>
      </c>
      <c r="J45" s="12">
        <v>0</v>
      </c>
      <c r="K45" s="12">
        <f>SUM(G45:J45)</f>
        <v>0</v>
      </c>
      <c r="M45" s="12">
        <f>G45</f>
        <v>0</v>
      </c>
      <c r="N45" s="12">
        <f>H45</f>
        <v>0</v>
      </c>
      <c r="O45" s="12">
        <f>I45</f>
        <v>0</v>
      </c>
      <c r="P45" s="12">
        <f>J45</f>
        <v>0</v>
      </c>
      <c r="Q45" s="12">
        <f>SUM(M45:P45)</f>
        <v>0</v>
      </c>
      <c r="R45" s="12"/>
      <c r="S45" s="12"/>
      <c r="T45" s="12"/>
      <c r="U45" s="12"/>
      <c r="V45" s="12"/>
      <c r="W45" s="12"/>
    </row>
    <row r="46" spans="2:23" x14ac:dyDescent="0.25">
      <c r="D46" s="3"/>
    </row>
    <row r="47" spans="2:23" x14ac:dyDescent="0.25">
      <c r="D47" s="3" t="s">
        <v>69</v>
      </c>
      <c r="G47" s="12"/>
      <c r="H47" s="12"/>
      <c r="I47" s="12">
        <v>0</v>
      </c>
      <c r="J47" s="12">
        <v>0</v>
      </c>
      <c r="K47" s="12">
        <f>SUM(G47:J47)</f>
        <v>0</v>
      </c>
      <c r="M47" s="12">
        <f>G47</f>
        <v>0</v>
      </c>
      <c r="N47" s="12">
        <f>H47</f>
        <v>0</v>
      </c>
      <c r="O47" s="12">
        <f>I47</f>
        <v>0</v>
      </c>
      <c r="P47" s="12">
        <f>J47</f>
        <v>0</v>
      </c>
      <c r="Q47" s="12">
        <f>SUM(M47:P47)</f>
        <v>0</v>
      </c>
      <c r="R47" s="12"/>
      <c r="S47" s="12"/>
      <c r="T47" s="12"/>
      <c r="U47" s="12"/>
      <c r="V47" s="12"/>
      <c r="W47" s="12"/>
    </row>
    <row r="48" spans="2:23" x14ac:dyDescent="0.25">
      <c r="D48" s="3"/>
    </row>
    <row r="49" spans="1:24" x14ac:dyDescent="0.25">
      <c r="D49" s="3" t="s">
        <v>70</v>
      </c>
      <c r="G49" s="12"/>
      <c r="H49" s="12">
        <v>0</v>
      </c>
      <c r="I49" s="12">
        <v>0</v>
      </c>
      <c r="J49" s="12">
        <v>0</v>
      </c>
      <c r="K49" s="12">
        <f>SUM(G49:J49)</f>
        <v>0</v>
      </c>
      <c r="M49" s="12">
        <f>G49</f>
        <v>0</v>
      </c>
      <c r="N49" s="12">
        <f>H49</f>
        <v>0</v>
      </c>
      <c r="O49" s="12">
        <f>I49</f>
        <v>0</v>
      </c>
      <c r="P49" s="12">
        <f>J49</f>
        <v>0</v>
      </c>
      <c r="Q49" s="12">
        <f>SUM(M49:P49)</f>
        <v>0</v>
      </c>
      <c r="R49" s="12"/>
      <c r="S49" s="12"/>
      <c r="T49" s="12"/>
      <c r="U49" s="12"/>
      <c r="V49" s="12"/>
      <c r="W49" s="12"/>
    </row>
    <row r="50" spans="1:24" x14ac:dyDescent="0.25">
      <c r="D50" s="3" t="s">
        <v>71</v>
      </c>
    </row>
    <row r="51" spans="1:24" x14ac:dyDescent="0.25">
      <c r="D51" s="3"/>
    </row>
    <row r="52" spans="1:24" x14ac:dyDescent="0.25">
      <c r="B52" s="3"/>
      <c r="D52" s="3" t="s">
        <v>66</v>
      </c>
      <c r="G52" s="20"/>
      <c r="H52" s="20">
        <v>0</v>
      </c>
      <c r="I52" s="20">
        <v>0</v>
      </c>
      <c r="J52" s="20">
        <v>0</v>
      </c>
      <c r="K52" s="20">
        <f>SUM(G52:J52)</f>
        <v>0</v>
      </c>
      <c r="M52" s="20">
        <f>G52</f>
        <v>0</v>
      </c>
      <c r="N52" s="20">
        <f>H52</f>
        <v>0</v>
      </c>
      <c r="O52" s="20">
        <f>I52</f>
        <v>0</v>
      </c>
      <c r="P52" s="20">
        <f>J52</f>
        <v>0</v>
      </c>
      <c r="Q52" s="20">
        <f>SUM(M52:P52)</f>
        <v>0</v>
      </c>
      <c r="R52" s="12"/>
      <c r="S52" s="12"/>
      <c r="T52" s="12"/>
      <c r="U52" s="12"/>
      <c r="V52" s="12"/>
      <c r="W52" s="12"/>
    </row>
    <row r="53" spans="1:24" x14ac:dyDescent="0.25">
      <c r="D53" s="3" t="s">
        <v>72</v>
      </c>
      <c r="G53" s="21">
        <f>SUM(G33:G52)</f>
        <v>0</v>
      </c>
      <c r="H53" s="21">
        <f>SUM(H33:H52)</f>
        <v>0</v>
      </c>
      <c r="I53" s="21">
        <f>SUM(I33:I52)</f>
        <v>0</v>
      </c>
      <c r="J53" s="21">
        <f>SUM(J33:J52)</f>
        <v>0</v>
      </c>
      <c r="K53" s="21">
        <f>SUM(G53:J53)</f>
        <v>0</v>
      </c>
      <c r="M53" s="21">
        <f>SUM(M33:M52)</f>
        <v>0</v>
      </c>
      <c r="N53" s="21">
        <f>SUM(N33:N52)</f>
        <v>0</v>
      </c>
      <c r="O53" s="21">
        <f>SUM(O33:O52)</f>
        <v>0</v>
      </c>
      <c r="P53" s="21">
        <f>SUM(P33:P52)</f>
        <v>0</v>
      </c>
      <c r="Q53" s="21">
        <f>SUM(M53:P53)</f>
        <v>0</v>
      </c>
      <c r="R53" s="21"/>
      <c r="S53" s="21"/>
      <c r="T53" s="21"/>
      <c r="U53" s="21"/>
      <c r="V53" s="21"/>
      <c r="W53" s="21"/>
    </row>
    <row r="54" spans="1:24" x14ac:dyDescent="0.25">
      <c r="B54" s="3"/>
      <c r="G54" s="12"/>
    </row>
    <row r="55" spans="1:24" x14ac:dyDescent="0.25">
      <c r="B55" s="3" t="s">
        <v>73</v>
      </c>
      <c r="G55" s="12">
        <v>0</v>
      </c>
      <c r="H55" s="12">
        <v>0</v>
      </c>
      <c r="I55" s="12">
        <v>0</v>
      </c>
      <c r="J55" s="12">
        <v>0</v>
      </c>
      <c r="K55" s="12">
        <f>SUM(G55:J55)</f>
        <v>0</v>
      </c>
      <c r="M55" s="12">
        <v>0</v>
      </c>
      <c r="N55" s="12">
        <v>0</v>
      </c>
      <c r="O55" s="12">
        <v>0</v>
      </c>
      <c r="P55" s="12">
        <v>0</v>
      </c>
      <c r="Q55" s="12">
        <f>SUM(M55:P55)</f>
        <v>0</v>
      </c>
      <c r="R55" s="12"/>
      <c r="S55" s="12"/>
      <c r="T55" s="12"/>
      <c r="U55" s="12"/>
      <c r="V55" s="12"/>
      <c r="W55" s="12"/>
    </row>
    <row r="56" spans="1:24" x14ac:dyDescent="0.25">
      <c r="B56" s="3" t="s">
        <v>74</v>
      </c>
      <c r="D56" s="12"/>
    </row>
    <row r="57" spans="1:24" ht="13" thickBot="1" x14ac:dyDescent="0.3">
      <c r="K57" s="12"/>
      <c r="Q57" s="25"/>
      <c r="R57" s="12"/>
      <c r="S57" s="12"/>
      <c r="T57" s="12"/>
      <c r="U57" s="12"/>
      <c r="V57" s="12"/>
      <c r="W57" s="12"/>
    </row>
    <row r="58" spans="1:24" x14ac:dyDescent="0.25">
      <c r="B58" s="3" t="s">
        <v>75</v>
      </c>
      <c r="E58" s="12"/>
      <c r="G58" s="26">
        <f>G21+G24+G31+G53+G55</f>
        <v>0</v>
      </c>
      <c r="H58" s="26">
        <f>H21+H24+H31+H53+H55</f>
        <v>0</v>
      </c>
      <c r="I58" s="26">
        <f>I21+I24+I31+I53+I55</f>
        <v>0</v>
      </c>
      <c r="J58" s="26">
        <f>J21+J24+J31+J53+J55</f>
        <v>0</v>
      </c>
      <c r="K58" s="26">
        <f>SUM(G58:J58)</f>
        <v>0</v>
      </c>
      <c r="L58" s="64"/>
      <c r="M58" s="26">
        <f>M21+M24+M31+M53+M55</f>
        <v>0</v>
      </c>
      <c r="N58" s="26">
        <f>N21+N24+N31+N53+N55</f>
        <v>0</v>
      </c>
      <c r="O58" s="26">
        <f>O21+O24+O31+O53+O55</f>
        <v>0</v>
      </c>
      <c r="P58" s="26">
        <f>P21+P24+P31+P53+P55</f>
        <v>0</v>
      </c>
      <c r="Q58" s="26">
        <f>SUM(M58:P58)</f>
        <v>0</v>
      </c>
      <c r="R58" s="21"/>
      <c r="S58" s="21"/>
      <c r="T58" s="21"/>
      <c r="U58" s="21"/>
      <c r="V58" s="21"/>
      <c r="W58" s="21"/>
    </row>
    <row r="61" spans="1:24" ht="14" x14ac:dyDescent="0.3">
      <c r="B61" s="10" t="s">
        <v>76</v>
      </c>
    </row>
    <row r="62" spans="1:24" x14ac:dyDescent="0.25">
      <c r="E62" s="11"/>
    </row>
    <row r="63" spans="1:24" s="4" customFormat="1" x14ac:dyDescent="0.25">
      <c r="A63" s="1"/>
      <c r="B63" s="1"/>
      <c r="C63" s="1"/>
      <c r="D63" s="1" t="s">
        <v>78</v>
      </c>
      <c r="E63" s="11" t="s">
        <v>26</v>
      </c>
      <c r="F63" s="1"/>
      <c r="G63" s="29">
        <v>0</v>
      </c>
      <c r="H63" s="29">
        <v>0</v>
      </c>
      <c r="I63" s="29">
        <v>131695</v>
      </c>
      <c r="J63" s="12">
        <v>0</v>
      </c>
      <c r="K63" s="12">
        <f>I63+H63+G63</f>
        <v>131695</v>
      </c>
      <c r="L63" s="1"/>
      <c r="M63" s="12">
        <f>G63</f>
        <v>0</v>
      </c>
      <c r="N63" s="12">
        <f>H63</f>
        <v>0</v>
      </c>
      <c r="O63" s="12">
        <f>I63</f>
        <v>131695</v>
      </c>
      <c r="P63" s="12">
        <f>J63</f>
        <v>0</v>
      </c>
      <c r="Q63" s="12">
        <f>K63</f>
        <v>131695</v>
      </c>
      <c r="R63" s="12"/>
      <c r="S63" s="12"/>
      <c r="T63" s="12"/>
      <c r="U63" s="12"/>
      <c r="V63" s="12"/>
      <c r="W63" s="12"/>
      <c r="X63" s="1"/>
    </row>
    <row r="64" spans="1:24" s="4" customFormat="1" ht="13" thickBot="1" x14ac:dyDescent="0.3">
      <c r="A64" s="1"/>
      <c r="B64" s="1"/>
      <c r="C64" s="1"/>
      <c r="D64" s="1"/>
      <c r="E64" s="1"/>
      <c r="F64" s="1"/>
      <c r="G64" s="1"/>
      <c r="H64" s="1"/>
      <c r="I64" s="1"/>
      <c r="J64" s="1"/>
      <c r="K64" s="1"/>
      <c r="L64" s="1"/>
      <c r="M64" s="1"/>
      <c r="N64" s="1"/>
      <c r="O64" s="1"/>
      <c r="P64" s="1"/>
      <c r="Q64" s="1"/>
      <c r="R64" s="1"/>
      <c r="S64" s="1"/>
      <c r="T64" s="1"/>
      <c r="U64" s="1"/>
      <c r="V64" s="1"/>
      <c r="W64" s="1"/>
      <c r="X64" s="1"/>
    </row>
    <row r="65" spans="1:24" s="4" customFormat="1" ht="13" thickBot="1" x14ac:dyDescent="0.3">
      <c r="A65" s="1"/>
      <c r="B65" s="3" t="s">
        <v>79</v>
      </c>
      <c r="C65" s="1"/>
      <c r="D65" s="1"/>
      <c r="E65" s="11" t="s">
        <v>26</v>
      </c>
      <c r="F65" s="1"/>
      <c r="G65" s="26">
        <f>G63</f>
        <v>0</v>
      </c>
      <c r="H65" s="26">
        <f t="shared" ref="H65:Q66" si="7">H63</f>
        <v>0</v>
      </c>
      <c r="I65" s="26">
        <f t="shared" si="7"/>
        <v>131695</v>
      </c>
      <c r="J65" s="26">
        <f t="shared" si="7"/>
        <v>0</v>
      </c>
      <c r="K65" s="26">
        <f t="shared" si="7"/>
        <v>131695</v>
      </c>
      <c r="L65" s="1"/>
      <c r="M65" s="26">
        <f t="shared" si="7"/>
        <v>0</v>
      </c>
      <c r="N65" s="26">
        <f t="shared" si="7"/>
        <v>0</v>
      </c>
      <c r="O65" s="26">
        <f t="shared" si="7"/>
        <v>131695</v>
      </c>
      <c r="P65" s="26">
        <f t="shared" si="7"/>
        <v>0</v>
      </c>
      <c r="Q65" s="26">
        <f t="shared" si="7"/>
        <v>131695</v>
      </c>
      <c r="R65" s="21"/>
      <c r="S65" s="21"/>
      <c r="T65" s="21"/>
      <c r="U65" s="21"/>
      <c r="V65" s="21"/>
      <c r="W65" s="21"/>
      <c r="X65" s="12"/>
    </row>
    <row r="66" spans="1:24" s="4" customFormat="1" x14ac:dyDescent="0.25">
      <c r="A66" s="1"/>
      <c r="B66" s="3"/>
      <c r="C66" s="1"/>
      <c r="D66" s="1"/>
      <c r="E66" s="11" t="s">
        <v>28</v>
      </c>
      <c r="F66" s="1"/>
      <c r="G66" s="26">
        <f>G64</f>
        <v>0</v>
      </c>
      <c r="H66" s="26">
        <f t="shared" si="7"/>
        <v>0</v>
      </c>
      <c r="I66" s="26">
        <f t="shared" si="7"/>
        <v>0</v>
      </c>
      <c r="J66" s="26">
        <f t="shared" si="7"/>
        <v>0</v>
      </c>
      <c r="K66" s="26">
        <f t="shared" si="7"/>
        <v>0</v>
      </c>
      <c r="L66" s="1"/>
      <c r="M66" s="26">
        <f t="shared" si="7"/>
        <v>0</v>
      </c>
      <c r="N66" s="26">
        <f t="shared" si="7"/>
        <v>0</v>
      </c>
      <c r="O66" s="26">
        <f t="shared" si="7"/>
        <v>0</v>
      </c>
      <c r="P66" s="26">
        <f t="shared" si="7"/>
        <v>0</v>
      </c>
      <c r="Q66" s="26">
        <f t="shared" si="7"/>
        <v>0</v>
      </c>
      <c r="R66" s="27"/>
      <c r="S66" s="27"/>
      <c r="T66" s="27"/>
      <c r="U66" s="27"/>
      <c r="V66" s="27"/>
      <c r="W66" s="27"/>
      <c r="X66" s="1"/>
    </row>
    <row r="67" spans="1:24" s="4" customFormat="1" x14ac:dyDescent="0.25">
      <c r="A67" s="1"/>
      <c r="B67" s="1"/>
      <c r="C67" s="1"/>
      <c r="D67" s="1"/>
      <c r="E67" s="1"/>
      <c r="F67" s="1"/>
      <c r="G67" s="1"/>
      <c r="H67" s="1"/>
      <c r="I67" s="1"/>
      <c r="J67" s="1"/>
      <c r="K67" s="12"/>
      <c r="L67" s="1"/>
      <c r="M67" s="1"/>
      <c r="N67" s="1"/>
      <c r="O67" s="1"/>
      <c r="P67" s="1"/>
      <c r="Q67" s="1"/>
      <c r="R67" s="1"/>
      <c r="S67" s="1"/>
      <c r="T67" s="1"/>
      <c r="U67" s="1"/>
      <c r="V67" s="1"/>
      <c r="W67" s="1"/>
      <c r="X67" s="12"/>
    </row>
    <row r="68" spans="1:24" s="4" customFormat="1" ht="13" thickBot="1" x14ac:dyDescent="0.3">
      <c r="A68" s="1"/>
      <c r="B68" s="1"/>
      <c r="C68" s="1"/>
      <c r="D68" s="1"/>
      <c r="E68" s="1"/>
      <c r="F68" s="1"/>
      <c r="G68" s="1"/>
      <c r="H68" s="1"/>
      <c r="I68" s="1"/>
      <c r="J68" s="1"/>
      <c r="K68" s="1"/>
      <c r="L68" s="1"/>
      <c r="M68" s="1"/>
      <c r="N68" s="1"/>
      <c r="O68" s="1"/>
      <c r="P68" s="1"/>
      <c r="Q68" s="1"/>
      <c r="R68" s="1"/>
      <c r="S68" s="1"/>
      <c r="T68" s="1"/>
      <c r="U68" s="1"/>
      <c r="V68" s="1"/>
      <c r="W68" s="1"/>
      <c r="X68" s="1"/>
    </row>
    <row r="69" spans="1:24" s="4" customFormat="1" ht="14.5" thickBot="1" x14ac:dyDescent="0.35">
      <c r="A69" s="1"/>
      <c r="B69" s="10" t="s">
        <v>80</v>
      </c>
      <c r="C69" s="1"/>
      <c r="D69" s="1"/>
      <c r="E69" s="1"/>
      <c r="F69" s="1"/>
      <c r="G69" s="28">
        <f t="shared" ref="G69:Q69" si="8">G58+G65</f>
        <v>0</v>
      </c>
      <c r="H69" s="28">
        <f t="shared" si="8"/>
        <v>0</v>
      </c>
      <c r="I69" s="28">
        <f t="shared" si="8"/>
        <v>131695</v>
      </c>
      <c r="J69" s="28">
        <f t="shared" si="8"/>
        <v>0</v>
      </c>
      <c r="K69" s="28">
        <f>K58+K65</f>
        <v>131695</v>
      </c>
      <c r="L69" s="28">
        <f t="shared" si="8"/>
        <v>0</v>
      </c>
      <c r="M69" s="28">
        <f t="shared" si="8"/>
        <v>0</v>
      </c>
      <c r="N69" s="28">
        <f t="shared" si="8"/>
        <v>0</v>
      </c>
      <c r="O69" s="28">
        <f t="shared" si="8"/>
        <v>131695</v>
      </c>
      <c r="P69" s="28">
        <f t="shared" si="8"/>
        <v>0</v>
      </c>
      <c r="Q69" s="28">
        <f t="shared" si="8"/>
        <v>131695</v>
      </c>
      <c r="R69" s="21"/>
      <c r="S69" s="21"/>
      <c r="T69" s="21"/>
      <c r="U69" s="21"/>
      <c r="V69" s="21"/>
      <c r="W69" s="21"/>
      <c r="X69" s="1"/>
    </row>
    <row r="70" spans="1:24" s="4" customFormat="1" ht="13" thickTop="1" x14ac:dyDescent="0.25">
      <c r="A70" s="1"/>
      <c r="B70" s="1"/>
      <c r="C70" s="1"/>
      <c r="D70" s="1"/>
      <c r="E70" s="1"/>
      <c r="F70" s="1"/>
      <c r="G70" s="1"/>
      <c r="H70" s="1"/>
      <c r="I70" s="29"/>
      <c r="J70" s="1"/>
      <c r="K70" s="1"/>
      <c r="L70" s="1"/>
      <c r="M70" s="1"/>
      <c r="N70" s="1"/>
      <c r="O70" s="30"/>
      <c r="P70" s="1"/>
      <c r="Q70" s="1"/>
      <c r="R70" s="1"/>
      <c r="S70" s="1"/>
      <c r="T70" s="1"/>
      <c r="U70" s="1"/>
      <c r="V70" s="1"/>
      <c r="W70" s="1"/>
      <c r="X70" s="1"/>
    </row>
    <row r="71" spans="1:24" x14ac:dyDescent="0.25">
      <c r="I71" s="29"/>
      <c r="K71" s="12"/>
      <c r="O71" s="30"/>
    </row>
    <row r="72" spans="1:24" x14ac:dyDescent="0.25">
      <c r="G72" s="18"/>
      <c r="H72" s="18"/>
      <c r="I72" s="18"/>
      <c r="J72" s="12"/>
      <c r="K72" s="12"/>
      <c r="O72" s="30"/>
    </row>
    <row r="73" spans="1:24" x14ac:dyDescent="0.25">
      <c r="G73" s="75"/>
      <c r="H73" s="75"/>
      <c r="I73" s="75"/>
      <c r="K73" s="12"/>
      <c r="O73" s="65"/>
    </row>
    <row r="74" spans="1:24" x14ac:dyDescent="0.25">
      <c r="G74" s="31"/>
      <c r="H74" s="31"/>
      <c r="I74" s="31"/>
      <c r="K74" s="12"/>
      <c r="O74" s="30"/>
    </row>
    <row r="75" spans="1:24" x14ac:dyDescent="0.25">
      <c r="G75" s="29"/>
      <c r="H75" s="29"/>
      <c r="I75" s="29"/>
      <c r="J75" s="12"/>
      <c r="K75" s="12"/>
      <c r="M75" s="32"/>
      <c r="N75" s="32"/>
      <c r="O75" s="33"/>
      <c r="P75" s="32"/>
      <c r="Q75" s="32"/>
      <c r="R75" s="32"/>
      <c r="S75" s="32"/>
      <c r="T75" s="32"/>
      <c r="U75" s="32"/>
    </row>
    <row r="76" spans="1:24" x14ac:dyDescent="0.25">
      <c r="G76" s="29"/>
      <c r="H76" s="29"/>
      <c r="I76" s="29"/>
      <c r="K76" s="12"/>
      <c r="M76" s="32"/>
      <c r="N76" s="32"/>
      <c r="O76" s="33"/>
      <c r="P76" s="32"/>
      <c r="Q76" s="32"/>
      <c r="R76" s="32"/>
      <c r="S76" s="32"/>
      <c r="T76" s="32"/>
      <c r="U76" s="32"/>
    </row>
    <row r="77" spans="1:24" x14ac:dyDescent="0.25">
      <c r="G77" s="34"/>
      <c r="I77" s="29"/>
      <c r="M77" s="32"/>
      <c r="N77" s="32"/>
      <c r="O77" s="33"/>
      <c r="P77" s="32"/>
      <c r="Q77" s="32"/>
      <c r="R77" s="32"/>
      <c r="S77" s="32"/>
      <c r="T77" s="32"/>
      <c r="U77" s="32"/>
    </row>
    <row r="78" spans="1:24" ht="13" thickBot="1" x14ac:dyDescent="0.3">
      <c r="M78" s="32"/>
      <c r="N78" s="32"/>
      <c r="O78" s="32"/>
      <c r="P78" s="32"/>
      <c r="Q78" s="32"/>
      <c r="R78" s="32"/>
      <c r="S78" s="32"/>
      <c r="T78" s="32"/>
      <c r="U78" s="32"/>
    </row>
    <row r="79" spans="1:24" x14ac:dyDescent="0.25">
      <c r="E79" s="35"/>
      <c r="F79" s="36"/>
      <c r="G79" s="37">
        <f>G69/K69</f>
        <v>0</v>
      </c>
      <c r="H79" s="37">
        <f>H69/K69</f>
        <v>0</v>
      </c>
      <c r="I79" s="37">
        <f>I69/K69</f>
        <v>1</v>
      </c>
      <c r="J79" s="36"/>
      <c r="K79" s="74"/>
      <c r="M79" s="38"/>
      <c r="N79" s="72"/>
      <c r="O79" s="72"/>
      <c r="P79" s="72"/>
      <c r="Q79" s="39"/>
      <c r="R79" s="4"/>
      <c r="S79" s="4"/>
      <c r="T79" s="4"/>
      <c r="U79" s="4"/>
    </row>
    <row r="80" spans="1:24" x14ac:dyDescent="0.25">
      <c r="E80" s="40"/>
      <c r="K80" s="41"/>
      <c r="M80" s="42"/>
      <c r="N80" s="4"/>
      <c r="O80" s="4"/>
      <c r="P80" s="4"/>
      <c r="Q80" s="4"/>
      <c r="R80" s="4"/>
      <c r="S80" s="4"/>
      <c r="T80" s="4"/>
      <c r="U80" s="4"/>
    </row>
    <row r="81" spans="5:25" x14ac:dyDescent="0.25">
      <c r="E81" s="40" t="s">
        <v>81</v>
      </c>
      <c r="K81" s="43">
        <v>250000</v>
      </c>
      <c r="M81" s="44"/>
      <c r="N81" s="39"/>
      <c r="O81" s="39"/>
      <c r="P81" s="39"/>
      <c r="Q81" s="39"/>
      <c r="R81" s="4"/>
      <c r="S81" s="4"/>
      <c r="T81" s="4"/>
      <c r="U81" s="4"/>
    </row>
    <row r="82" spans="5:25" x14ac:dyDescent="0.25">
      <c r="E82" s="40" t="s">
        <v>82</v>
      </c>
      <c r="K82" s="43">
        <v>0</v>
      </c>
      <c r="M82" s="32"/>
      <c r="N82" s="4"/>
      <c r="O82" s="4"/>
      <c r="P82" s="4"/>
      <c r="Q82" s="4"/>
      <c r="R82" s="4"/>
      <c r="S82" s="4"/>
      <c r="T82" s="4"/>
      <c r="U82" s="4"/>
    </row>
    <row r="83" spans="5:25" x14ac:dyDescent="0.25">
      <c r="E83" s="40"/>
      <c r="K83" s="43"/>
      <c r="M83" s="44"/>
      <c r="N83" s="4"/>
      <c r="O83" s="4"/>
      <c r="P83" s="4"/>
      <c r="Q83" s="4"/>
      <c r="R83" s="4"/>
      <c r="S83" s="4"/>
      <c r="T83" s="4"/>
      <c r="U83" s="4"/>
    </row>
    <row r="84" spans="5:25" x14ac:dyDescent="0.25">
      <c r="E84" s="40" t="s">
        <v>83</v>
      </c>
      <c r="K84" s="45">
        <f>SUM(K81:K83)</f>
        <v>250000</v>
      </c>
      <c r="M84" s="44"/>
      <c r="N84" s="4"/>
      <c r="O84" s="4"/>
      <c r="P84" s="4"/>
      <c r="Q84" s="4"/>
      <c r="R84" s="4"/>
      <c r="S84" s="4"/>
      <c r="T84" s="4"/>
      <c r="U84" s="4"/>
    </row>
    <row r="85" spans="5:25" x14ac:dyDescent="0.25">
      <c r="E85" s="40" t="s">
        <v>84</v>
      </c>
      <c r="K85" s="43"/>
      <c r="M85" s="44"/>
      <c r="N85" s="4"/>
      <c r="O85" s="46"/>
      <c r="P85" s="46"/>
      <c r="Q85" s="39"/>
      <c r="R85" s="4"/>
      <c r="S85" s="4"/>
      <c r="T85" s="4"/>
      <c r="U85" s="4"/>
    </row>
    <row r="86" spans="5:25" x14ac:dyDescent="0.25">
      <c r="E86" s="40" t="s">
        <v>85</v>
      </c>
      <c r="K86" s="43"/>
      <c r="M86" s="44"/>
      <c r="N86" s="4"/>
      <c r="O86" s="46"/>
      <c r="P86" s="46"/>
      <c r="Q86" s="39"/>
      <c r="R86" s="4"/>
      <c r="S86" s="4"/>
      <c r="T86" s="4"/>
      <c r="U86" s="4"/>
    </row>
    <row r="87" spans="5:25" x14ac:dyDescent="0.25">
      <c r="E87" s="40"/>
      <c r="K87" s="43"/>
      <c r="M87" s="44"/>
      <c r="N87" s="4"/>
      <c r="O87" s="46"/>
      <c r="P87" s="46"/>
      <c r="Q87" s="39"/>
      <c r="R87" s="4"/>
      <c r="S87" s="4"/>
      <c r="T87" s="4"/>
      <c r="U87" s="4"/>
    </row>
    <row r="88" spans="5:25" ht="13" thickBot="1" x14ac:dyDescent="0.3">
      <c r="E88" s="40" t="s">
        <v>86</v>
      </c>
      <c r="K88" s="47">
        <f>K84-K85-K86-K87</f>
        <v>250000</v>
      </c>
      <c r="M88" s="44"/>
      <c r="N88" s="4"/>
      <c r="O88" s="4"/>
      <c r="P88" s="4"/>
      <c r="Q88" s="4"/>
      <c r="R88" s="4"/>
      <c r="S88" s="4"/>
      <c r="T88" s="4"/>
      <c r="U88" s="4"/>
    </row>
    <row r="89" spans="5:25" ht="13" thickTop="1" x14ac:dyDescent="0.25">
      <c r="E89" s="40"/>
      <c r="J89" s="48" t="s">
        <v>87</v>
      </c>
      <c r="K89" s="43"/>
      <c r="M89" s="44"/>
      <c r="N89" s="4"/>
      <c r="O89" s="4"/>
      <c r="P89" s="4"/>
      <c r="Q89" s="39"/>
      <c r="R89" s="4"/>
      <c r="S89" s="4"/>
      <c r="T89" s="4"/>
      <c r="U89" s="4"/>
    </row>
    <row r="90" spans="5:25" x14ac:dyDescent="0.25">
      <c r="E90" s="40" t="s">
        <v>81</v>
      </c>
      <c r="G90" s="49">
        <v>173002</v>
      </c>
      <c r="H90" s="49">
        <v>1384</v>
      </c>
      <c r="I90" s="49">
        <v>10629</v>
      </c>
      <c r="J90" s="49"/>
      <c r="K90" s="43"/>
      <c r="M90" s="44"/>
      <c r="N90" s="4"/>
      <c r="O90" s="4"/>
      <c r="P90" s="4"/>
      <c r="Q90" s="4"/>
      <c r="R90" s="4"/>
      <c r="S90" s="4"/>
      <c r="T90" s="4"/>
      <c r="U90" s="4">
        <v>0</v>
      </c>
      <c r="Y90" s="4">
        <v>900323.36</v>
      </c>
    </row>
    <row r="91" spans="5:25" x14ac:dyDescent="0.25">
      <c r="E91" s="40" t="s">
        <v>88</v>
      </c>
      <c r="G91" s="49">
        <v>0</v>
      </c>
      <c r="H91" s="50">
        <v>0</v>
      </c>
      <c r="I91" s="50">
        <v>0</v>
      </c>
      <c r="K91" s="41"/>
      <c r="M91" s="32"/>
      <c r="N91" s="4"/>
      <c r="O91" s="4"/>
      <c r="P91" s="4"/>
      <c r="Q91" s="4"/>
      <c r="R91" s="4"/>
      <c r="S91" s="4"/>
      <c r="T91" s="4"/>
      <c r="U91" s="4"/>
    </row>
    <row r="92" spans="5:25" ht="13" thickBot="1" x14ac:dyDescent="0.3">
      <c r="E92" s="40" t="s">
        <v>89</v>
      </c>
      <c r="G92" s="51">
        <f>G90+G91</f>
        <v>173002</v>
      </c>
      <c r="H92" s="51">
        <f t="shared" ref="H92" si="9">H90+H91</f>
        <v>1384</v>
      </c>
      <c r="I92" s="51">
        <f>I90+I91</f>
        <v>10629</v>
      </c>
      <c r="J92" s="2"/>
      <c r="K92" s="43"/>
      <c r="M92" s="32"/>
      <c r="N92" s="4"/>
      <c r="O92" s="4"/>
      <c r="P92" s="15"/>
      <c r="Q92" s="4"/>
      <c r="R92" s="4"/>
      <c r="S92" s="4"/>
      <c r="T92" s="4"/>
      <c r="U92" s="4"/>
    </row>
    <row r="93" spans="5:25" ht="13.5" thickTop="1" thickBot="1" x14ac:dyDescent="0.3">
      <c r="E93" s="40" t="s">
        <v>90</v>
      </c>
      <c r="G93" s="73">
        <f>G92/$K$88</f>
        <v>0.69200799999999996</v>
      </c>
      <c r="H93" s="73">
        <f t="shared" ref="H93:I93" si="10">H92/$K$88</f>
        <v>5.5360000000000001E-3</v>
      </c>
      <c r="I93" s="73">
        <f t="shared" si="10"/>
        <v>4.2515999999999998E-2</v>
      </c>
      <c r="J93" s="49"/>
      <c r="K93" s="43"/>
      <c r="M93" s="32"/>
      <c r="N93" s="4"/>
      <c r="O93" s="4"/>
      <c r="P93" s="4"/>
      <c r="Q93" s="4"/>
      <c r="R93" s="4"/>
      <c r="S93" s="4"/>
      <c r="T93" s="4"/>
      <c r="U93" s="4"/>
    </row>
    <row r="94" spans="5:25" ht="13.5" thickTop="1" thickBot="1" x14ac:dyDescent="0.3">
      <c r="E94" s="52"/>
      <c r="F94" s="53"/>
      <c r="G94" s="54" t="s">
        <v>91</v>
      </c>
      <c r="H94" s="54" t="s">
        <v>92</v>
      </c>
      <c r="I94" s="54" t="s">
        <v>5</v>
      </c>
      <c r="J94" s="53"/>
      <c r="K94" s="55"/>
      <c r="M94" s="32"/>
      <c r="N94" s="56"/>
      <c r="O94" s="56"/>
      <c r="P94" s="56"/>
      <c r="Q94" s="4"/>
      <c r="R94" s="4"/>
      <c r="S94" s="4"/>
      <c r="T94" s="4"/>
      <c r="U94" s="4"/>
    </row>
    <row r="95" spans="5:25" x14ac:dyDescent="0.25">
      <c r="J95" s="36"/>
      <c r="K95" s="57"/>
      <c r="M95" s="32"/>
      <c r="N95" s="56"/>
      <c r="O95" s="56"/>
      <c r="P95" s="56"/>
      <c r="Q95" s="4"/>
      <c r="R95" s="4"/>
      <c r="S95" s="4"/>
      <c r="T95" s="4"/>
      <c r="U95" s="4"/>
    </row>
    <row r="96" spans="5:25" x14ac:dyDescent="0.25">
      <c r="J96" s="49"/>
      <c r="K96" s="49"/>
      <c r="M96" s="32"/>
      <c r="N96" s="4"/>
      <c r="O96" s="4"/>
      <c r="P96" s="4"/>
      <c r="Q96" s="4"/>
      <c r="R96" s="4"/>
      <c r="S96" s="4"/>
      <c r="T96" s="4"/>
      <c r="U96" s="4"/>
    </row>
    <row r="97" spans="5:21" x14ac:dyDescent="0.25">
      <c r="E97" s="58"/>
      <c r="G97" s="49"/>
      <c r="H97" s="49"/>
      <c r="I97" s="59"/>
      <c r="J97" s="60"/>
      <c r="K97" s="59"/>
      <c r="M97" s="32"/>
      <c r="N97" s="4"/>
      <c r="O97" s="4"/>
      <c r="P97" s="4"/>
      <c r="Q97" s="4"/>
      <c r="R97" s="4"/>
      <c r="S97" s="4"/>
      <c r="T97" s="4"/>
      <c r="U97" s="4"/>
    </row>
    <row r="98" spans="5:21" x14ac:dyDescent="0.25">
      <c r="I98" s="59"/>
      <c r="J98" s="60"/>
      <c r="K98" s="60"/>
      <c r="M98" s="44"/>
      <c r="N98" s="61"/>
      <c r="O98" s="61"/>
      <c r="P98" s="61"/>
      <c r="Q98" s="4"/>
      <c r="R98" s="4"/>
      <c r="S98" s="4"/>
      <c r="T98" s="4"/>
      <c r="U98" s="4"/>
    </row>
    <row r="99" spans="5:21" x14ac:dyDescent="0.25">
      <c r="H99" s="49"/>
      <c r="I99" s="49"/>
      <c r="M99" s="32"/>
      <c r="N99" s="4"/>
      <c r="O99" s="4"/>
      <c r="P99" s="4"/>
      <c r="Q99" s="4"/>
      <c r="R99" s="4"/>
      <c r="S99" s="4"/>
      <c r="T99" s="4"/>
      <c r="U99" s="4"/>
    </row>
    <row r="100" spans="5:21" x14ac:dyDescent="0.25">
      <c r="G100" s="62"/>
      <c r="H100" s="62"/>
      <c r="I100" s="62"/>
      <c r="M100" s="32"/>
      <c r="N100" s="32"/>
      <c r="O100" s="32"/>
      <c r="P100" s="32"/>
      <c r="Q100" s="32"/>
      <c r="R100" s="32"/>
      <c r="S100" s="32"/>
      <c r="T100" s="32"/>
      <c r="U100" s="32"/>
    </row>
    <row r="101" spans="5:21" x14ac:dyDescent="0.25">
      <c r="G101" s="49"/>
      <c r="H101" s="49"/>
      <c r="I101" s="49"/>
      <c r="M101" s="32"/>
      <c r="N101" s="32"/>
      <c r="O101" s="32"/>
      <c r="P101" s="32"/>
      <c r="Q101" s="32"/>
      <c r="R101" s="32"/>
      <c r="S101" s="32"/>
      <c r="T101" s="32"/>
      <c r="U101" s="32"/>
    </row>
    <row r="102" spans="5:21" x14ac:dyDescent="0.25">
      <c r="G102" s="62"/>
      <c r="H102" s="62"/>
      <c r="I102" s="62"/>
      <c r="M102" s="32"/>
      <c r="N102" s="32"/>
      <c r="O102" s="32"/>
      <c r="P102" s="32"/>
      <c r="Q102" s="32"/>
      <c r="R102" s="32"/>
      <c r="S102" s="32"/>
      <c r="T102" s="32"/>
      <c r="U102" s="32"/>
    </row>
    <row r="103" spans="5:21" x14ac:dyDescent="0.25">
      <c r="G103" s="63"/>
      <c r="H103" s="63"/>
      <c r="I103" s="63"/>
      <c r="M103" s="32"/>
      <c r="N103" s="32"/>
      <c r="O103" s="32"/>
      <c r="P103" s="32"/>
      <c r="Q103" s="32"/>
      <c r="R103" s="32"/>
      <c r="S103" s="32"/>
      <c r="T103" s="32"/>
      <c r="U103" s="32"/>
    </row>
    <row r="104" spans="5:21" x14ac:dyDescent="0.25">
      <c r="G104" s="49"/>
      <c r="H104" s="49"/>
      <c r="I104" s="49"/>
      <c r="M104" s="32"/>
      <c r="N104" s="32"/>
      <c r="O104" s="32"/>
      <c r="P104" s="32"/>
      <c r="Q104" s="32"/>
      <c r="R104" s="32"/>
      <c r="S104" s="32"/>
      <c r="T104" s="32"/>
      <c r="U104" s="32"/>
    </row>
    <row r="105" spans="5:21" x14ac:dyDescent="0.25">
      <c r="M105" s="32"/>
      <c r="N105" s="32"/>
      <c r="O105" s="32"/>
      <c r="P105" s="32"/>
      <c r="Q105" s="32"/>
      <c r="R105" s="32"/>
      <c r="S105" s="32"/>
      <c r="T105" s="32"/>
      <c r="U105" s="32"/>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17" ma:contentTypeDescription="Create a new document." ma:contentTypeScope="" ma:versionID="81faa06ba1568ca7c427ab21e68d9eda">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627953a9ec9bbb9f77d67bbc3330a37c"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ocumentManagement>
</p:properties>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1MDc3PC9Vc2VyTmFtZT48RGF0ZVRpbWU+OC84LzIwMjIgNTo1NDoxNyBQTTwvRGF0ZVRpbWU+PExhYmVsU3RyaW5nPlVuY2F0ZWdvcml6ZWQ8L0xhYmVsU3RyaW5nPjwvaXRlbT48L2xhYmVsSGlzdG9yeT4=</Value>
</WrappedLabelHistor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sisl>
</file>

<file path=customXml/itemProps1.xml><?xml version="1.0" encoding="utf-8"?>
<ds:datastoreItem xmlns:ds="http://schemas.openxmlformats.org/officeDocument/2006/customXml" ds:itemID="{140446C6-94CC-4B9A-8F08-DC5FA36E8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2DF3F9-F415-428E-81E3-C31BFA7B9AFA}">
  <ds:schemaRefs>
    <ds:schemaRef ds:uri="f88ffb1c-9230-4705-a789-27bae69f5829"/>
    <ds:schemaRef ds:uri="http://schemas.microsoft.com/office/infopath/2007/PartnerControls"/>
    <ds:schemaRef ds:uri="http://www.w3.org/XML/1998/namespace"/>
    <ds:schemaRef ds:uri="b6888f76-1100-40b0-929b-1efe9044426d"/>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C0D724BD-85D0-462F-878F-608525343D51}">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060C110C-83AC-4595-B992-C09ABF9D41BC}">
  <ds:schemaRefs>
    <ds:schemaRef ds:uri="http://schemas.microsoft.com/sharepoint/v3/contenttype/forms"/>
  </ds:schemaRefs>
</ds:datastoreItem>
</file>

<file path=customXml/itemProps5.xml><?xml version="1.0" encoding="utf-8"?>
<ds:datastoreItem xmlns:ds="http://schemas.openxmlformats.org/officeDocument/2006/customXml" ds:itemID="{631923BB-46F7-4E2D-9BB7-6EF8473DA73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Summary</vt:lpstr>
      <vt:lpstr>2023-00159 W16</vt:lpstr>
      <vt:lpstr>Jan 05 Snow-Ice Distr</vt:lpstr>
      <vt:lpstr>Feb 15 Thunderstorm_Dist</vt:lpstr>
      <vt:lpstr>Feb 15 Thunderstorm_Trans</vt:lpstr>
      <vt:lpstr>'Feb 15 Thunderstorm_Dist'!Print_Area</vt:lpstr>
      <vt:lpstr>'Feb 15 Thunderstorm_Trans'!Print_Area</vt:lpstr>
      <vt:lpstr>'Jan 05 Snow-Ice Distr'!Print_Area</vt:lpstr>
      <vt:lpstr>Summary!Print_Area</vt:lpstr>
      <vt:lpstr>'Feb 15 Thunderstorm_Dist'!Print_Titles</vt:lpstr>
      <vt:lpstr>'Feb 15 Thunderstorm_Trans'!Print_Titles</vt:lpstr>
      <vt:lpstr>'Jan 05 Snow-Ice Distr'!Print_Titles</vt:lpstr>
      <vt:lpstr>'Feb 15 Thunderstorm_Dist'!TotalOTHours</vt:lpstr>
      <vt:lpstr>'Feb 15 Thunderstorm_Trans'!TotalOTHours</vt:lpstr>
      <vt:lpstr>'Jan 05 Snow-Ice Distr'!TotalOTHours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s275077</dc:creator>
  <cp:keywords/>
  <cp:lastModifiedBy>Michelle Caldwell</cp:lastModifiedBy>
  <dcterms:created xsi:type="dcterms:W3CDTF">2021-03-15T15:22:35Z</dcterms:created>
  <dcterms:modified xsi:type="dcterms:W3CDTF">2025-12-18T16:52:56Z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b40fc02d-aca6-408b-8717-78e4a9d33a6e</vt:lpwstr>
  </property>
  <property fmtid="{D5CDD505-2E9C-101B-9397-08002B2CF9AE}" pid="3" name="bjDocumentSecurityLabel">
    <vt:lpwstr>Uncategorized</vt:lpwstr>
  </property>
  <property fmtid="{D5CDD505-2E9C-101B-9397-08002B2CF9AE}" pid="4" name="bjSaver">
    <vt:lpwstr>o4/sdbF8sMp5xLAtlg2VB+VDX7/DWUax</vt:lpwstr>
  </property>
  <property fmtid="{D5CDD505-2E9C-101B-9397-08002B2CF9AE}" pid="5" name="MSIP_Label_574d496c-7ac4-4b13-81fd-698eca66b217_SiteId">
    <vt:lpwstr>15f3c881-6b03-4ff6-8559-77bf5177818f</vt:lpwstr>
  </property>
  <property fmtid="{D5CDD505-2E9C-101B-9397-08002B2CF9AE}" pid="6" name="MSIP_Label_574d496c-7ac4-4b13-81fd-698eca66b217_Name">
    <vt:lpwstr>Uncategorized</vt:lpwstr>
  </property>
  <property fmtid="{D5CDD505-2E9C-101B-9397-08002B2CF9AE}" pid="7" name="MSIP_Label_574d496c-7ac4-4b13-81fd-698eca66b217_Enabled">
    <vt:lpwstr>true</vt:lpwstr>
  </property>
  <property fmtid="{D5CDD505-2E9C-101B-9397-08002B2CF9AE}" pid="8" name="bjClsUserRVM">
    <vt:lpwstr>[]</vt:lpwstr>
  </property>
  <property fmtid="{D5CDD505-2E9C-101B-9397-08002B2CF9AE}" pid="9" name="bjLabelHistoryID">
    <vt:lpwstr>{C0D724BD-85D0-462F-878F-608525343D51}</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uid="936e22d5-45a7-4cb7-95ab-1aa8c7c88789" value="" /&gt;&lt;/sisl&gt;</vt:lpwstr>
  </property>
  <property fmtid="{D5CDD505-2E9C-101B-9397-08002B2CF9AE}" pid="12" name="ContentTypeId">
    <vt:lpwstr>0x0101004DF805D1E1DA4A49A223477D3B105720</vt:lpwstr>
  </property>
  <property fmtid="{D5CDD505-2E9C-101B-9397-08002B2CF9AE}" pid="13" name="MediaServiceImageTags">
    <vt:lpwstr/>
  </property>
</Properties>
</file>