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ukeenergy-my.sharepoint.com/personal/debbie_gates_duke-energy_com/Documents/Documents/Regulatory/COV19 Regulatory Filings/2025-00024 DEK ESM Review/STAFF's 1st Set/"/>
    </mc:Choice>
  </mc:AlternateContent>
  <xr:revisionPtr revIDLastSave="0" documentId="13_ncr:1_{4573C646-0E32-4445-A293-3557EF5D5D12}" xr6:coauthVersionLast="47" xr6:coauthVersionMax="47" xr10:uidLastSave="{00000000-0000-0000-0000-000000000000}"/>
  <bookViews>
    <workbookView xWindow="1170" yWindow="1170" windowWidth="21600" windowHeight="11295" xr2:uid="{CB03D73C-08D3-4B37-9BFE-753C6767D4CC}"/>
  </bookViews>
  <sheets>
    <sheet name="Summary" sheetId="1" r:id="rId1"/>
    <sheet name="Support Schedule A" sheetId="2" r:id="rId2"/>
    <sheet name="Support Schedule B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2" i="1" l="1"/>
  <c r="G38" i="2" l="1"/>
  <c r="E39" i="2" l="1"/>
  <c r="H34" i="1" s="1"/>
  <c r="H51" i="1"/>
  <c r="H61" i="3" l="1"/>
  <c r="I61" i="3" s="1"/>
  <c r="I59" i="3" s="1"/>
  <c r="I57" i="3"/>
  <c r="H44" i="3" s="1"/>
  <c r="H37" i="3"/>
  <c r="H22" i="3"/>
  <c r="H24" i="3" s="1"/>
  <c r="H28" i="3" s="1"/>
  <c r="H42" i="3" s="1"/>
  <c r="H16" i="3"/>
  <c r="H12" i="3"/>
  <c r="B10" i="3"/>
  <c r="H46" i="3" l="1"/>
  <c r="H50" i="3" s="1"/>
  <c r="H52" i="3" s="1"/>
  <c r="B11" i="3"/>
  <c r="H48" i="3" l="1"/>
  <c r="B12" i="3"/>
  <c r="B14" i="3" l="1"/>
  <c r="B15" i="3"/>
  <c r="B16" i="3" l="1"/>
  <c r="B18" i="3"/>
  <c r="B19" i="3" l="1"/>
  <c r="B20" i="3" l="1"/>
  <c r="B21" i="3" l="1"/>
  <c r="B22" i="3"/>
  <c r="B24" i="3" s="1"/>
  <c r="B26" i="3" l="1"/>
  <c r="B28" i="3" s="1"/>
  <c r="B30" i="3" s="1"/>
  <c r="B32" i="3" s="1"/>
  <c r="B33" i="3" s="1"/>
  <c r="B34" i="3" s="1"/>
  <c r="B35" i="3" s="1"/>
  <c r="B36" i="3" s="1"/>
  <c r="B37" i="3" s="1"/>
  <c r="B39" i="3" s="1"/>
  <c r="B42" i="3" s="1"/>
  <c r="B44" i="3" s="1"/>
  <c r="B46" i="3" s="1"/>
  <c r="B48" i="3" s="1"/>
  <c r="B50" i="3" s="1"/>
  <c r="B51" i="3" s="1"/>
  <c r="B52" i="3" s="1"/>
  <c r="B57" i="3" s="1"/>
  <c r="B59" i="3" s="1"/>
  <c r="B61" i="3" s="1"/>
  <c r="B48" i="2" l="1"/>
  <c r="B26" i="2" l="1"/>
  <c r="C61" i="2" l="1"/>
  <c r="H39" i="1" s="1"/>
  <c r="B49" i="2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F38" i="2"/>
  <c r="H35" i="1" s="1"/>
  <c r="E38" i="2"/>
  <c r="D38" i="2"/>
  <c r="H33" i="1" s="1"/>
  <c r="C38" i="2"/>
  <c r="H32" i="1" s="1"/>
  <c r="H36" i="2"/>
  <c r="H35" i="2"/>
  <c r="H34" i="2"/>
  <c r="H33" i="2"/>
  <c r="H32" i="2"/>
  <c r="H31" i="2"/>
  <c r="H30" i="2"/>
  <c r="H29" i="2"/>
  <c r="H28" i="2"/>
  <c r="H27" i="2"/>
  <c r="H26" i="2"/>
  <c r="B27" i="2"/>
  <c r="B28" i="2" s="1"/>
  <c r="B29" i="2" s="1"/>
  <c r="B30" i="2" s="1"/>
  <c r="B31" i="2" s="1"/>
  <c r="B32" i="2" s="1"/>
  <c r="B33" i="2" s="1"/>
  <c r="B34" i="2" s="1"/>
  <c r="B35" i="2" s="1"/>
  <c r="B36" i="2" s="1"/>
  <c r="H25" i="2"/>
  <c r="H22" i="1"/>
  <c r="H16" i="1"/>
  <c r="H12" i="1"/>
  <c r="B10" i="1"/>
  <c r="H38" i="2" l="1"/>
  <c r="H36" i="1"/>
  <c r="H24" i="1"/>
  <c r="B11" i="1"/>
  <c r="B12" i="1" s="1"/>
  <c r="B14" i="1" l="1"/>
  <c r="B15" i="1" s="1"/>
  <c r="B16" i="1" l="1"/>
  <c r="B18" i="1" l="1"/>
  <c r="B24" i="1"/>
  <c r="B19" i="1"/>
  <c r="B20" i="1" s="1"/>
  <c r="B21" i="1" s="1"/>
  <c r="B22" i="1" s="1"/>
  <c r="C14" i="2" l="1"/>
  <c r="E13" i="2"/>
  <c r="G13" i="2" s="1"/>
  <c r="E12" i="2"/>
  <c r="G12" i="2" s="1"/>
  <c r="A12" i="2"/>
  <c r="A13" i="2" s="1"/>
  <c r="A14" i="2" s="1"/>
  <c r="A25" i="2" s="1"/>
  <c r="A26" i="2" s="1"/>
  <c r="A27" i="2" s="1"/>
  <c r="A28" i="2" s="1"/>
  <c r="A29" i="2" s="1"/>
  <c r="E11" i="2"/>
  <c r="E14" i="2" l="1"/>
  <c r="A30" i="2"/>
  <c r="A31" i="2" s="1"/>
  <c r="A32" i="2" s="1"/>
  <c r="A33" i="2" s="1"/>
  <c r="A34" i="2" s="1"/>
  <c r="A35" i="2" s="1"/>
  <c r="A36" i="2" s="1"/>
  <c r="A38" i="2" s="1"/>
  <c r="H37" i="1"/>
  <c r="G11" i="2"/>
  <c r="G14" i="2" s="1"/>
  <c r="H26" i="1" s="1"/>
  <c r="H28" i="1" s="1"/>
  <c r="A39" i="2" l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1" i="2" s="1"/>
  <c r="H42" i="1"/>
  <c r="B26" i="1"/>
  <c r="B28" i="1" l="1"/>
  <c r="B30" i="1" s="1"/>
  <c r="B32" i="1" s="1"/>
  <c r="B33" i="1" s="1"/>
  <c r="B34" i="1" s="1"/>
  <c r="H61" i="1"/>
  <c r="I61" i="1" s="1"/>
  <c r="B35" i="1" l="1"/>
  <c r="B36" i="1" s="1"/>
  <c r="B37" i="1" s="1"/>
  <c r="I57" i="1"/>
  <c r="H44" i="1" s="1"/>
  <c r="H46" i="1" s="1"/>
  <c r="B39" i="1" l="1"/>
  <c r="B42" i="1" s="1"/>
  <c r="B44" i="1" s="1"/>
  <c r="I59" i="1"/>
  <c r="H50" i="1"/>
  <c r="H48" i="1"/>
  <c r="B46" i="1" l="1"/>
  <c r="B48" i="1" l="1"/>
  <c r="B50" i="1" l="1"/>
  <c r="B51" i="1" s="1"/>
  <c r="B52" i="1" s="1"/>
  <c r="B57" i="1" s="1"/>
  <c r="B59" i="1" s="1"/>
  <c r="B61" i="1" s="1"/>
</calcChain>
</file>

<file path=xl/sharedStrings.xml><?xml version="1.0" encoding="utf-8"?>
<sst xmlns="http://schemas.openxmlformats.org/spreadsheetml/2006/main" count="172" uniqueCount="97">
  <si>
    <t>Line</t>
  </si>
  <si>
    <t>Environmental</t>
  </si>
  <si>
    <t>No.</t>
  </si>
  <si>
    <t xml:space="preserve">  E(m) = RORB + OE - EAS + Prior Period Adjustment + (Over)/Under Recovery</t>
  </si>
  <si>
    <t>Source</t>
  </si>
  <si>
    <t>Compliance Plans</t>
  </si>
  <si>
    <t>Environmental Compliance Rate Base (RB)</t>
  </si>
  <si>
    <t>Pretax Rate of Return (ROR)</t>
  </si>
  <si>
    <t>Return on the Environmental Compliance Rate Base (RORB)</t>
  </si>
  <si>
    <t xml:space="preserve">  Sub-Total E(m)</t>
  </si>
  <si>
    <t>Jurisdictional Allocation Ratio for Expense Month</t>
  </si>
  <si>
    <t>(A)</t>
  </si>
  <si>
    <t>Jurisdictional E(m) to be Recovered in Rider PSM</t>
  </si>
  <si>
    <t>Jurisdictional Environmental Surcharge Gross Revenue Requirement -- Gross Roll In Amount</t>
  </si>
  <si>
    <t>Less Jurisdictional Environmental Revenue Previously Rolled In</t>
  </si>
  <si>
    <t>Jurisdictional Environmental Surcharge Gross Revenue Requirement -- Net Roll In Amount</t>
  </si>
  <si>
    <t xml:space="preserve">Retail Revenue  </t>
  </si>
  <si>
    <t>Sales for Resale</t>
  </si>
  <si>
    <t xml:space="preserve">Total Revenue  </t>
  </si>
  <si>
    <t>Cost of Capital</t>
  </si>
  <si>
    <t xml:space="preserve">Weighted </t>
  </si>
  <si>
    <t>Gross up for</t>
  </si>
  <si>
    <t xml:space="preserve">Pre-Tax </t>
  </si>
  <si>
    <t>Capital Structure</t>
  </si>
  <si>
    <t>Ratio</t>
  </si>
  <si>
    <t>Cost</t>
  </si>
  <si>
    <t>Tax Rate</t>
  </si>
  <si>
    <t>Rate of Return</t>
  </si>
  <si>
    <t>(B)</t>
  </si>
  <si>
    <t>Short-term Debt</t>
  </si>
  <si>
    <t>Long-term Debt</t>
  </si>
  <si>
    <t>Common Equity</t>
  </si>
  <si>
    <t xml:space="preserve">  Total</t>
  </si>
  <si>
    <t>Note:  Capital structure, cost of debt and tax rate gross-up factor as approved in Case No. 2022-00372.</t>
  </si>
  <si>
    <t xml:space="preserve">          These rates are to remain constant until the Commission sets base rates in Duke Kentucky's next</t>
  </si>
  <si>
    <t xml:space="preserve">          base rate case proceeding.</t>
  </si>
  <si>
    <t>Eligible Environmental Compliance Plant (Gross Plant) Excluding AFUDC</t>
  </si>
  <si>
    <t>Eligible Environmental Compliance CWIP Excluding AFUDC</t>
  </si>
  <si>
    <t>Subtotal</t>
  </si>
  <si>
    <t>Additions:</t>
  </si>
  <si>
    <t>Inventory - Emission Allowances</t>
  </si>
  <si>
    <t xml:space="preserve"> </t>
  </si>
  <si>
    <t>Deductions:</t>
  </si>
  <si>
    <t>Accumulated Depreciation on Eligible Environmental Compliance Plant</t>
  </si>
  <si>
    <t>Accumulated Deferred Income Taxes on Eligible Environmental Compliance Plant</t>
  </si>
  <si>
    <t>Accumulated Deferred Investment Tax Credits (ITC) on Eligible Environmental Compliance Plant</t>
  </si>
  <si>
    <t>Determination of Environmental Compliance Operating Expenses (OE)</t>
  </si>
  <si>
    <t>Annual Depreciation Expense</t>
  </si>
  <si>
    <t>Annual Taxes Other Than Income Taxes</t>
  </si>
  <si>
    <t>Total Environmental Compliance Operating Expense</t>
  </si>
  <si>
    <t xml:space="preserve">Depreciation </t>
  </si>
  <si>
    <t>Taxes Other than Income Taxes</t>
  </si>
  <si>
    <t>Amortization</t>
  </si>
  <si>
    <t>Emission Allowance Expense</t>
  </si>
  <si>
    <t>Environmental Reagent Expense</t>
  </si>
  <si>
    <t>Total</t>
  </si>
  <si>
    <t>Annnual Amortization Expense</t>
  </si>
  <si>
    <t>Annual Emission Allowance Expense</t>
  </si>
  <si>
    <t>Annual Environmental Reagent Expense</t>
  </si>
  <si>
    <t xml:space="preserve">Total Jurisdictional E(m) </t>
  </si>
  <si>
    <t>(12) x (13)</t>
  </si>
  <si>
    <t>DUKE ENERGY KENTUCKY, INC.</t>
  </si>
  <si>
    <t>Supporting Schedule A</t>
  </si>
  <si>
    <t>Expense Month</t>
  </si>
  <si>
    <t>(A) x (B)</t>
  </si>
  <si>
    <t>See Supporting Schedule A, line 4</t>
  </si>
  <si>
    <t>See Supporting Schedule A, line 17</t>
  </si>
  <si>
    <t>Emission Allowance Proceeds</t>
  </si>
  <si>
    <t>Less: Annual Proceeds from Emission Allowance Sales (EAS)</t>
  </si>
  <si>
    <t>Line No.</t>
  </si>
  <si>
    <t>(14) + (21) - (22)</t>
  </si>
  <si>
    <t xml:space="preserve"> (23) x (24)</t>
  </si>
  <si>
    <t>(23) - (25)</t>
  </si>
  <si>
    <t>(25)</t>
  </si>
  <si>
    <t>(27) - (28)</t>
  </si>
  <si>
    <t>(30) + (31)</t>
  </si>
  <si>
    <t>(16) +(17) + (18) + (19) + (20)</t>
  </si>
  <si>
    <t>Calculation of ESM Roll-Into Base Rates At March 2024</t>
  </si>
  <si>
    <t>12-Month Balances for Selected Compliance Operating Expenses</t>
  </si>
  <si>
    <t>Calculation of Jurisdictional Allocation Ratio - 12-Month Average</t>
  </si>
  <si>
    <t>ES Form 2.00, March 2024</t>
  </si>
  <si>
    <t>ES Form 3.00, March 2024</t>
  </si>
  <si>
    <t>Company Records</t>
  </si>
  <si>
    <t>12-Month Balances for Proceeds of Emmission Allowances</t>
  </si>
  <si>
    <t>Calculation of ESM Roll-Into Base Rates At March 2022</t>
  </si>
  <si>
    <t>ES Form 2.00, March 2022</t>
  </si>
  <si>
    <t>Calculation of Jurisdictional Allocation Ratio - 12 Month Average</t>
  </si>
  <si>
    <t>ES Form 3.00, March 2022</t>
  </si>
  <si>
    <t>Supporting Schedule B</t>
  </si>
  <si>
    <t>Line 30</t>
  </si>
  <si>
    <t>See Supporting Schedule B, line 29</t>
  </si>
  <si>
    <t>(Approved in Case No. 2023-00374)</t>
  </si>
  <si>
    <r>
      <t xml:space="preserve">Annualized Amortization March 2024 </t>
    </r>
    <r>
      <rPr>
        <vertAlign val="superscript"/>
        <sz val="10"/>
        <color theme="1"/>
        <rFont val="Arial"/>
        <family val="2"/>
      </rPr>
      <t>(a)</t>
    </r>
  </si>
  <si>
    <t>See Supporting Schedule A, line 18</t>
  </si>
  <si>
    <t xml:space="preserve">Note (a): Annualized amortization for March 2024 has been used in the caclulation of the gross revenue requirement roll-in amount instead of the </t>
  </si>
  <si>
    <t>See Supporting Schedule A, line 31</t>
  </si>
  <si>
    <t>summation of the 12-months ended March 2024 because this is more representative of what is occurring in recent months in the actual ESM filings.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</si>
</sst>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_);_(&quot;$&quot;* \(#,##0.00\);_(&quot;$&quot;* &quot;-&quot;_);_(@_)"/>
    <numFmt numFmtId="165" formatCode="0.000%"/>
    <numFmt numFmtId="166" formatCode="_(&quot;$&quot;* #,##0_);_(&quot;$&quot;* \(#,##0\);_(&quot;$&quot;* &quot;-&quot;??_);_(@_)"/>
    <numFmt numFmtId="167" formatCode="[$-409]mmm\-yy;@"/>
    <numFmt numFmtId="168" formatCode="_(* #,##0_);_(* \(#,##0\);_(* &quot;-&quot;??_);_(@_)"/>
    <numFmt numFmtId="169" formatCode="m/d/yy;@"/>
  </numFmts>
  <fonts count="15" x14ac:knownFonts="1"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sz val="8"/>
      <name val="Times New Roman"/>
      <family val="1"/>
    </font>
    <font>
      <u/>
      <sz val="10"/>
      <color theme="1"/>
      <name val="Arial"/>
      <family val="2"/>
    </font>
    <font>
      <b/>
      <u/>
      <sz val="10"/>
      <color theme="1"/>
      <name val="Arial"/>
      <family val="2"/>
    </font>
    <font>
      <sz val="8"/>
      <name val="Arial"/>
      <family val="2"/>
    </font>
    <font>
      <vertAlign val="superscript"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2">
    <xf numFmtId="0" fontId="0" fillId="0" borderId="0" xfId="0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"/>
    </xf>
    <xf numFmtId="0" fontId="4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quotePrefix="1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quotePrefix="1" applyAlignment="1">
      <alignment horizontal="center"/>
    </xf>
    <xf numFmtId="0" fontId="0" fillId="0" borderId="0" xfId="0" applyAlignment="1">
      <alignment horizontal="center"/>
    </xf>
    <xf numFmtId="42" fontId="0" fillId="0" borderId="0" xfId="0" applyNumberFormat="1"/>
    <xf numFmtId="0" fontId="0" fillId="0" borderId="0" xfId="0" quotePrefix="1" applyAlignment="1">
      <alignment horizontal="left"/>
    </xf>
    <xf numFmtId="164" fontId="0" fillId="0" borderId="0" xfId="0" applyNumberFormat="1"/>
    <xf numFmtId="165" fontId="7" fillId="0" borderId="0" xfId="0" applyNumberFormat="1" applyFont="1"/>
    <xf numFmtId="164" fontId="8" fillId="0" borderId="2" xfId="0" applyNumberFormat="1" applyFont="1" applyBorder="1"/>
    <xf numFmtId="42" fontId="0" fillId="0" borderId="1" xfId="0" applyNumberFormat="1" applyBorder="1"/>
    <xf numFmtId="0" fontId="0" fillId="0" borderId="0" xfId="0" applyAlignment="1">
      <alignment horizontal="center" vertical="top"/>
    </xf>
    <xf numFmtId="10" fontId="7" fillId="0" borderId="0" xfId="0" applyNumberFormat="1" applyFont="1"/>
    <xf numFmtId="42" fontId="0" fillId="0" borderId="3" xfId="0" applyNumberFormat="1" applyBorder="1"/>
    <xf numFmtId="0" fontId="7" fillId="0" borderId="0" xfId="0" applyFont="1"/>
    <xf numFmtId="42" fontId="6" fillId="0" borderId="0" xfId="0" applyNumberFormat="1" applyFont="1"/>
    <xf numFmtId="0" fontId="10" fillId="0" borderId="0" xfId="0" applyFont="1"/>
    <xf numFmtId="0" fontId="6" fillId="0" borderId="0" xfId="0" applyFont="1"/>
    <xf numFmtId="0" fontId="3" fillId="0" borderId="0" xfId="0" applyFont="1" applyAlignment="1">
      <alignment horizontal="left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7" xfId="0" quotePrefix="1" applyBorder="1" applyAlignment="1">
      <alignment horizontal="center"/>
    </xf>
    <xf numFmtId="10" fontId="0" fillId="0" borderId="8" xfId="0" applyNumberFormat="1" applyBorder="1" applyAlignment="1">
      <alignment horizontal="right"/>
    </xf>
    <xf numFmtId="0" fontId="0" fillId="0" borderId="1" xfId="0" applyBorder="1"/>
    <xf numFmtId="0" fontId="0" fillId="0" borderId="10" xfId="0" applyBorder="1"/>
    <xf numFmtId="0" fontId="3" fillId="0" borderId="5" xfId="0" applyFont="1" applyBorder="1" applyAlignment="1">
      <alignment horizontal="left"/>
    </xf>
    <xf numFmtId="0" fontId="0" fillId="0" borderId="6" xfId="0" applyBorder="1"/>
    <xf numFmtId="42" fontId="7" fillId="0" borderId="0" xfId="0" applyNumberFormat="1" applyFont="1"/>
    <xf numFmtId="0" fontId="0" fillId="0" borderId="8" xfId="0" applyBorder="1"/>
    <xf numFmtId="10" fontId="0" fillId="0" borderId="8" xfId="0" applyNumberFormat="1" applyBorder="1"/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165" fontId="7" fillId="0" borderId="0" xfId="3" applyNumberFormat="1" applyFont="1" applyFill="1" applyAlignment="1">
      <alignment horizontal="right" indent="1"/>
    </xf>
    <xf numFmtId="165" fontId="9" fillId="0" borderId="0" xfId="3" applyNumberFormat="1" applyFont="1" applyFill="1" applyAlignment="1">
      <alignment horizontal="right" indent="1"/>
    </xf>
    <xf numFmtId="165" fontId="7" fillId="0" borderId="1" xfId="3" applyNumberFormat="1" applyFont="1" applyFill="1" applyBorder="1" applyAlignment="1">
      <alignment horizontal="right" indent="1"/>
    </xf>
    <xf numFmtId="165" fontId="9" fillId="0" borderId="1" xfId="3" applyNumberFormat="1" applyFont="1" applyFill="1" applyBorder="1" applyAlignment="1">
      <alignment horizontal="right" indent="1"/>
    </xf>
    <xf numFmtId="165" fontId="9" fillId="0" borderId="0" xfId="3" applyNumberFormat="1" applyFont="1" applyFill="1" applyBorder="1" applyAlignment="1">
      <alignment horizontal="right" indent="1"/>
    </xf>
    <xf numFmtId="0" fontId="0" fillId="0" borderId="11" xfId="0" applyBorder="1"/>
    <xf numFmtId="41" fontId="0" fillId="0" borderId="1" xfId="0" applyNumberFormat="1" applyBorder="1"/>
    <xf numFmtId="0" fontId="0" fillId="0" borderId="0" xfId="0" applyAlignment="1">
      <alignment horizontal="left" indent="1"/>
    </xf>
    <xf numFmtId="166" fontId="0" fillId="0" borderId="0" xfId="0" applyNumberFormat="1"/>
    <xf numFmtId="0" fontId="11" fillId="0" borderId="0" xfId="0" applyFont="1"/>
    <xf numFmtId="0" fontId="11" fillId="0" borderId="0" xfId="0" applyFont="1" applyAlignment="1">
      <alignment horizontal="left"/>
    </xf>
    <xf numFmtId="41" fontId="0" fillId="0" borderId="0" xfId="0" applyNumberFormat="1"/>
    <xf numFmtId="0" fontId="12" fillId="0" borderId="0" xfId="0" applyFont="1"/>
    <xf numFmtId="42" fontId="9" fillId="0" borderId="2" xfId="2" applyNumberFormat="1" applyFont="1" applyFill="1" applyBorder="1"/>
    <xf numFmtId="168" fontId="7" fillId="0" borderId="0" xfId="1" applyNumberFormat="1" applyFont="1" applyFill="1"/>
    <xf numFmtId="41" fontId="9" fillId="0" borderId="0" xfId="1" applyNumberFormat="1" applyFont="1" applyFill="1" applyBorder="1"/>
    <xf numFmtId="41" fontId="9" fillId="0" borderId="1" xfId="1" applyNumberFormat="1" applyFont="1" applyFill="1" applyBorder="1"/>
    <xf numFmtId="168" fontId="7" fillId="0" borderId="1" xfId="1" applyNumberFormat="1" applyFont="1" applyFill="1" applyBorder="1"/>
    <xf numFmtId="0" fontId="9" fillId="0" borderId="1" xfId="0" applyFont="1" applyBorder="1"/>
    <xf numFmtId="165" fontId="0" fillId="0" borderId="0" xfId="0" applyNumberFormat="1" applyAlignment="1">
      <alignment horizontal="right" indent="1"/>
    </xf>
    <xf numFmtId="0" fontId="0" fillId="0" borderId="0" xfId="0" applyAlignment="1">
      <alignment horizontal="right" indent="1"/>
    </xf>
    <xf numFmtId="0" fontId="5" fillId="0" borderId="0" xfId="0" applyFont="1" applyAlignment="1">
      <alignment horizontal="center"/>
    </xf>
    <xf numFmtId="164" fontId="6" fillId="0" borderId="0" xfId="0" applyNumberFormat="1" applyFont="1"/>
    <xf numFmtId="10" fontId="6" fillId="0" borderId="0" xfId="0" applyNumberFormat="1" applyFont="1"/>
    <xf numFmtId="42" fontId="9" fillId="0" borderId="0" xfId="0" applyNumberFormat="1" applyFont="1"/>
    <xf numFmtId="0" fontId="7" fillId="0" borderId="0" xfId="0" quotePrefix="1" applyFont="1" applyAlignment="1">
      <alignment horizontal="left"/>
    </xf>
    <xf numFmtId="42" fontId="7" fillId="0" borderId="4" xfId="0" applyNumberFormat="1" applyFont="1" applyBorder="1"/>
    <xf numFmtId="0" fontId="7" fillId="0" borderId="0" xfId="0" quotePrefix="1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/>
    <xf numFmtId="167" fontId="7" fillId="0" borderId="0" xfId="0" applyNumberFormat="1" applyFont="1" applyAlignment="1">
      <alignment horizontal="center"/>
    </xf>
    <xf numFmtId="17" fontId="7" fillId="0" borderId="0" xfId="0" applyNumberFormat="1" applyFont="1" applyAlignment="1">
      <alignment horizontal="center"/>
    </xf>
    <xf numFmtId="17" fontId="7" fillId="0" borderId="0" xfId="0" quotePrefix="1" applyNumberFormat="1" applyFont="1" applyAlignment="1">
      <alignment horizontal="center"/>
    </xf>
    <xf numFmtId="166" fontId="7" fillId="0" borderId="0" xfId="2" applyNumberFormat="1" applyFont="1" applyFill="1"/>
    <xf numFmtId="44" fontId="0" fillId="0" borderId="0" xfId="2" applyFont="1"/>
    <xf numFmtId="44" fontId="0" fillId="0" borderId="3" xfId="2" applyFont="1" applyBorder="1"/>
    <xf numFmtId="43" fontId="0" fillId="0" borderId="0" xfId="2" applyNumberFormat="1" applyFont="1"/>
    <xf numFmtId="43" fontId="0" fillId="0" borderId="1" xfId="2" applyNumberFormat="1" applyFont="1" applyBorder="1"/>
    <xf numFmtId="0" fontId="4" fillId="0" borderId="1" xfId="0" applyFont="1" applyBorder="1"/>
    <xf numFmtId="0" fontId="4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6" fontId="0" fillId="0" borderId="0" xfId="0" applyNumberFormat="1"/>
    <xf numFmtId="169" fontId="0" fillId="0" borderId="0" xfId="0" applyNumberFormat="1"/>
    <xf numFmtId="164" fontId="8" fillId="0" borderId="0" xfId="0" applyNumberFormat="1" applyFont="1"/>
    <xf numFmtId="43" fontId="7" fillId="0" borderId="0" xfId="1" applyFont="1" applyBorder="1"/>
    <xf numFmtId="166" fontId="7" fillId="0" borderId="3" xfId="2" applyNumberFormat="1" applyFont="1" applyFill="1" applyBorder="1"/>
    <xf numFmtId="166" fontId="7" fillId="0" borderId="0" xfId="2" applyNumberFormat="1" applyFont="1" applyFill="1" applyBorder="1"/>
    <xf numFmtId="168" fontId="7" fillId="0" borderId="0" xfId="1" applyNumberFormat="1" applyFont="1" applyFill="1" applyBorder="1"/>
    <xf numFmtId="0" fontId="3" fillId="0" borderId="0" xfId="0" applyFont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C9DFC-11AD-4C76-9FF7-6D7DFBCFB85D}">
  <sheetPr codeName="Sheet3">
    <pageSetUpPr fitToPage="1"/>
  </sheetPr>
  <dimension ref="B1:J63"/>
  <sheetViews>
    <sheetView tabSelected="1" view="pageLayout" topLeftCell="A8" zoomScale="89" zoomScaleNormal="90" zoomScalePageLayoutView="89" workbookViewId="0"/>
  </sheetViews>
  <sheetFormatPr defaultRowHeight="12.75" x14ac:dyDescent="0.2"/>
  <cols>
    <col min="1" max="1" width="1.42578125" customWidth="1"/>
    <col min="2" max="2" width="6.5703125" customWidth="1"/>
    <col min="3" max="3" width="1.5703125" customWidth="1"/>
    <col min="4" max="4" width="79.42578125" bestFit="1" customWidth="1"/>
    <col min="5" max="5" width="3.42578125" customWidth="1"/>
    <col min="6" max="6" width="31.28515625" customWidth="1"/>
    <col min="7" max="7" width="4" customWidth="1"/>
    <col min="8" max="8" width="22.42578125" customWidth="1"/>
    <col min="9" max="9" width="21.5703125" customWidth="1"/>
  </cols>
  <sheetData>
    <row r="1" spans="2:10" ht="12.75" customHeight="1" x14ac:dyDescent="0.2">
      <c r="I1" s="1"/>
    </row>
    <row r="2" spans="2:10" ht="12.75" customHeight="1" x14ac:dyDescent="0.2"/>
    <row r="3" spans="2:10" ht="12.75" customHeight="1" x14ac:dyDescent="0.2">
      <c r="B3" s="2" t="s">
        <v>61</v>
      </c>
      <c r="C3" s="2"/>
      <c r="D3" s="2"/>
      <c r="E3" s="2"/>
      <c r="F3" s="2"/>
      <c r="G3" s="2"/>
      <c r="H3" s="2"/>
      <c r="I3" s="2"/>
    </row>
    <row r="4" spans="2:10" ht="12.75" customHeight="1" x14ac:dyDescent="0.2">
      <c r="B4" s="2" t="s">
        <v>77</v>
      </c>
      <c r="C4" s="2"/>
      <c r="D4" s="2"/>
      <c r="E4" s="2"/>
      <c r="F4" s="2"/>
      <c r="G4" s="2"/>
      <c r="H4" s="2"/>
      <c r="I4" s="2"/>
    </row>
    <row r="5" spans="2:10" ht="12.75" customHeight="1" x14ac:dyDescent="0.2">
      <c r="B5" s="3"/>
      <c r="C5" s="3"/>
      <c r="D5" s="3"/>
      <c r="E5" s="3"/>
      <c r="F5" s="3"/>
      <c r="G5" s="3"/>
      <c r="H5" s="3"/>
      <c r="I5" s="3"/>
    </row>
    <row r="6" spans="2:10" ht="12.75" customHeight="1" x14ac:dyDescent="0.2"/>
    <row r="7" spans="2:10" ht="12.75" customHeight="1" x14ac:dyDescent="0.2">
      <c r="B7" s="4" t="s">
        <v>0</v>
      </c>
      <c r="H7" s="4" t="s">
        <v>1</v>
      </c>
    </row>
    <row r="8" spans="2:10" ht="14.25" customHeight="1" x14ac:dyDescent="0.25">
      <c r="B8" s="5" t="s">
        <v>2</v>
      </c>
      <c r="C8" s="6"/>
      <c r="D8" s="7" t="s">
        <v>3</v>
      </c>
      <c r="F8" s="8" t="s">
        <v>4</v>
      </c>
      <c r="H8" s="8" t="s">
        <v>5</v>
      </c>
      <c r="I8" s="60"/>
    </row>
    <row r="9" spans="2:10" ht="12.75" customHeight="1" x14ac:dyDescent="0.2">
      <c r="H9" s="9"/>
    </row>
    <row r="10" spans="2:10" ht="12.75" customHeight="1" x14ac:dyDescent="0.2">
      <c r="B10" s="11">
        <f>MAX(B$9:B9)+1</f>
        <v>1</v>
      </c>
      <c r="C10" s="11"/>
      <c r="D10" t="s">
        <v>36</v>
      </c>
      <c r="F10" s="11" t="s">
        <v>80</v>
      </c>
      <c r="H10" s="12">
        <v>67432275</v>
      </c>
      <c r="I10" s="22"/>
      <c r="J10" s="12"/>
    </row>
    <row r="11" spans="2:10" ht="12.75" customHeight="1" x14ac:dyDescent="0.2">
      <c r="B11" s="11">
        <f>MAX(B$9:B10)+1</f>
        <v>2</v>
      </c>
      <c r="C11" s="11"/>
      <c r="D11" t="s">
        <v>37</v>
      </c>
      <c r="F11" s="11" t="s">
        <v>80</v>
      </c>
      <c r="H11" s="45">
        <v>0</v>
      </c>
      <c r="I11" s="22"/>
      <c r="J11" s="12"/>
    </row>
    <row r="12" spans="2:10" ht="12.75" customHeight="1" x14ac:dyDescent="0.2">
      <c r="B12" s="11">
        <f>MAX(B$9:B11)+1</f>
        <v>3</v>
      </c>
      <c r="C12" s="11"/>
      <c r="D12" s="46" t="s">
        <v>38</v>
      </c>
      <c r="F12" s="11"/>
      <c r="H12" s="12">
        <f>H10+H11</f>
        <v>67432275</v>
      </c>
      <c r="I12" s="22"/>
      <c r="J12" s="12"/>
    </row>
    <row r="13" spans="2:10" ht="12.75" customHeight="1" x14ac:dyDescent="0.2">
      <c r="B13" s="11"/>
      <c r="C13" s="11"/>
      <c r="D13" s="46"/>
      <c r="F13" s="11"/>
      <c r="H13" s="47"/>
      <c r="I13" s="22"/>
      <c r="J13" s="12"/>
    </row>
    <row r="14" spans="2:10" ht="12.75" customHeight="1" x14ac:dyDescent="0.2">
      <c r="B14" s="11">
        <f>MAX(B$9:B13)+1</f>
        <v>4</v>
      </c>
      <c r="D14" s="48" t="s">
        <v>39</v>
      </c>
      <c r="F14" s="11"/>
      <c r="H14" s="47"/>
      <c r="I14" s="22"/>
      <c r="J14" s="12"/>
    </row>
    <row r="15" spans="2:10" ht="12.75" customHeight="1" x14ac:dyDescent="0.2">
      <c r="B15" s="11">
        <f>MAX(B$9:B14)+1</f>
        <v>5</v>
      </c>
      <c r="C15" s="11"/>
      <c r="D15" t="s">
        <v>40</v>
      </c>
      <c r="F15" s="11" t="s">
        <v>80</v>
      </c>
      <c r="H15" s="17">
        <v>18024</v>
      </c>
      <c r="I15" s="22"/>
      <c r="J15" s="12"/>
    </row>
    <row r="16" spans="2:10" ht="12.75" customHeight="1" x14ac:dyDescent="0.2">
      <c r="B16" s="11">
        <f>MAX(B$9:B15)+1</f>
        <v>6</v>
      </c>
      <c r="C16" s="11"/>
      <c r="D16" s="46" t="s">
        <v>38</v>
      </c>
      <c r="F16" s="11"/>
      <c r="H16" s="12">
        <f>SUM(H15:H15)</f>
        <v>18024</v>
      </c>
      <c r="I16" s="22"/>
      <c r="J16" s="12"/>
    </row>
    <row r="17" spans="2:10" ht="12.75" customHeight="1" x14ac:dyDescent="0.2">
      <c r="B17" s="11"/>
      <c r="C17" s="11"/>
      <c r="D17" s="46"/>
      <c r="F17" s="11"/>
      <c r="H17" s="47"/>
      <c r="I17" s="22"/>
      <c r="J17" s="12"/>
    </row>
    <row r="18" spans="2:10" ht="12.75" customHeight="1" x14ac:dyDescent="0.2">
      <c r="B18" s="11">
        <f>MAX(B$9:B17)+1</f>
        <v>7</v>
      </c>
      <c r="C18" s="11"/>
      <c r="D18" s="49" t="s">
        <v>42</v>
      </c>
      <c r="F18" s="11"/>
      <c r="H18" s="47"/>
      <c r="I18" s="22"/>
      <c r="J18" s="12"/>
    </row>
    <row r="19" spans="2:10" ht="12.75" customHeight="1" x14ac:dyDescent="0.2">
      <c r="B19" s="11">
        <f>MAX(B$9:B18)+1</f>
        <v>8</v>
      </c>
      <c r="C19" s="11"/>
      <c r="D19" t="s">
        <v>43</v>
      </c>
      <c r="F19" s="11" t="s">
        <v>80</v>
      </c>
      <c r="H19" s="12">
        <v>7811662</v>
      </c>
      <c r="I19" s="22"/>
      <c r="J19" s="12"/>
    </row>
    <row r="20" spans="2:10" ht="12.75" customHeight="1" x14ac:dyDescent="0.2">
      <c r="B20" s="11">
        <f>MAX(B$9:B19)+1</f>
        <v>9</v>
      </c>
      <c r="C20" s="11"/>
      <c r="D20" t="s">
        <v>44</v>
      </c>
      <c r="F20" s="11" t="s">
        <v>80</v>
      </c>
      <c r="H20" s="50">
        <v>5407684</v>
      </c>
      <c r="I20" s="22"/>
      <c r="J20" s="12"/>
    </row>
    <row r="21" spans="2:10" ht="12.75" customHeight="1" x14ac:dyDescent="0.2">
      <c r="B21" s="11">
        <f>MAX(B$9:B20)+1</f>
        <v>10</v>
      </c>
      <c r="C21" s="11"/>
      <c r="D21" t="s">
        <v>45</v>
      </c>
      <c r="F21" s="11" t="s">
        <v>80</v>
      </c>
      <c r="H21" s="45">
        <v>0</v>
      </c>
      <c r="I21" s="22"/>
      <c r="J21" s="12"/>
    </row>
    <row r="22" spans="2:10" ht="12.75" customHeight="1" x14ac:dyDescent="0.2">
      <c r="B22" s="11">
        <f>MAX(B$9:B21)+1</f>
        <v>11</v>
      </c>
      <c r="C22" s="11"/>
      <c r="D22" s="46" t="s">
        <v>38</v>
      </c>
      <c r="F22" s="11"/>
      <c r="H22" s="12">
        <f>SUM(H19:H21)</f>
        <v>13219346</v>
      </c>
      <c r="I22" s="22"/>
      <c r="J22" s="12"/>
    </row>
    <row r="23" spans="2:10" ht="12.75" customHeight="1" x14ac:dyDescent="0.2">
      <c r="B23" s="10"/>
      <c r="C23" s="10"/>
      <c r="F23" s="11"/>
      <c r="G23" s="10"/>
      <c r="H23" s="12"/>
      <c r="I23" s="22"/>
      <c r="J23" s="12"/>
    </row>
    <row r="24" spans="2:10" ht="12.75" customHeight="1" x14ac:dyDescent="0.2">
      <c r="B24" s="11">
        <f>MAX(B$9:B23)+1</f>
        <v>12</v>
      </c>
      <c r="C24" s="10"/>
      <c r="D24" t="s">
        <v>6</v>
      </c>
      <c r="F24" s="11" t="s">
        <v>80</v>
      </c>
      <c r="G24" s="10"/>
      <c r="H24" s="12">
        <f>H12+H16-H22</f>
        <v>54230953</v>
      </c>
      <c r="I24" s="22"/>
      <c r="J24" s="12"/>
    </row>
    <row r="25" spans="2:10" ht="12.75" customHeight="1" x14ac:dyDescent="0.2">
      <c r="B25" s="10"/>
      <c r="C25" s="10"/>
      <c r="F25" s="11"/>
      <c r="G25" s="10"/>
      <c r="H25" s="12"/>
      <c r="I25" s="22"/>
      <c r="J25" s="12"/>
    </row>
    <row r="26" spans="2:10" ht="12.75" customHeight="1" x14ac:dyDescent="0.2">
      <c r="B26" s="10">
        <f>MAX(B$9:B25)+1</f>
        <v>13</v>
      </c>
      <c r="C26" s="10"/>
      <c r="D26" t="s">
        <v>7</v>
      </c>
      <c r="F26" s="11" t="s">
        <v>65</v>
      </c>
      <c r="G26" s="10"/>
      <c r="H26" s="15">
        <f>'Support Schedule A'!G14</f>
        <v>8.8220000000000007E-2</v>
      </c>
      <c r="I26" s="15"/>
    </row>
    <row r="27" spans="2:10" ht="12.75" customHeight="1" x14ac:dyDescent="0.2">
      <c r="B27" s="10"/>
      <c r="C27" s="10"/>
      <c r="F27" s="11"/>
      <c r="G27" s="10"/>
      <c r="H27" s="16"/>
      <c r="I27" s="83"/>
    </row>
    <row r="28" spans="2:10" ht="12.75" customHeight="1" x14ac:dyDescent="0.2">
      <c r="B28" s="10">
        <f>MAX(B$9:B27)+1</f>
        <v>14</v>
      </c>
      <c r="C28" s="10"/>
      <c r="D28" t="s">
        <v>8</v>
      </c>
      <c r="F28" s="10" t="s">
        <v>60</v>
      </c>
      <c r="G28" s="10"/>
      <c r="H28" s="12">
        <f>ROUND(H24*H26,0)</f>
        <v>4784255</v>
      </c>
      <c r="I28" s="12"/>
    </row>
    <row r="29" spans="2:10" ht="12.75" customHeight="1" x14ac:dyDescent="0.2">
      <c r="B29" s="10"/>
      <c r="C29" s="10"/>
      <c r="F29" s="11"/>
      <c r="G29" s="10"/>
      <c r="H29" s="12"/>
      <c r="I29" s="22"/>
    </row>
    <row r="30" spans="2:10" ht="12.75" customHeight="1" x14ac:dyDescent="0.2">
      <c r="B30" s="11">
        <f>MAX(B$9:B29)+1</f>
        <v>15</v>
      </c>
      <c r="C30" s="11"/>
      <c r="D30" s="51" t="s">
        <v>46</v>
      </c>
      <c r="E30" s="11"/>
      <c r="G30" s="47"/>
      <c r="H30" s="12"/>
      <c r="I30" s="22"/>
    </row>
    <row r="31" spans="2:10" ht="12.75" customHeight="1" x14ac:dyDescent="0.2">
      <c r="B31" s="11"/>
      <c r="C31" s="11"/>
      <c r="E31" s="11"/>
      <c r="G31" s="47"/>
      <c r="H31" s="12"/>
      <c r="I31" s="22"/>
    </row>
    <row r="32" spans="2:10" ht="12.75" customHeight="1" x14ac:dyDescent="0.2">
      <c r="B32" s="11">
        <f>MAX(B$9:B31)+1</f>
        <v>16</v>
      </c>
      <c r="C32" s="11"/>
      <c r="D32" t="s">
        <v>47</v>
      </c>
      <c r="F32" s="11" t="s">
        <v>66</v>
      </c>
      <c r="H32" s="12">
        <f>'Support Schedule A'!C38</f>
        <v>1665576</v>
      </c>
      <c r="I32" s="22"/>
    </row>
    <row r="33" spans="2:9" ht="12.75" customHeight="1" x14ac:dyDescent="0.2">
      <c r="B33" s="11">
        <f>MAX(B$9:B32)+1</f>
        <v>17</v>
      </c>
      <c r="C33" s="11"/>
      <c r="D33" t="s">
        <v>48</v>
      </c>
      <c r="F33" s="11" t="s">
        <v>66</v>
      </c>
      <c r="H33" s="12">
        <f>'Support Schedule A'!D38</f>
        <v>771574</v>
      </c>
      <c r="I33" s="22"/>
    </row>
    <row r="34" spans="2:9" ht="12.75" customHeight="1" x14ac:dyDescent="0.2">
      <c r="B34" s="11">
        <f>MAX(B$9:B33)+1</f>
        <v>18</v>
      </c>
      <c r="C34" s="11"/>
      <c r="D34" t="s">
        <v>56</v>
      </c>
      <c r="F34" s="11" t="s">
        <v>93</v>
      </c>
      <c r="H34" s="12">
        <f>'Support Schedule A'!E39</f>
        <v>9322572</v>
      </c>
      <c r="I34" s="22"/>
    </row>
    <row r="35" spans="2:9" ht="12.75" customHeight="1" x14ac:dyDescent="0.2">
      <c r="B35" s="11">
        <f>MAX(B$9:B34)+1</f>
        <v>19</v>
      </c>
      <c r="C35" s="11"/>
      <c r="D35" t="s">
        <v>57</v>
      </c>
      <c r="F35" s="11" t="s">
        <v>66</v>
      </c>
      <c r="H35" s="12">
        <f>'Support Schedule A'!F38</f>
        <v>408</v>
      </c>
      <c r="I35" s="22"/>
    </row>
    <row r="36" spans="2:9" ht="12.75" customHeight="1" x14ac:dyDescent="0.2">
      <c r="B36" s="11">
        <f>MAX(B$9:B35)+1</f>
        <v>20</v>
      </c>
      <c r="C36" s="11"/>
      <c r="D36" t="s">
        <v>58</v>
      </c>
      <c r="F36" s="11" t="s">
        <v>66</v>
      </c>
      <c r="H36" s="17">
        <f>'Support Schedule A'!G38</f>
        <v>20084979</v>
      </c>
      <c r="I36" s="22"/>
    </row>
    <row r="37" spans="2:9" ht="12.75" customHeight="1" x14ac:dyDescent="0.2">
      <c r="B37" s="11">
        <f>MAX(B$9:B36)+1</f>
        <v>21</v>
      </c>
      <c r="C37" s="11"/>
      <c r="D37" t="s">
        <v>49</v>
      </c>
      <c r="F37" s="11" t="s">
        <v>76</v>
      </c>
      <c r="H37" s="12">
        <f>SUM(H32:H36)</f>
        <v>31845109</v>
      </c>
      <c r="I37" s="22"/>
    </row>
    <row r="38" spans="2:9" ht="12.75" customHeight="1" x14ac:dyDescent="0.2">
      <c r="B38" s="10"/>
      <c r="C38" s="10"/>
      <c r="F38" s="11"/>
      <c r="G38" s="10"/>
      <c r="H38" s="12"/>
      <c r="I38" s="22"/>
    </row>
    <row r="39" spans="2:9" ht="12.75" customHeight="1" x14ac:dyDescent="0.2">
      <c r="B39" s="10">
        <f>MAX(B$9:B38)+1</f>
        <v>22</v>
      </c>
      <c r="C39" s="10"/>
      <c r="D39" s="13" t="s">
        <v>68</v>
      </c>
      <c r="F39" s="11" t="s">
        <v>95</v>
      </c>
      <c r="G39" s="10"/>
      <c r="H39" s="17">
        <f>'Support Schedule A'!C61</f>
        <v>0</v>
      </c>
      <c r="I39" s="22"/>
    </row>
    <row r="40" spans="2:9" ht="12.75" customHeight="1" x14ac:dyDescent="0.2">
      <c r="B40" s="11"/>
      <c r="C40" s="11"/>
      <c r="H40" s="14"/>
      <c r="I40" s="61"/>
    </row>
    <row r="41" spans="2:9" ht="12.75" customHeight="1" x14ac:dyDescent="0.2">
      <c r="B41" s="11"/>
      <c r="C41" s="11"/>
      <c r="H41" s="14"/>
      <c r="I41" s="61"/>
    </row>
    <row r="42" spans="2:9" ht="12.75" customHeight="1" x14ac:dyDescent="0.2">
      <c r="B42" s="10">
        <f>MAX(B$9:B40)+1</f>
        <v>23</v>
      </c>
      <c r="C42" s="10"/>
      <c r="D42" s="13" t="s">
        <v>9</v>
      </c>
      <c r="F42" s="10" t="s">
        <v>70</v>
      </c>
      <c r="G42" s="10"/>
      <c r="H42" s="12">
        <f>H28+H37-H39</f>
        <v>36629364</v>
      </c>
      <c r="I42" s="22"/>
    </row>
    <row r="43" spans="2:9" ht="12.75" customHeight="1" x14ac:dyDescent="0.2">
      <c r="I43" s="24"/>
    </row>
    <row r="44" spans="2:9" ht="12.75" customHeight="1" x14ac:dyDescent="0.2">
      <c r="B44" s="10">
        <f>MAX(B$9:B43)+1</f>
        <v>24</v>
      </c>
      <c r="C44" s="10"/>
      <c r="D44" t="s">
        <v>10</v>
      </c>
      <c r="F44" s="18" t="s">
        <v>89</v>
      </c>
      <c r="G44" s="10"/>
      <c r="H44" s="19">
        <f>I57</f>
        <v>0.98350000000000004</v>
      </c>
      <c r="I44" s="62"/>
    </row>
    <row r="45" spans="2:9" ht="12.75" customHeight="1" x14ac:dyDescent="0.2">
      <c r="B45" s="11"/>
      <c r="C45" s="11"/>
      <c r="I45" s="24"/>
    </row>
    <row r="46" spans="2:9" ht="12.75" customHeight="1" thickBot="1" x14ac:dyDescent="0.25">
      <c r="B46" s="10">
        <f>MAX(B$9:B45)+1</f>
        <v>25</v>
      </c>
      <c r="C46" s="10"/>
      <c r="D46" t="s">
        <v>59</v>
      </c>
      <c r="F46" s="11" t="s">
        <v>71</v>
      </c>
      <c r="G46" s="10"/>
      <c r="H46" s="20">
        <f>ROUND(H42*H44,0)</f>
        <v>36024979</v>
      </c>
      <c r="I46" s="22"/>
    </row>
    <row r="47" spans="2:9" ht="12.75" customHeight="1" thickTop="1" x14ac:dyDescent="0.2">
      <c r="B47" s="11"/>
      <c r="C47" s="11"/>
      <c r="H47" s="14"/>
      <c r="I47" s="61"/>
    </row>
    <row r="48" spans="2:9" ht="13.5" customHeight="1" thickBot="1" x14ac:dyDescent="0.25">
      <c r="B48" s="10">
        <f>MAX(B$9:B47)+1</f>
        <v>26</v>
      </c>
      <c r="C48" s="11"/>
      <c r="D48" t="s">
        <v>12</v>
      </c>
      <c r="F48" s="10" t="s">
        <v>72</v>
      </c>
      <c r="H48" s="20">
        <f>H42-H46</f>
        <v>604385</v>
      </c>
      <c r="I48" s="22"/>
    </row>
    <row r="49" spans="2:10" ht="12.75" customHeight="1" thickTop="1" x14ac:dyDescent="0.2">
      <c r="B49" s="11"/>
      <c r="C49" s="11"/>
    </row>
    <row r="50" spans="2:10" ht="12.75" customHeight="1" x14ac:dyDescent="0.2">
      <c r="B50" s="10">
        <f>MAX(B$9:B49)+1</f>
        <v>27</v>
      </c>
      <c r="C50" s="11"/>
      <c r="D50" s="64" t="s">
        <v>13</v>
      </c>
      <c r="E50" s="21"/>
      <c r="F50" s="66" t="s">
        <v>73</v>
      </c>
      <c r="G50" s="21"/>
      <c r="H50" s="34">
        <f>H46</f>
        <v>36024979</v>
      </c>
      <c r="I50" s="22"/>
    </row>
    <row r="51" spans="2:10" ht="12.75" customHeight="1" x14ac:dyDescent="0.2">
      <c r="B51" s="10">
        <f>MAX(B$9:B50)+1</f>
        <v>28</v>
      </c>
      <c r="C51" s="11"/>
      <c r="D51" s="64" t="s">
        <v>14</v>
      </c>
      <c r="E51" s="21"/>
      <c r="F51" s="11" t="s">
        <v>90</v>
      </c>
      <c r="G51" s="23"/>
      <c r="H51" s="34">
        <f>'Support Schedule B'!H52</f>
        <v>22535632</v>
      </c>
      <c r="I51" s="22"/>
      <c r="J51" s="24"/>
    </row>
    <row r="52" spans="2:10" ht="12.75" customHeight="1" thickBot="1" x14ac:dyDescent="0.25">
      <c r="B52" s="10">
        <f>MAX(B$9:B51)+1</f>
        <v>29</v>
      </c>
      <c r="C52" s="11"/>
      <c r="D52" s="64" t="s">
        <v>15</v>
      </c>
      <c r="E52" s="21"/>
      <c r="F52" s="67" t="s">
        <v>74</v>
      </c>
      <c r="G52" s="23"/>
      <c r="H52" s="65">
        <f>H50-H51</f>
        <v>13489347</v>
      </c>
      <c r="I52" s="22"/>
      <c r="J52" s="24"/>
    </row>
    <row r="53" spans="2:10" ht="12.75" customHeight="1" thickTop="1" x14ac:dyDescent="0.2">
      <c r="B53" s="11"/>
      <c r="C53" s="11"/>
    </row>
    <row r="54" spans="2:10" ht="12.75" customHeight="1" x14ac:dyDescent="0.2"/>
    <row r="55" spans="2:10" ht="12.75" customHeight="1" x14ac:dyDescent="0.2">
      <c r="B55" s="25" t="s">
        <v>79</v>
      </c>
    </row>
    <row r="56" spans="2:10" ht="12.75" customHeight="1" x14ac:dyDescent="0.2">
      <c r="B56" s="32"/>
      <c r="C56" s="26"/>
      <c r="D56" s="26"/>
      <c r="E56" s="26"/>
      <c r="F56" s="26"/>
      <c r="G56" s="26"/>
      <c r="H56" s="26"/>
      <c r="I56" s="33"/>
    </row>
    <row r="57" spans="2:10" ht="12.75" customHeight="1" x14ac:dyDescent="0.2">
      <c r="B57" s="28">
        <f>MAX(B$9:B56)+1</f>
        <v>30</v>
      </c>
      <c r="D57" t="s">
        <v>16</v>
      </c>
      <c r="F57" s="11" t="s">
        <v>81</v>
      </c>
      <c r="H57" s="34">
        <v>32584399</v>
      </c>
      <c r="I57" s="29">
        <f>ROUND(H57/$H$61,4)</f>
        <v>0.98350000000000004</v>
      </c>
    </row>
    <row r="58" spans="2:10" ht="12.75" customHeight="1" x14ac:dyDescent="0.2">
      <c r="B58" s="27"/>
      <c r="F58" s="11"/>
      <c r="H58" s="63"/>
      <c r="I58" s="35"/>
    </row>
    <row r="59" spans="2:10" ht="12.75" customHeight="1" x14ac:dyDescent="0.2">
      <c r="B59" s="28">
        <f>MAX(B$9:B58)+1</f>
        <v>31</v>
      </c>
      <c r="D59" t="s">
        <v>17</v>
      </c>
      <c r="F59" s="11" t="s">
        <v>82</v>
      </c>
      <c r="H59" s="34">
        <v>546117</v>
      </c>
      <c r="I59" s="36">
        <f>I61-I57</f>
        <v>1.6499999999999959E-2</v>
      </c>
    </row>
    <row r="60" spans="2:10" ht="12.75" customHeight="1" x14ac:dyDescent="0.2">
      <c r="B60" s="27"/>
      <c r="H60" s="12"/>
      <c r="I60" s="35"/>
    </row>
    <row r="61" spans="2:10" ht="12.75" customHeight="1" x14ac:dyDescent="0.2">
      <c r="B61" s="28">
        <f>MAX(B$9:B60)+1</f>
        <v>32</v>
      </c>
      <c r="D61" t="s">
        <v>18</v>
      </c>
      <c r="F61" s="11" t="s">
        <v>75</v>
      </c>
      <c r="H61" s="12">
        <f>H57+H59</f>
        <v>33130516</v>
      </c>
      <c r="I61" s="29">
        <f>ROUND(H61/$H$61,4)</f>
        <v>1</v>
      </c>
    </row>
    <row r="62" spans="2:10" ht="12.75" customHeight="1" x14ac:dyDescent="0.2">
      <c r="B62" s="37"/>
      <c r="C62" s="30"/>
      <c r="D62" s="30"/>
      <c r="E62" s="30"/>
      <c r="F62" s="30"/>
      <c r="G62" s="30"/>
      <c r="H62" s="30"/>
      <c r="I62" s="31"/>
    </row>
    <row r="63" spans="2:10" ht="12.75" customHeight="1" x14ac:dyDescent="0.2"/>
  </sheetData>
  <phoneticPr fontId="13" type="noConversion"/>
  <printOptions horizontalCentered="1"/>
  <pageMargins left="0.5" right="0.5" top="1" bottom="1" header="0.3" footer="0.3"/>
  <pageSetup scale="56" orientation="portrait" r:id="rId1"/>
  <headerFooter>
    <oddHeader>&amp;R&amp;"Times New Roman,Bold"KyPSC Case No. 2025-00024
STAFF-DR-01-005 Attachment
Page &amp;P of &amp;N</oddHeader>
  </headerFooter>
  <ignoredErrors>
    <ignoredError sqref="F5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A2F05-38B8-46A8-9DB7-20FF95D50DA1}">
  <sheetPr codeName="Sheet1">
    <pageSetUpPr fitToPage="1"/>
  </sheetPr>
  <dimension ref="A1:L62"/>
  <sheetViews>
    <sheetView tabSelected="1" view="pageLayout" topLeftCell="A34" zoomScaleNormal="90" workbookViewId="0"/>
  </sheetViews>
  <sheetFormatPr defaultColWidth="8.5703125" defaultRowHeight="12.75" x14ac:dyDescent="0.2"/>
  <cols>
    <col min="1" max="1" width="6" customWidth="1"/>
    <col min="2" max="2" width="34.140625" customWidth="1"/>
    <col min="3" max="3" width="12.42578125" customWidth="1"/>
    <col min="4" max="4" width="11.42578125" customWidth="1"/>
    <col min="5" max="5" width="13.42578125" customWidth="1"/>
    <col min="6" max="6" width="12.5703125" customWidth="1"/>
    <col min="7" max="7" width="19.5703125" customWidth="1"/>
    <col min="8" max="8" width="14" bestFit="1" customWidth="1"/>
  </cols>
  <sheetData>
    <row r="1" spans="1:9" ht="12.75" customHeight="1" x14ac:dyDescent="0.2">
      <c r="H1" s="1" t="s">
        <v>62</v>
      </c>
    </row>
    <row r="2" spans="1:9" ht="12.75" customHeight="1" x14ac:dyDescent="0.2"/>
    <row r="3" spans="1:9" ht="12.75" customHeight="1" x14ac:dyDescent="0.2">
      <c r="A3" s="2" t="s">
        <v>61</v>
      </c>
      <c r="B3" s="2"/>
      <c r="C3" s="2"/>
      <c r="D3" s="2"/>
      <c r="E3" s="2"/>
      <c r="F3" s="2"/>
      <c r="G3" s="2"/>
    </row>
    <row r="4" spans="1:9" ht="12.75" customHeight="1" x14ac:dyDescent="0.2">
      <c r="A4" s="88" t="s">
        <v>77</v>
      </c>
      <c r="B4" s="88"/>
      <c r="C4" s="88"/>
      <c r="D4" s="88"/>
      <c r="E4" s="88"/>
      <c r="F4" s="88"/>
      <c r="G4" s="88"/>
      <c r="H4" s="68"/>
      <c r="I4" s="68"/>
    </row>
    <row r="5" spans="1:9" ht="12.75" customHeight="1" x14ac:dyDescent="0.2">
      <c r="A5" s="3"/>
      <c r="B5" s="3"/>
      <c r="C5" s="3"/>
      <c r="D5" s="3"/>
      <c r="E5" s="3"/>
      <c r="F5" s="3"/>
      <c r="G5" s="3"/>
    </row>
    <row r="6" spans="1:9" ht="12.75" customHeight="1" x14ac:dyDescent="0.2">
      <c r="A6" s="89" t="s">
        <v>19</v>
      </c>
      <c r="B6" s="90"/>
      <c r="C6" s="90"/>
      <c r="D6" s="90"/>
      <c r="E6" s="90"/>
      <c r="F6" s="90"/>
      <c r="G6" s="90"/>
      <c r="H6" s="91"/>
    </row>
    <row r="7" spans="1:9" ht="12.75" customHeight="1" x14ac:dyDescent="0.2"/>
    <row r="8" spans="1:9" ht="14.25" customHeight="1" x14ac:dyDescent="0.2">
      <c r="A8" s="4" t="s">
        <v>0</v>
      </c>
      <c r="B8" s="4"/>
      <c r="C8" s="4"/>
      <c r="D8" s="4"/>
      <c r="E8" s="4" t="s">
        <v>20</v>
      </c>
      <c r="F8" s="4" t="s">
        <v>21</v>
      </c>
      <c r="G8" s="4" t="s">
        <v>22</v>
      </c>
    </row>
    <row r="9" spans="1:9" ht="14.25" customHeight="1" x14ac:dyDescent="0.2">
      <c r="A9" s="4" t="s">
        <v>2</v>
      </c>
      <c r="B9" s="4" t="s">
        <v>23</v>
      </c>
      <c r="C9" s="4" t="s">
        <v>24</v>
      </c>
      <c r="D9" s="4" t="s">
        <v>25</v>
      </c>
      <c r="E9" s="4" t="s">
        <v>25</v>
      </c>
      <c r="F9" s="4" t="s">
        <v>26</v>
      </c>
      <c r="G9" s="4" t="s">
        <v>27</v>
      </c>
    </row>
    <row r="10" spans="1:9" ht="14.25" customHeight="1" x14ac:dyDescent="0.2">
      <c r="A10" s="8"/>
      <c r="B10" s="8"/>
      <c r="C10" s="38"/>
      <c r="D10" s="38"/>
      <c r="E10" s="38" t="s">
        <v>11</v>
      </c>
      <c r="F10" s="38" t="s">
        <v>28</v>
      </c>
      <c r="G10" s="38" t="s">
        <v>64</v>
      </c>
    </row>
    <row r="11" spans="1:9" ht="14.25" customHeight="1" x14ac:dyDescent="0.2">
      <c r="A11" s="11">
        <v>1</v>
      </c>
      <c r="B11" s="13" t="s">
        <v>29</v>
      </c>
      <c r="C11" s="40">
        <v>3.78E-2</v>
      </c>
      <c r="D11" s="40">
        <v>4.7390000000000002E-2</v>
      </c>
      <c r="E11" s="39">
        <f>ROUND(C11*D11,5)</f>
        <v>1.7899999999999999E-3</v>
      </c>
      <c r="G11" s="39">
        <f>ROUND(E11,5)</f>
        <v>1.7899999999999999E-3</v>
      </c>
    </row>
    <row r="12" spans="1:9" ht="14.25" customHeight="1" x14ac:dyDescent="0.2">
      <c r="A12" s="11">
        <f>A11+1</f>
        <v>2</v>
      </c>
      <c r="B12" s="13" t="s">
        <v>30</v>
      </c>
      <c r="C12" s="40">
        <v>0.44074999999999998</v>
      </c>
      <c r="D12" s="40">
        <v>4.3770000000000003E-2</v>
      </c>
      <c r="E12" s="39">
        <f>ROUND(C12*D12,5)</f>
        <v>1.9290000000000002E-2</v>
      </c>
      <c r="G12" s="39">
        <f>ROUND(E12,5)</f>
        <v>1.9290000000000002E-2</v>
      </c>
    </row>
    <row r="13" spans="1:9" ht="14.25" customHeight="1" x14ac:dyDescent="0.2">
      <c r="A13" s="11">
        <f t="shared" ref="A13:A14" si="0">A12+1</f>
        <v>3</v>
      </c>
      <c r="B13" s="13" t="s">
        <v>31</v>
      </c>
      <c r="C13" s="42">
        <v>0.52144999999999997</v>
      </c>
      <c r="D13" s="43">
        <v>9.6500000000000002E-2</v>
      </c>
      <c r="E13" s="41">
        <f>ROUND(C13*D13,5)</f>
        <v>5.0319999999999997E-2</v>
      </c>
      <c r="F13" s="57">
        <v>1.3342383</v>
      </c>
      <c r="G13" s="41">
        <f>ROUND(F13*E13,5)</f>
        <v>6.7140000000000005E-2</v>
      </c>
    </row>
    <row r="14" spans="1:9" ht="12.75" customHeight="1" x14ac:dyDescent="0.2">
      <c r="A14" s="11">
        <f t="shared" si="0"/>
        <v>4</v>
      </c>
      <c r="B14" s="13" t="s">
        <v>32</v>
      </c>
      <c r="C14" s="58">
        <f>SUM(C11:C13)</f>
        <v>1</v>
      </c>
      <c r="D14" s="59"/>
      <c r="E14" s="58">
        <f>SUM(E11:E13)</f>
        <v>7.1399999999999991E-2</v>
      </c>
      <c r="F14" s="58"/>
      <c r="G14" s="58">
        <f>SUM(G11:G13)</f>
        <v>8.8220000000000007E-2</v>
      </c>
    </row>
    <row r="15" spans="1:9" ht="12.75" customHeight="1" x14ac:dyDescent="0.2"/>
    <row r="16" spans="1:9" ht="12.75" customHeight="1" x14ac:dyDescent="0.2">
      <c r="A16" s="44"/>
      <c r="B16" s="44"/>
      <c r="C16" s="44"/>
      <c r="D16" s="44"/>
      <c r="E16" s="44"/>
      <c r="F16" s="44"/>
      <c r="G16" s="44"/>
    </row>
    <row r="17" spans="1:12" ht="12.75" customHeight="1" x14ac:dyDescent="0.2">
      <c r="B17" s="13" t="s">
        <v>33</v>
      </c>
    </row>
    <row r="18" spans="1:12" ht="12.75" customHeight="1" x14ac:dyDescent="0.2">
      <c r="B18" t="s">
        <v>34</v>
      </c>
    </row>
    <row r="19" spans="1:12" x14ac:dyDescent="0.2">
      <c r="B19" t="s">
        <v>35</v>
      </c>
    </row>
    <row r="22" spans="1:12" x14ac:dyDescent="0.2">
      <c r="A22" s="89" t="s">
        <v>78</v>
      </c>
      <c r="B22" s="90"/>
      <c r="C22" s="90"/>
      <c r="D22" s="90"/>
      <c r="E22" s="90"/>
      <c r="F22" s="90"/>
      <c r="G22" s="90"/>
      <c r="H22" s="91"/>
    </row>
    <row r="23" spans="1:12" x14ac:dyDescent="0.2">
      <c r="B23" t="s">
        <v>41</v>
      </c>
    </row>
    <row r="24" spans="1:12" ht="51" x14ac:dyDescent="0.2">
      <c r="A24" s="80" t="s">
        <v>69</v>
      </c>
      <c r="B24" s="77" t="s">
        <v>63</v>
      </c>
      <c r="C24" s="78" t="s">
        <v>50</v>
      </c>
      <c r="D24" s="78" t="s">
        <v>51</v>
      </c>
      <c r="E24" s="78" t="s">
        <v>52</v>
      </c>
      <c r="F24" s="78" t="s">
        <v>53</v>
      </c>
      <c r="G24" s="78" t="s">
        <v>54</v>
      </c>
      <c r="H24" s="79" t="s">
        <v>55</v>
      </c>
    </row>
    <row r="25" spans="1:12" x14ac:dyDescent="0.2">
      <c r="A25" s="11">
        <f>A14+1</f>
        <v>5</v>
      </c>
      <c r="B25" s="69">
        <v>45046</v>
      </c>
      <c r="C25" s="52">
        <v>138798</v>
      </c>
      <c r="D25" s="52">
        <v>65393</v>
      </c>
      <c r="E25" s="52">
        <v>1379067</v>
      </c>
      <c r="F25" s="52">
        <v>28</v>
      </c>
      <c r="G25" s="52">
        <v>680774</v>
      </c>
      <c r="H25" s="72">
        <f t="shared" ref="H25:H36" si="1">SUM(C25:G25)</f>
        <v>2264060</v>
      </c>
      <c r="J25" s="81"/>
      <c r="L25" s="82"/>
    </row>
    <row r="26" spans="1:12" x14ac:dyDescent="0.2">
      <c r="A26" s="11">
        <f>A25+1</f>
        <v>6</v>
      </c>
      <c r="B26" s="69">
        <f>EOMONTH(B25,1)</f>
        <v>45077</v>
      </c>
      <c r="C26" s="54">
        <v>138798</v>
      </c>
      <c r="D26" s="54">
        <v>65245</v>
      </c>
      <c r="E26" s="54">
        <v>1603839</v>
      </c>
      <c r="F26" s="54">
        <v>41</v>
      </c>
      <c r="G26" s="54">
        <v>607233</v>
      </c>
      <c r="H26" s="53">
        <f t="shared" si="1"/>
        <v>2415156</v>
      </c>
      <c r="J26" s="81"/>
      <c r="L26" s="82"/>
    </row>
    <row r="27" spans="1:12" x14ac:dyDescent="0.2">
      <c r="A27" s="11">
        <f t="shared" ref="A27:A36" si="2">A26+1</f>
        <v>7</v>
      </c>
      <c r="B27" s="69">
        <f t="shared" ref="B27:B36" si="3">EOMONTH(B26,1)</f>
        <v>45107</v>
      </c>
      <c r="C27" s="54">
        <v>138798</v>
      </c>
      <c r="D27" s="54">
        <v>65096</v>
      </c>
      <c r="E27" s="54">
        <v>1325660</v>
      </c>
      <c r="F27" s="54">
        <v>47</v>
      </c>
      <c r="G27" s="54">
        <v>1610673</v>
      </c>
      <c r="H27" s="53">
        <f t="shared" si="1"/>
        <v>3140274</v>
      </c>
      <c r="J27" s="81"/>
      <c r="L27" s="82"/>
    </row>
    <row r="28" spans="1:12" x14ac:dyDescent="0.2">
      <c r="A28" s="11">
        <f t="shared" si="2"/>
        <v>8</v>
      </c>
      <c r="B28" s="69">
        <f t="shared" si="3"/>
        <v>45138</v>
      </c>
      <c r="C28" s="54">
        <v>138798</v>
      </c>
      <c r="D28" s="54">
        <v>64948</v>
      </c>
      <c r="E28" s="54">
        <v>1467915</v>
      </c>
      <c r="F28" s="54">
        <v>54</v>
      </c>
      <c r="G28" s="54">
        <v>1954906</v>
      </c>
      <c r="H28" s="53">
        <f t="shared" si="1"/>
        <v>3626621</v>
      </c>
      <c r="J28" s="81"/>
      <c r="L28" s="82"/>
    </row>
    <row r="29" spans="1:12" x14ac:dyDescent="0.2">
      <c r="A29" s="11">
        <f t="shared" si="2"/>
        <v>9</v>
      </c>
      <c r="B29" s="69">
        <f t="shared" si="3"/>
        <v>45169</v>
      </c>
      <c r="C29" s="54">
        <v>138798</v>
      </c>
      <c r="D29" s="54">
        <v>64800</v>
      </c>
      <c r="E29" s="54">
        <v>1287981</v>
      </c>
      <c r="F29" s="54">
        <v>48</v>
      </c>
      <c r="G29" s="54">
        <v>1775873</v>
      </c>
      <c r="H29" s="53">
        <f t="shared" si="1"/>
        <v>3267500</v>
      </c>
      <c r="J29" s="81"/>
      <c r="L29" s="82"/>
    </row>
    <row r="30" spans="1:12" x14ac:dyDescent="0.2">
      <c r="A30" s="11">
        <f t="shared" si="2"/>
        <v>10</v>
      </c>
      <c r="B30" s="69">
        <f t="shared" si="3"/>
        <v>45199</v>
      </c>
      <c r="C30" s="54">
        <v>138798</v>
      </c>
      <c r="D30" s="54">
        <v>64651</v>
      </c>
      <c r="E30" s="54">
        <v>2230262</v>
      </c>
      <c r="F30" s="54">
        <v>28</v>
      </c>
      <c r="G30" s="54">
        <v>1540867</v>
      </c>
      <c r="H30" s="53">
        <f t="shared" si="1"/>
        <v>3974606</v>
      </c>
      <c r="J30" s="81"/>
      <c r="L30" s="82"/>
    </row>
    <row r="31" spans="1:12" x14ac:dyDescent="0.2">
      <c r="A31" s="11">
        <f t="shared" si="2"/>
        <v>11</v>
      </c>
      <c r="B31" s="69">
        <f t="shared" si="3"/>
        <v>45230</v>
      </c>
      <c r="C31" s="54">
        <v>138798</v>
      </c>
      <c r="D31" s="54">
        <v>64502</v>
      </c>
      <c r="E31" s="54">
        <v>1666521</v>
      </c>
      <c r="F31" s="54">
        <v>4</v>
      </c>
      <c r="G31" s="54">
        <v>0</v>
      </c>
      <c r="H31" s="53">
        <f t="shared" si="1"/>
        <v>1869825</v>
      </c>
      <c r="J31" s="81"/>
      <c r="L31" s="82"/>
    </row>
    <row r="32" spans="1:12" x14ac:dyDescent="0.2">
      <c r="A32" s="11">
        <f t="shared" si="2"/>
        <v>12</v>
      </c>
      <c r="B32" s="69">
        <f t="shared" si="3"/>
        <v>45260</v>
      </c>
      <c r="C32" s="54">
        <v>138798</v>
      </c>
      <c r="D32" s="54">
        <v>64354</v>
      </c>
      <c r="E32" s="54">
        <v>1801724</v>
      </c>
      <c r="F32" s="54">
        <v>33</v>
      </c>
      <c r="G32" s="54">
        <v>1374338</v>
      </c>
      <c r="H32" s="53">
        <f t="shared" si="1"/>
        <v>3379247</v>
      </c>
      <c r="J32" s="81"/>
      <c r="L32" s="82"/>
    </row>
    <row r="33" spans="1:12" x14ac:dyDescent="0.2">
      <c r="A33" s="11">
        <f t="shared" si="2"/>
        <v>13</v>
      </c>
      <c r="B33" s="69">
        <f t="shared" si="3"/>
        <v>45291</v>
      </c>
      <c r="C33" s="54">
        <v>138798</v>
      </c>
      <c r="D33" s="54">
        <v>64206</v>
      </c>
      <c r="E33" s="54">
        <v>910795</v>
      </c>
      <c r="F33" s="54">
        <v>33</v>
      </c>
      <c r="G33" s="54">
        <v>3584973</v>
      </c>
      <c r="H33" s="53">
        <f t="shared" si="1"/>
        <v>4698805</v>
      </c>
      <c r="J33" s="81"/>
      <c r="L33" s="82"/>
    </row>
    <row r="34" spans="1:12" x14ac:dyDescent="0.2">
      <c r="A34" s="11">
        <f t="shared" si="2"/>
        <v>14</v>
      </c>
      <c r="B34" s="69">
        <f t="shared" si="3"/>
        <v>45322</v>
      </c>
      <c r="C34" s="54">
        <v>138798</v>
      </c>
      <c r="D34" s="54">
        <v>62939</v>
      </c>
      <c r="E34" s="54">
        <v>862084</v>
      </c>
      <c r="F34" s="54">
        <v>24</v>
      </c>
      <c r="G34" s="54">
        <v>1169692</v>
      </c>
      <c r="H34" s="53">
        <f t="shared" si="1"/>
        <v>2233537</v>
      </c>
      <c r="J34" s="81"/>
      <c r="L34" s="82"/>
    </row>
    <row r="35" spans="1:12" x14ac:dyDescent="0.2">
      <c r="A35" s="11">
        <f t="shared" si="2"/>
        <v>15</v>
      </c>
      <c r="B35" s="69">
        <f t="shared" si="3"/>
        <v>45351</v>
      </c>
      <c r="C35" s="54">
        <v>138798</v>
      </c>
      <c r="D35" s="54">
        <v>62793</v>
      </c>
      <c r="E35" s="54">
        <v>651906</v>
      </c>
      <c r="F35" s="54">
        <v>31</v>
      </c>
      <c r="G35" s="54">
        <v>3195668</v>
      </c>
      <c r="H35" s="53">
        <f t="shared" si="1"/>
        <v>4049196</v>
      </c>
      <c r="J35" s="81"/>
      <c r="L35" s="82"/>
    </row>
    <row r="36" spans="1:12" x14ac:dyDescent="0.2">
      <c r="A36" s="11">
        <f t="shared" si="2"/>
        <v>16</v>
      </c>
      <c r="B36" s="69">
        <f t="shared" si="3"/>
        <v>45382</v>
      </c>
      <c r="C36" s="55">
        <v>138798</v>
      </c>
      <c r="D36" s="55">
        <v>62647</v>
      </c>
      <c r="E36" s="55">
        <v>776881</v>
      </c>
      <c r="F36" s="55">
        <v>37</v>
      </c>
      <c r="G36" s="55">
        <v>2589982</v>
      </c>
      <c r="H36" s="56">
        <f t="shared" si="1"/>
        <v>3568345</v>
      </c>
      <c r="J36" s="81"/>
      <c r="L36" s="82"/>
    </row>
    <row r="37" spans="1:12" x14ac:dyDescent="0.2">
      <c r="B37" s="70"/>
      <c r="C37" s="53"/>
      <c r="D37" s="53"/>
      <c r="E37" s="53"/>
      <c r="F37" s="53"/>
      <c r="G37" s="53"/>
      <c r="H37" s="53"/>
    </row>
    <row r="38" spans="1:12" ht="13.5" thickBot="1" x14ac:dyDescent="0.25">
      <c r="A38" s="11">
        <f>A36+1</f>
        <v>17</v>
      </c>
      <c r="B38" s="71" t="s">
        <v>55</v>
      </c>
      <c r="C38" s="85">
        <f t="shared" ref="C38:F38" si="4">SUM(C25:C37)</f>
        <v>1665576</v>
      </c>
      <c r="D38" s="85">
        <f t="shared" si="4"/>
        <v>771574</v>
      </c>
      <c r="E38" s="85">
        <f t="shared" si="4"/>
        <v>15964635</v>
      </c>
      <c r="F38" s="85">
        <f t="shared" si="4"/>
        <v>408</v>
      </c>
      <c r="G38" s="85">
        <f>SUM(G25:G37)</f>
        <v>20084979</v>
      </c>
      <c r="H38" s="85">
        <f>SUM(C38:G38)</f>
        <v>38487172</v>
      </c>
    </row>
    <row r="39" spans="1:12" ht="15.75" thickTop="1" thickBot="1" x14ac:dyDescent="0.25">
      <c r="A39" s="11">
        <f>A38+1</f>
        <v>18</v>
      </c>
      <c r="B39" t="s">
        <v>92</v>
      </c>
      <c r="C39" s="86"/>
      <c r="D39" s="86"/>
      <c r="E39" s="85">
        <f>ROUND(E36*12,0)</f>
        <v>9322572</v>
      </c>
      <c r="F39" s="86"/>
      <c r="G39" s="86"/>
      <c r="H39" s="87"/>
    </row>
    <row r="40" spans="1:12" ht="13.5" thickTop="1" x14ac:dyDescent="0.2">
      <c r="A40" s="11"/>
      <c r="C40" s="86"/>
      <c r="D40" s="86"/>
      <c r="E40" s="86"/>
      <c r="F40" s="86"/>
      <c r="G40" s="86"/>
      <c r="H40" s="87"/>
    </row>
    <row r="41" spans="1:12" x14ac:dyDescent="0.2">
      <c r="A41" s="11"/>
      <c r="B41" t="s">
        <v>94</v>
      </c>
      <c r="C41" s="86"/>
      <c r="D41" s="86"/>
      <c r="E41" s="86"/>
      <c r="F41" s="86"/>
      <c r="G41" s="86"/>
      <c r="H41" s="87"/>
    </row>
    <row r="42" spans="1:12" x14ac:dyDescent="0.2">
      <c r="A42" s="11"/>
      <c r="B42" t="s">
        <v>96</v>
      </c>
      <c r="C42" s="86"/>
      <c r="D42" s="86"/>
      <c r="E42" s="86"/>
      <c r="F42" s="86"/>
      <c r="G42" s="86"/>
      <c r="H42" s="87"/>
    </row>
    <row r="45" spans="1:12" x14ac:dyDescent="0.2">
      <c r="A45" s="89" t="s">
        <v>83</v>
      </c>
      <c r="B45" s="90"/>
      <c r="C45" s="90"/>
      <c r="D45" s="90"/>
      <c r="E45" s="90"/>
      <c r="F45" s="90"/>
      <c r="G45" s="90"/>
      <c r="H45" s="91"/>
    </row>
    <row r="47" spans="1:12" ht="38.25" x14ac:dyDescent="0.2">
      <c r="A47" s="80" t="s">
        <v>69</v>
      </c>
      <c r="B47" s="77" t="s">
        <v>63</v>
      </c>
      <c r="C47" s="80" t="s">
        <v>67</v>
      </c>
    </row>
    <row r="48" spans="1:12" x14ac:dyDescent="0.2">
      <c r="A48" s="11">
        <f>A39+1</f>
        <v>19</v>
      </c>
      <c r="B48" s="69">
        <f>B25</f>
        <v>45046</v>
      </c>
      <c r="C48" s="73">
        <v>0</v>
      </c>
    </row>
    <row r="49" spans="1:3" x14ac:dyDescent="0.2">
      <c r="A49" s="11">
        <f>A48+1</f>
        <v>20</v>
      </c>
      <c r="B49" s="69">
        <f t="shared" ref="B49:B59" si="5">EOMONTH(B48,1)</f>
        <v>45077</v>
      </c>
      <c r="C49" s="75">
        <v>0</v>
      </c>
    </row>
    <row r="50" spans="1:3" x14ac:dyDescent="0.2">
      <c r="A50" s="11">
        <f t="shared" ref="A50:A59" si="6">A49+1</f>
        <v>21</v>
      </c>
      <c r="B50" s="69">
        <f t="shared" si="5"/>
        <v>45107</v>
      </c>
      <c r="C50" s="75">
        <v>0</v>
      </c>
    </row>
    <row r="51" spans="1:3" x14ac:dyDescent="0.2">
      <c r="A51" s="11">
        <f t="shared" si="6"/>
        <v>22</v>
      </c>
      <c r="B51" s="69">
        <f t="shared" si="5"/>
        <v>45138</v>
      </c>
      <c r="C51" s="75">
        <v>0</v>
      </c>
    </row>
    <row r="52" spans="1:3" x14ac:dyDescent="0.2">
      <c r="A52" s="11">
        <f t="shared" si="6"/>
        <v>23</v>
      </c>
      <c r="B52" s="69">
        <f t="shared" si="5"/>
        <v>45169</v>
      </c>
      <c r="C52" s="75">
        <v>0</v>
      </c>
    </row>
    <row r="53" spans="1:3" x14ac:dyDescent="0.2">
      <c r="A53" s="11">
        <f t="shared" si="6"/>
        <v>24</v>
      </c>
      <c r="B53" s="69">
        <f t="shared" si="5"/>
        <v>45199</v>
      </c>
      <c r="C53" s="75">
        <v>0</v>
      </c>
    </row>
    <row r="54" spans="1:3" x14ac:dyDescent="0.2">
      <c r="A54" s="11">
        <f t="shared" si="6"/>
        <v>25</v>
      </c>
      <c r="B54" s="69">
        <f t="shared" si="5"/>
        <v>45230</v>
      </c>
      <c r="C54" s="75">
        <v>0</v>
      </c>
    </row>
    <row r="55" spans="1:3" x14ac:dyDescent="0.2">
      <c r="A55" s="11">
        <f t="shared" si="6"/>
        <v>26</v>
      </c>
      <c r="B55" s="69">
        <f t="shared" si="5"/>
        <v>45260</v>
      </c>
      <c r="C55" s="75">
        <v>0</v>
      </c>
    </row>
    <row r="56" spans="1:3" x14ac:dyDescent="0.2">
      <c r="A56" s="11">
        <f t="shared" si="6"/>
        <v>27</v>
      </c>
      <c r="B56" s="69">
        <f t="shared" si="5"/>
        <v>45291</v>
      </c>
      <c r="C56" s="75">
        <v>0</v>
      </c>
    </row>
    <row r="57" spans="1:3" x14ac:dyDescent="0.2">
      <c r="A57" s="11">
        <f t="shared" si="6"/>
        <v>28</v>
      </c>
      <c r="B57" s="69">
        <f t="shared" si="5"/>
        <v>45322</v>
      </c>
      <c r="C57" s="75">
        <v>0</v>
      </c>
    </row>
    <row r="58" spans="1:3" x14ac:dyDescent="0.2">
      <c r="A58" s="11">
        <f t="shared" si="6"/>
        <v>29</v>
      </c>
      <c r="B58" s="69">
        <f t="shared" si="5"/>
        <v>45351</v>
      </c>
      <c r="C58" s="75">
        <v>0</v>
      </c>
    </row>
    <row r="59" spans="1:3" x14ac:dyDescent="0.2">
      <c r="A59" s="11">
        <f t="shared" si="6"/>
        <v>30</v>
      </c>
      <c r="B59" s="69">
        <f t="shared" si="5"/>
        <v>45382</v>
      </c>
      <c r="C59" s="76">
        <v>0</v>
      </c>
    </row>
    <row r="60" spans="1:3" x14ac:dyDescent="0.2">
      <c r="B60" s="70"/>
    </row>
    <row r="61" spans="1:3" ht="13.5" thickBot="1" x14ac:dyDescent="0.25">
      <c r="A61" s="11">
        <f>A59+1</f>
        <v>31</v>
      </c>
      <c r="B61" s="71" t="s">
        <v>55</v>
      </c>
      <c r="C61" s="74">
        <f>SUM(C48:C60)</f>
        <v>0</v>
      </c>
    </row>
    <row r="62" spans="1:3" ht="13.5" thickTop="1" x14ac:dyDescent="0.2"/>
  </sheetData>
  <mergeCells count="4">
    <mergeCell ref="A4:G4"/>
    <mergeCell ref="A22:H22"/>
    <mergeCell ref="A45:H45"/>
    <mergeCell ref="A6:H6"/>
  </mergeCells>
  <printOptions horizontalCentered="1"/>
  <pageMargins left="0.2" right="0.19" top="1" bottom="0.69" header="0.3" footer="0.3"/>
  <pageSetup scale="79" orientation="portrait" r:id="rId1"/>
  <headerFooter>
    <oddHeader>&amp;R&amp;"Times New Roman,Bold"KyPSC Case No. 2025-00024
STAFF-DR-01-005 Attachment
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ABF6E-B9F7-4563-BC74-EF889D3BC1DC}">
  <sheetPr>
    <pageSetUpPr fitToPage="1"/>
  </sheetPr>
  <dimension ref="B1:J63"/>
  <sheetViews>
    <sheetView tabSelected="1" view="pageLayout" zoomScale="89" zoomScaleNormal="90" zoomScalePageLayoutView="89" workbookViewId="0"/>
  </sheetViews>
  <sheetFormatPr defaultRowHeight="12.75" x14ac:dyDescent="0.2"/>
  <cols>
    <col min="1" max="1" width="1.42578125" customWidth="1"/>
    <col min="2" max="2" width="6.5703125" customWidth="1"/>
    <col min="3" max="3" width="1.5703125" customWidth="1"/>
    <col min="4" max="4" width="79.42578125" bestFit="1" customWidth="1"/>
    <col min="5" max="5" width="3.42578125" customWidth="1"/>
    <col min="6" max="6" width="30.140625" bestFit="1" customWidth="1"/>
    <col min="7" max="7" width="4" customWidth="1"/>
    <col min="8" max="8" width="22.42578125" customWidth="1"/>
    <col min="9" max="9" width="21.5703125" customWidth="1"/>
  </cols>
  <sheetData>
    <row r="1" spans="2:10" ht="12.75" customHeight="1" x14ac:dyDescent="0.2">
      <c r="H1" s="1" t="s">
        <v>88</v>
      </c>
      <c r="I1" s="1"/>
    </row>
    <row r="2" spans="2:10" ht="12.75" customHeight="1" x14ac:dyDescent="0.2">
      <c r="H2" s="4" t="s">
        <v>91</v>
      </c>
    </row>
    <row r="3" spans="2:10" ht="12.75" customHeight="1" x14ac:dyDescent="0.2">
      <c r="B3" s="2" t="s">
        <v>61</v>
      </c>
      <c r="C3" s="2"/>
      <c r="D3" s="2"/>
      <c r="E3" s="2"/>
      <c r="F3" s="2"/>
      <c r="G3" s="2"/>
      <c r="H3" s="2"/>
      <c r="I3" s="2"/>
    </row>
    <row r="4" spans="2:10" ht="12.75" customHeight="1" x14ac:dyDescent="0.2">
      <c r="B4" s="2" t="s">
        <v>84</v>
      </c>
      <c r="C4" s="2"/>
      <c r="D4" s="2"/>
      <c r="E4" s="2"/>
      <c r="F4" s="2"/>
      <c r="G4" s="2"/>
      <c r="H4" s="2"/>
      <c r="I4" s="2"/>
    </row>
    <row r="5" spans="2:10" ht="12.75" customHeight="1" x14ac:dyDescent="0.2">
      <c r="B5" s="3"/>
      <c r="C5" s="3"/>
      <c r="D5" s="3"/>
      <c r="E5" s="3"/>
      <c r="F5" s="3"/>
      <c r="G5" s="3"/>
      <c r="H5" s="3"/>
      <c r="I5" s="3"/>
    </row>
    <row r="6" spans="2:10" ht="12.75" customHeight="1" x14ac:dyDescent="0.2"/>
    <row r="7" spans="2:10" ht="12.75" customHeight="1" x14ac:dyDescent="0.2">
      <c r="B7" s="4" t="s">
        <v>0</v>
      </c>
      <c r="H7" s="4" t="s">
        <v>1</v>
      </c>
    </row>
    <row r="8" spans="2:10" ht="14.25" customHeight="1" x14ac:dyDescent="0.25">
      <c r="B8" s="5" t="s">
        <v>2</v>
      </c>
      <c r="C8" s="6"/>
      <c r="D8" s="7" t="s">
        <v>3</v>
      </c>
      <c r="F8" s="8" t="s">
        <v>4</v>
      </c>
      <c r="H8" s="8" t="s">
        <v>5</v>
      </c>
      <c r="I8" s="60"/>
    </row>
    <row r="9" spans="2:10" ht="12.75" customHeight="1" x14ac:dyDescent="0.2">
      <c r="H9" s="9"/>
    </row>
    <row r="10" spans="2:10" ht="12.75" customHeight="1" x14ac:dyDescent="0.2">
      <c r="B10" s="11">
        <f>MAX(B$9:B9)+1</f>
        <v>1</v>
      </c>
      <c r="C10" s="11"/>
      <c r="D10" t="s">
        <v>36</v>
      </c>
      <c r="F10" s="11" t="s">
        <v>85</v>
      </c>
      <c r="H10" s="12">
        <v>67432275</v>
      </c>
      <c r="I10" s="22"/>
      <c r="J10" s="12"/>
    </row>
    <row r="11" spans="2:10" ht="12.75" customHeight="1" x14ac:dyDescent="0.2">
      <c r="B11" s="11">
        <f>MAX(B$9:B10)+1</f>
        <v>2</v>
      </c>
      <c r="C11" s="11"/>
      <c r="D11" t="s">
        <v>37</v>
      </c>
      <c r="F11" s="11" t="s">
        <v>85</v>
      </c>
      <c r="H11" s="45">
        <v>0</v>
      </c>
      <c r="I11" s="22"/>
      <c r="J11" s="12"/>
    </row>
    <row r="12" spans="2:10" ht="12.75" customHeight="1" x14ac:dyDescent="0.2">
      <c r="B12" s="11">
        <f>MAX(B$9:B11)+1</f>
        <v>3</v>
      </c>
      <c r="C12" s="11"/>
      <c r="D12" s="46" t="s">
        <v>38</v>
      </c>
      <c r="F12" s="11"/>
      <c r="H12" s="12">
        <f>H10+H11</f>
        <v>67432275</v>
      </c>
      <c r="I12" s="22"/>
      <c r="J12" s="12"/>
    </row>
    <row r="13" spans="2:10" ht="12.75" customHeight="1" x14ac:dyDescent="0.2">
      <c r="B13" s="11"/>
      <c r="C13" s="11"/>
      <c r="D13" s="46"/>
      <c r="F13" s="11"/>
      <c r="H13" s="47"/>
      <c r="I13" s="22"/>
      <c r="J13" s="12"/>
    </row>
    <row r="14" spans="2:10" ht="12.75" customHeight="1" x14ac:dyDescent="0.2">
      <c r="B14" s="11">
        <f>MAX(B$9:B13)+1</f>
        <v>4</v>
      </c>
      <c r="D14" s="48" t="s">
        <v>39</v>
      </c>
      <c r="F14" s="11"/>
      <c r="H14" s="47"/>
      <c r="I14" s="22"/>
      <c r="J14" s="12"/>
    </row>
    <row r="15" spans="2:10" ht="12.75" customHeight="1" x14ac:dyDescent="0.2">
      <c r="B15" s="11">
        <f>MAX(B$9:B14)+1</f>
        <v>5</v>
      </c>
      <c r="C15" s="11"/>
      <c r="D15" t="s">
        <v>40</v>
      </c>
      <c r="F15" s="11" t="s">
        <v>85</v>
      </c>
      <c r="H15" s="17">
        <v>18935</v>
      </c>
      <c r="I15" s="22"/>
      <c r="J15" s="12"/>
    </row>
    <row r="16" spans="2:10" ht="12.75" customHeight="1" x14ac:dyDescent="0.2">
      <c r="B16" s="11">
        <f>MAX(B$9:B15)+1</f>
        <v>6</v>
      </c>
      <c r="C16" s="11"/>
      <c r="D16" s="46" t="s">
        <v>38</v>
      </c>
      <c r="F16" s="11"/>
      <c r="H16" s="12">
        <f>SUM(H15:H15)</f>
        <v>18935</v>
      </c>
      <c r="I16" s="22"/>
      <c r="J16" s="12"/>
    </row>
    <row r="17" spans="2:10" ht="12.75" customHeight="1" x14ac:dyDescent="0.2">
      <c r="B17" s="11"/>
      <c r="C17" s="11"/>
      <c r="D17" s="46"/>
      <c r="F17" s="11"/>
      <c r="H17" s="47"/>
      <c r="I17" s="22"/>
      <c r="J17" s="12"/>
    </row>
    <row r="18" spans="2:10" ht="12.75" customHeight="1" x14ac:dyDescent="0.2">
      <c r="B18" s="11">
        <f>MAX(B$9:B17)+1</f>
        <v>7</v>
      </c>
      <c r="C18" s="11"/>
      <c r="D18" s="49" t="s">
        <v>42</v>
      </c>
      <c r="F18" s="11"/>
      <c r="H18" s="47"/>
      <c r="I18" s="22"/>
      <c r="J18" s="12"/>
    </row>
    <row r="19" spans="2:10" ht="12.75" customHeight="1" x14ac:dyDescent="0.2">
      <c r="B19" s="11">
        <f>MAX(B$9:B18)+1</f>
        <v>8</v>
      </c>
      <c r="C19" s="11"/>
      <c r="D19" t="s">
        <v>43</v>
      </c>
      <c r="F19" s="11" t="s">
        <v>85</v>
      </c>
      <c r="H19" s="12">
        <v>4480372</v>
      </c>
      <c r="I19" s="22"/>
      <c r="J19" s="12"/>
    </row>
    <row r="20" spans="2:10" ht="12.75" customHeight="1" x14ac:dyDescent="0.2">
      <c r="B20" s="11">
        <f>MAX(B$9:B19)+1</f>
        <v>9</v>
      </c>
      <c r="C20" s="11"/>
      <c r="D20" t="s">
        <v>44</v>
      </c>
      <c r="F20" s="11" t="s">
        <v>85</v>
      </c>
      <c r="H20" s="50">
        <v>4584733</v>
      </c>
      <c r="I20" s="22"/>
      <c r="J20" s="12"/>
    </row>
    <row r="21" spans="2:10" ht="12.75" customHeight="1" x14ac:dyDescent="0.2">
      <c r="B21" s="11">
        <f>MAX(B$9:B20)+1</f>
        <v>10</v>
      </c>
      <c r="C21" s="11"/>
      <c r="D21" t="s">
        <v>45</v>
      </c>
      <c r="F21" s="11" t="s">
        <v>85</v>
      </c>
      <c r="H21" s="45">
        <v>0</v>
      </c>
      <c r="I21" s="22"/>
      <c r="J21" s="12"/>
    </row>
    <row r="22" spans="2:10" ht="12.75" customHeight="1" x14ac:dyDescent="0.2">
      <c r="B22" s="11">
        <f>MAX(B$9:B21)+1</f>
        <v>11</v>
      </c>
      <c r="C22" s="11"/>
      <c r="D22" s="46" t="s">
        <v>38</v>
      </c>
      <c r="F22" s="11"/>
      <c r="H22" s="12">
        <f>SUM(H19:H21)</f>
        <v>9065105</v>
      </c>
      <c r="I22" s="22"/>
      <c r="J22" s="12"/>
    </row>
    <row r="23" spans="2:10" ht="12.75" customHeight="1" x14ac:dyDescent="0.2">
      <c r="B23" s="10"/>
      <c r="C23" s="10"/>
      <c r="F23" s="11"/>
      <c r="G23" s="10"/>
      <c r="H23" s="12"/>
      <c r="I23" s="22"/>
      <c r="J23" s="12"/>
    </row>
    <row r="24" spans="2:10" ht="12.75" customHeight="1" x14ac:dyDescent="0.2">
      <c r="B24" s="11">
        <f>MAX(B$9:B23)+1</f>
        <v>12</v>
      </c>
      <c r="C24" s="10"/>
      <c r="D24" t="s">
        <v>6</v>
      </c>
      <c r="F24" s="11" t="s">
        <v>85</v>
      </c>
      <c r="G24" s="10"/>
      <c r="H24" s="12">
        <f>H12+H16-H22</f>
        <v>58386105</v>
      </c>
      <c r="I24" s="22"/>
      <c r="J24" s="12"/>
    </row>
    <row r="25" spans="2:10" ht="12.75" customHeight="1" x14ac:dyDescent="0.2">
      <c r="B25" s="10"/>
      <c r="C25" s="10"/>
      <c r="F25" s="11"/>
      <c r="G25" s="10"/>
      <c r="H25" s="12"/>
      <c r="I25" s="22"/>
      <c r="J25" s="12"/>
    </row>
    <row r="26" spans="2:10" ht="12.75" customHeight="1" x14ac:dyDescent="0.2">
      <c r="B26" s="10">
        <f>MAX(B$9:B25)+1</f>
        <v>13</v>
      </c>
      <c r="C26" s="10"/>
      <c r="D26" t="s">
        <v>7</v>
      </c>
      <c r="F26" s="11"/>
      <c r="G26" s="10"/>
      <c r="H26" s="15">
        <v>8.8220000000000007E-2</v>
      </c>
      <c r="I26" s="15"/>
    </row>
    <row r="27" spans="2:10" ht="12.75" customHeight="1" x14ac:dyDescent="0.2">
      <c r="B27" s="10"/>
      <c r="C27" s="10"/>
      <c r="F27" s="11"/>
      <c r="G27" s="10"/>
      <c r="H27" s="16"/>
      <c r="I27" s="83"/>
    </row>
    <row r="28" spans="2:10" ht="12.75" customHeight="1" x14ac:dyDescent="0.2">
      <c r="B28" s="10">
        <f>MAX(B$9:B27)+1</f>
        <v>14</v>
      </c>
      <c r="C28" s="10"/>
      <c r="D28" t="s">
        <v>8</v>
      </c>
      <c r="F28" s="10" t="s">
        <v>60</v>
      </c>
      <c r="G28" s="10"/>
      <c r="H28" s="12">
        <f>ROUND(H24*H26,0)</f>
        <v>5150822</v>
      </c>
      <c r="I28" s="12"/>
    </row>
    <row r="29" spans="2:10" ht="12.75" customHeight="1" x14ac:dyDescent="0.2">
      <c r="B29" s="10"/>
      <c r="C29" s="10"/>
      <c r="F29" s="11"/>
      <c r="G29" s="10"/>
      <c r="H29" s="12"/>
      <c r="I29" s="22"/>
    </row>
    <row r="30" spans="2:10" ht="12.75" customHeight="1" x14ac:dyDescent="0.2">
      <c r="B30" s="11">
        <f>MAX(B$9:B29)+1</f>
        <v>15</v>
      </c>
      <c r="C30" s="11"/>
      <c r="D30" s="51" t="s">
        <v>46</v>
      </c>
      <c r="E30" s="11"/>
      <c r="G30" s="47"/>
      <c r="H30" s="12"/>
      <c r="I30" s="22"/>
    </row>
    <row r="31" spans="2:10" ht="12.75" customHeight="1" x14ac:dyDescent="0.2">
      <c r="B31" s="11"/>
      <c r="C31" s="11"/>
      <c r="E31" s="11"/>
      <c r="G31" s="47"/>
      <c r="H31" s="12"/>
      <c r="I31" s="22"/>
    </row>
    <row r="32" spans="2:10" ht="12.75" customHeight="1" x14ac:dyDescent="0.2">
      <c r="B32" s="11">
        <f>MAX(B$9:B31)+1</f>
        <v>16</v>
      </c>
      <c r="C32" s="11"/>
      <c r="D32" t="s">
        <v>47</v>
      </c>
      <c r="F32" s="11"/>
      <c r="H32" s="12">
        <v>1665492</v>
      </c>
      <c r="I32" s="22"/>
    </row>
    <row r="33" spans="2:9" ht="12.75" customHeight="1" x14ac:dyDescent="0.2">
      <c r="B33" s="11">
        <f>MAX(B$9:B32)+1</f>
        <v>17</v>
      </c>
      <c r="C33" s="11"/>
      <c r="D33" t="s">
        <v>48</v>
      </c>
      <c r="F33" s="11"/>
      <c r="H33" s="12">
        <v>855261</v>
      </c>
      <c r="I33" s="22"/>
    </row>
    <row r="34" spans="2:9" ht="12.75" customHeight="1" x14ac:dyDescent="0.2">
      <c r="B34" s="11">
        <f>MAX(B$9:B33)+1</f>
        <v>18</v>
      </c>
      <c r="C34" s="11"/>
      <c r="D34" t="s">
        <v>56</v>
      </c>
      <c r="F34" s="11"/>
      <c r="H34" s="12">
        <v>3749774</v>
      </c>
      <c r="I34" s="22"/>
    </row>
    <row r="35" spans="2:9" ht="12.75" customHeight="1" x14ac:dyDescent="0.2">
      <c r="B35" s="11">
        <f>MAX(B$9:B34)+1</f>
        <v>19</v>
      </c>
      <c r="C35" s="11"/>
      <c r="D35" t="s">
        <v>57</v>
      </c>
      <c r="F35" s="11"/>
      <c r="H35" s="12">
        <v>663</v>
      </c>
      <c r="I35" s="22"/>
    </row>
    <row r="36" spans="2:9" ht="12.75" customHeight="1" x14ac:dyDescent="0.2">
      <c r="B36" s="11">
        <f>MAX(B$9:B35)+1</f>
        <v>20</v>
      </c>
      <c r="C36" s="11"/>
      <c r="D36" t="s">
        <v>58</v>
      </c>
      <c r="F36" s="11"/>
      <c r="H36" s="17">
        <v>11618201</v>
      </c>
      <c r="I36" s="22"/>
    </row>
    <row r="37" spans="2:9" ht="12.75" customHeight="1" x14ac:dyDescent="0.2">
      <c r="B37" s="11">
        <f>MAX(B$9:B36)+1</f>
        <v>21</v>
      </c>
      <c r="C37" s="11"/>
      <c r="D37" t="s">
        <v>49</v>
      </c>
      <c r="F37" s="11" t="s">
        <v>76</v>
      </c>
      <c r="H37" s="12">
        <f>SUM(H32:H36)</f>
        <v>17889391</v>
      </c>
      <c r="I37" s="22"/>
    </row>
    <row r="38" spans="2:9" ht="12.75" customHeight="1" x14ac:dyDescent="0.2">
      <c r="B38" s="10"/>
      <c r="C38" s="10"/>
      <c r="F38" s="11"/>
      <c r="G38" s="10"/>
      <c r="H38" s="12"/>
      <c r="I38" s="22"/>
    </row>
    <row r="39" spans="2:9" ht="12.75" customHeight="1" x14ac:dyDescent="0.2">
      <c r="B39" s="10">
        <f>MAX(B$9:B38)+1</f>
        <v>22</v>
      </c>
      <c r="C39" s="10"/>
      <c r="D39" s="13" t="s">
        <v>68</v>
      </c>
      <c r="F39" s="11"/>
      <c r="G39" s="10"/>
      <c r="H39" s="17">
        <v>0</v>
      </c>
      <c r="I39" s="22"/>
    </row>
    <row r="40" spans="2:9" ht="12.75" customHeight="1" x14ac:dyDescent="0.2">
      <c r="B40" s="11"/>
      <c r="C40" s="11"/>
      <c r="H40" s="14"/>
      <c r="I40" s="61"/>
    </row>
    <row r="41" spans="2:9" ht="12.75" customHeight="1" x14ac:dyDescent="0.2">
      <c r="B41" s="11"/>
      <c r="C41" s="11"/>
      <c r="H41" s="14"/>
      <c r="I41" s="61"/>
    </row>
    <row r="42" spans="2:9" ht="12.75" customHeight="1" x14ac:dyDescent="0.2">
      <c r="B42" s="10">
        <f>MAX(B$9:B40)+1</f>
        <v>23</v>
      </c>
      <c r="C42" s="10"/>
      <c r="D42" s="13" t="s">
        <v>9</v>
      </c>
      <c r="F42" s="10" t="s">
        <v>70</v>
      </c>
      <c r="G42" s="10"/>
      <c r="H42" s="12">
        <f>H28+H37-H39</f>
        <v>23040213</v>
      </c>
      <c r="I42" s="22"/>
    </row>
    <row r="43" spans="2:9" ht="12.75" customHeight="1" x14ac:dyDescent="0.2">
      <c r="I43" s="24"/>
    </row>
    <row r="44" spans="2:9" ht="12.75" customHeight="1" x14ac:dyDescent="0.2">
      <c r="B44" s="10">
        <f>MAX(B$9:B43)+1</f>
        <v>24</v>
      </c>
      <c r="C44" s="10"/>
      <c r="D44" t="s">
        <v>10</v>
      </c>
      <c r="F44" s="18" t="s">
        <v>89</v>
      </c>
      <c r="G44" s="10"/>
      <c r="H44" s="19">
        <f>I57</f>
        <v>0.97809999999999997</v>
      </c>
      <c r="I44" s="62"/>
    </row>
    <row r="45" spans="2:9" ht="12.75" customHeight="1" x14ac:dyDescent="0.2">
      <c r="B45" s="11"/>
      <c r="C45" s="11"/>
      <c r="I45" s="24"/>
    </row>
    <row r="46" spans="2:9" ht="12.75" customHeight="1" thickBot="1" x14ac:dyDescent="0.25">
      <c r="B46" s="10">
        <f>MAX(B$9:B45)+1</f>
        <v>25</v>
      </c>
      <c r="C46" s="10"/>
      <c r="D46" t="s">
        <v>59</v>
      </c>
      <c r="F46" s="11" t="s">
        <v>71</v>
      </c>
      <c r="G46" s="10"/>
      <c r="H46" s="20">
        <f>ROUND(H42*H44,0)</f>
        <v>22535632</v>
      </c>
      <c r="I46" s="22"/>
    </row>
    <row r="47" spans="2:9" ht="12.75" customHeight="1" thickTop="1" x14ac:dyDescent="0.2">
      <c r="B47" s="11"/>
      <c r="C47" s="11"/>
      <c r="H47" s="14"/>
      <c r="I47" s="61"/>
    </row>
    <row r="48" spans="2:9" ht="13.5" customHeight="1" thickBot="1" x14ac:dyDescent="0.25">
      <c r="B48" s="10">
        <f>MAX(B$9:B47)+1</f>
        <v>26</v>
      </c>
      <c r="C48" s="11"/>
      <c r="D48" t="s">
        <v>12</v>
      </c>
      <c r="F48" s="10" t="s">
        <v>72</v>
      </c>
      <c r="H48" s="20">
        <f>H42-H46</f>
        <v>504581</v>
      </c>
      <c r="I48" s="22"/>
    </row>
    <row r="49" spans="2:10" ht="12.75" customHeight="1" thickTop="1" x14ac:dyDescent="0.2">
      <c r="B49" s="11"/>
      <c r="C49" s="11"/>
    </row>
    <row r="50" spans="2:10" ht="12.75" customHeight="1" x14ac:dyDescent="0.2">
      <c r="B50" s="10">
        <f>MAX(B$9:B49)+1</f>
        <v>27</v>
      </c>
      <c r="C50" s="11"/>
      <c r="D50" s="64" t="s">
        <v>13</v>
      </c>
      <c r="E50" s="21"/>
      <c r="F50" s="66" t="s">
        <v>73</v>
      </c>
      <c r="G50" s="21"/>
      <c r="H50" s="34">
        <f>H46</f>
        <v>22535632</v>
      </c>
      <c r="I50" s="22"/>
    </row>
    <row r="51" spans="2:10" ht="12.75" customHeight="1" x14ac:dyDescent="0.2">
      <c r="B51" s="10">
        <f>MAX(B$9:B50)+1</f>
        <v>28</v>
      </c>
      <c r="C51" s="11"/>
      <c r="D51" s="64" t="s">
        <v>14</v>
      </c>
      <c r="E51" s="21"/>
      <c r="F51" s="21"/>
      <c r="G51" s="23"/>
      <c r="H51" s="84">
        <v>0</v>
      </c>
      <c r="I51" s="22"/>
      <c r="J51" s="24"/>
    </row>
    <row r="52" spans="2:10" ht="12.75" customHeight="1" thickBot="1" x14ac:dyDescent="0.25">
      <c r="B52" s="10">
        <f>MAX(B$9:B51)+1</f>
        <v>29</v>
      </c>
      <c r="C52" s="11"/>
      <c r="D52" s="64" t="s">
        <v>15</v>
      </c>
      <c r="E52" s="21"/>
      <c r="F52" s="67" t="s">
        <v>74</v>
      </c>
      <c r="G52" s="23"/>
      <c r="H52" s="65">
        <f>H50-H51</f>
        <v>22535632</v>
      </c>
      <c r="I52" s="22"/>
      <c r="J52" s="24"/>
    </row>
    <row r="53" spans="2:10" ht="12.75" customHeight="1" thickTop="1" x14ac:dyDescent="0.2">
      <c r="B53" s="11"/>
      <c r="C53" s="11"/>
    </row>
    <row r="54" spans="2:10" ht="12.75" customHeight="1" x14ac:dyDescent="0.2"/>
    <row r="55" spans="2:10" ht="12.75" customHeight="1" x14ac:dyDescent="0.2">
      <c r="B55" s="25" t="s">
        <v>86</v>
      </c>
    </row>
    <row r="56" spans="2:10" ht="12.75" customHeight="1" x14ac:dyDescent="0.2">
      <c r="B56" s="32"/>
      <c r="C56" s="26"/>
      <c r="D56" s="26"/>
      <c r="E56" s="26"/>
      <c r="F56" s="26"/>
      <c r="G56" s="26"/>
      <c r="H56" s="26"/>
      <c r="I56" s="33"/>
    </row>
    <row r="57" spans="2:10" ht="12.75" customHeight="1" x14ac:dyDescent="0.2">
      <c r="B57" s="28">
        <f>MAX(B$9:B56)+1</f>
        <v>30</v>
      </c>
      <c r="D57" t="s">
        <v>16</v>
      </c>
      <c r="F57" s="11" t="s">
        <v>87</v>
      </c>
      <c r="H57" s="34">
        <v>30814215</v>
      </c>
      <c r="I57" s="29">
        <f>ROUND(H57/$H$61,4)</f>
        <v>0.97809999999999997</v>
      </c>
    </row>
    <row r="58" spans="2:10" ht="12.75" customHeight="1" x14ac:dyDescent="0.2">
      <c r="B58" s="27"/>
      <c r="F58" s="11"/>
      <c r="H58" s="63"/>
      <c r="I58" s="35"/>
    </row>
    <row r="59" spans="2:10" ht="12.75" customHeight="1" x14ac:dyDescent="0.2">
      <c r="B59" s="28">
        <f>MAX(B$9:B58)+1</f>
        <v>31</v>
      </c>
      <c r="D59" t="s">
        <v>17</v>
      </c>
      <c r="F59" s="11" t="s">
        <v>87</v>
      </c>
      <c r="H59" s="34">
        <v>689648</v>
      </c>
      <c r="I59" s="36">
        <f>I61-I57</f>
        <v>2.1900000000000031E-2</v>
      </c>
    </row>
    <row r="60" spans="2:10" ht="12.75" customHeight="1" x14ac:dyDescent="0.2">
      <c r="B60" s="27"/>
      <c r="H60" s="12"/>
      <c r="I60" s="35"/>
    </row>
    <row r="61" spans="2:10" ht="12.75" customHeight="1" x14ac:dyDescent="0.2">
      <c r="B61" s="28">
        <f>MAX(B$9:B60)+1</f>
        <v>32</v>
      </c>
      <c r="D61" t="s">
        <v>18</v>
      </c>
      <c r="F61" s="11" t="s">
        <v>75</v>
      </c>
      <c r="H61" s="12">
        <f>H57+H59</f>
        <v>31503863</v>
      </c>
      <c r="I61" s="29">
        <f>ROUND(H61/$H$61,4)</f>
        <v>1</v>
      </c>
    </row>
    <row r="62" spans="2:10" ht="12.75" customHeight="1" x14ac:dyDescent="0.2">
      <c r="B62" s="37"/>
      <c r="C62" s="30"/>
      <c r="D62" s="30"/>
      <c r="E62" s="30"/>
      <c r="F62" s="30"/>
      <c r="G62" s="30"/>
      <c r="H62" s="30"/>
      <c r="I62" s="31"/>
    </row>
    <row r="63" spans="2:10" ht="12.75" customHeight="1" x14ac:dyDescent="0.2"/>
  </sheetData>
  <printOptions horizontalCentered="1"/>
  <pageMargins left="0.5" right="0.5" top="1" bottom="1" header="0.3" footer="0.3"/>
  <pageSetup scale="57" orientation="portrait" r:id="rId1"/>
  <headerFooter>
    <oddHeader>&amp;R&amp;"Times New Roman,Bold"KyPSC Case No. 2025-00024
STAFF-DR-01-005 Attachment
Page &amp;P of &amp;N</oddHeader>
  </headerFooter>
  <ignoredErrors>
    <ignoredError sqref="F5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C1540F21A0F844A42A9A1247D1E344" ma:contentTypeVersion="4" ma:contentTypeDescription="Create a new document." ma:contentTypeScope="" ma:versionID="53a8331822f22778d678c4d878ecc0fd">
  <xsd:schema xmlns:xsd="http://www.w3.org/2001/XMLSchema" xmlns:xs="http://www.w3.org/2001/XMLSchema" xmlns:p="http://schemas.microsoft.com/office/2006/metadata/properties" xmlns:ns2="2612a682-5ffb-4b9c-9555-017618935178" xmlns:ns3="3c9d8c27-8a6d-4d9e-a15e-ef5d28c114af" targetNamespace="http://schemas.microsoft.com/office/2006/metadata/properties" ma:root="true" ma:fieldsID="147db5eb7ec7a17abbdcc7f7c35c2451" ns2:_="" ns3:_="">
    <xsd:import namespace="2612a682-5ffb-4b9c-9555-017618935178"/>
    <xsd:import namespace="3c9d8c27-8a6d-4d9e-a15e-ef5d28c114af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2a682-5ffb-4b9c-9555-017618935178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9d8c27-8a6d-4d9e-a15e-ef5d28c114a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2612a682-5ffb-4b9c-9555-017618935178">Miller</Witness>
  </documentManagement>
</p:properties>
</file>

<file path=customXml/itemProps1.xml><?xml version="1.0" encoding="utf-8"?>
<ds:datastoreItem xmlns:ds="http://schemas.openxmlformats.org/officeDocument/2006/customXml" ds:itemID="{DA923904-70AC-42FC-BED7-4801B2404D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12a682-5ffb-4b9c-9555-017618935178"/>
    <ds:schemaRef ds:uri="3c9d8c27-8a6d-4d9e-a15e-ef5d28c114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69378C-9D15-4F05-9581-713FA2AAB4A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435EF50-D490-4A69-A5AE-7DFDD064D593}">
  <ds:schemaRefs>
    <ds:schemaRef ds:uri="http://purl.org/dc/elements/1.1/"/>
    <ds:schemaRef ds:uri="http://purl.org/dc/dcmitype/"/>
    <ds:schemaRef ds:uri="http://www.w3.org/XML/1998/namespace"/>
    <ds:schemaRef ds:uri="3c9d8c27-8a6d-4d9e-a15e-ef5d28c114af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2612a682-5ffb-4b9c-9555-017618935178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Support Schedule A</vt:lpstr>
      <vt:lpstr>Support Schedule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Roll-Into Base Rates</dc:subject>
  <dc:creator>Steinkuhl, Lisa D</dc:creator>
  <cp:lastModifiedBy>Gates, Debbie</cp:lastModifiedBy>
  <cp:lastPrinted>2025-03-10T17:19:31Z</cp:lastPrinted>
  <dcterms:created xsi:type="dcterms:W3CDTF">2024-01-10T17:06:00Z</dcterms:created>
  <dcterms:modified xsi:type="dcterms:W3CDTF">2025-03-14T20:58:43Z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0x010100D1C1540F21A0F844A42A9A1247D1E344</vt:lpwstr>
  </property>
</Properties>
</file>