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Allen County WD/"/>
    </mc:Choice>
  </mc:AlternateContent>
  <xr:revisionPtr revIDLastSave="1" documentId="8_{605E8B95-BF16-4FC9-8B92-F62B5D0EC02A}" xr6:coauthVersionLast="47" xr6:coauthVersionMax="47" xr10:uidLastSave="{793A2E3B-D3E2-4403-B2B1-667FFD1DE43A}"/>
  <bookViews>
    <workbookView xWindow="-98" yWindow="-98" windowWidth="21795" windowHeight="13875" tabRatio="736" xr2:uid="{88AE71C2-9F50-4F1D-A887-E0860020B574}"/>
  </bookViews>
  <sheets>
    <sheet name="SAO" sheetId="6" r:id="rId1"/>
    <sheet name="Wages" sheetId="55" r:id="rId2"/>
    <sheet name="Med" sheetId="40" r:id="rId3"/>
    <sheet name="Depr" sheetId="59" r:id="rId4"/>
    <sheet name="Debt" sheetId="50" r:id="rId5"/>
    <sheet name="Purchase" sheetId="54" r:id="rId6"/>
    <sheet name="Rates_%" sheetId="66" r:id="rId7"/>
    <sheet name="Bills " sheetId="69" r:id="rId8"/>
    <sheet name="Bills  with surcharge" sheetId="70" r:id="rId9"/>
    <sheet name="Mtrx" sheetId="60" r:id="rId10"/>
    <sheet name="AllocPlt" sheetId="65" r:id="rId11"/>
    <sheet name="AllocOM" sheetId="61" r:id="rId12"/>
    <sheet name="AllocSum" sheetId="62" r:id="rId13"/>
    <sheet name="Units" sheetId="63" r:id="rId14"/>
    <sheet name="CalcRates" sheetId="64" r:id="rId15"/>
    <sheet name="COS_rates" sheetId="2" r:id="rId16"/>
    <sheet name="COS Bills" sheetId="42" r:id="rId17"/>
    <sheet name="ExBA" sheetId="52" r:id="rId18"/>
    <sheet name="PrBAcos" sheetId="58" r:id="rId19"/>
    <sheet name="PrBA%" sheetId="67" r:id="rId20"/>
  </sheets>
  <externalReferences>
    <externalReference r:id="rId21"/>
  </externalReferences>
  <definedNames>
    <definedName name="AHV">#REF!</definedName>
    <definedName name="_xlnm.Print_Area" localSheetId="7">'Bills '!#REF!</definedName>
    <definedName name="_xlnm.Print_Area" localSheetId="8">'Bills  with surcharge'!#REF!</definedName>
    <definedName name="_xlnm.Print_Area" localSheetId="16">'COS Bills'!#REF!</definedName>
    <definedName name="_xlnm.Print_Area" localSheetId="15">COS_rates!$A$1:$N$31</definedName>
    <definedName name="_xlnm.Print_Area" localSheetId="4">Debt!$A$1:$O$25</definedName>
    <definedName name="_xlnm.Print_Area" localSheetId="17">ExBA!$A$1:$J$93</definedName>
    <definedName name="_xlnm.Print_Area" localSheetId="19">'PrBA%'!$A$1:$I$89</definedName>
    <definedName name="_xlnm.Print_Area" localSheetId="18">PrBAcos!$A$1:$H$5</definedName>
    <definedName name="_xlnm.Print_Area" localSheetId="6">'Rates_%'!$A$1:$P$36</definedName>
    <definedName name="_xlnm.Print_Area" localSheetId="0">SAO!$A$1:$J$56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7" l="1"/>
  <c r="F11" i="67"/>
  <c r="E11" i="67"/>
  <c r="G10" i="67"/>
  <c r="F10" i="67"/>
  <c r="E10" i="67"/>
  <c r="E83" i="67"/>
  <c r="E82" i="67"/>
  <c r="E81" i="67"/>
  <c r="B83" i="67"/>
  <c r="B82" i="67"/>
  <c r="B81" i="67"/>
  <c r="D77" i="67"/>
  <c r="C77" i="67"/>
  <c r="C81" i="67" s="1"/>
  <c r="C84" i="67" s="1"/>
  <c r="F76" i="67"/>
  <c r="E74" i="67"/>
  <c r="L74" i="67" s="1"/>
  <c r="G73" i="67"/>
  <c r="F73" i="67"/>
  <c r="E73" i="67"/>
  <c r="E76" i="67" s="1"/>
  <c r="G10" i="52"/>
  <c r="F10" i="52"/>
  <c r="E10" i="52"/>
  <c r="G9" i="52"/>
  <c r="F9" i="52"/>
  <c r="E9" i="52"/>
  <c r="E87" i="52"/>
  <c r="E86" i="52"/>
  <c r="E85" i="52"/>
  <c r="B87" i="52"/>
  <c r="B86" i="52"/>
  <c r="B85" i="52"/>
  <c r="D81" i="52"/>
  <c r="C81" i="52"/>
  <c r="C85" i="52" s="1"/>
  <c r="C88" i="52" s="1"/>
  <c r="F80" i="52"/>
  <c r="E80" i="52"/>
  <c r="E78" i="52"/>
  <c r="G77" i="52"/>
  <c r="F77" i="52"/>
  <c r="E77" i="52"/>
  <c r="E79" i="52" s="1"/>
  <c r="O35" i="66"/>
  <c r="D35" i="70"/>
  <c r="D33" i="70"/>
  <c r="D30" i="70"/>
  <c r="D29" i="70"/>
  <c r="D28" i="70"/>
  <c r="D27" i="70"/>
  <c r="D24" i="70"/>
  <c r="D22" i="70"/>
  <c r="D21" i="70"/>
  <c r="D17" i="70"/>
  <c r="D16" i="70"/>
  <c r="D15" i="70"/>
  <c r="D14" i="70"/>
  <c r="D13" i="70"/>
  <c r="G31" i="60"/>
  <c r="F31" i="60"/>
  <c r="H31" i="60"/>
  <c r="M28" i="61"/>
  <c r="C36" i="60"/>
  <c r="C35" i="60"/>
  <c r="C34" i="60"/>
  <c r="C34" i="70"/>
  <c r="D34" i="70" s="1"/>
  <c r="D18" i="70"/>
  <c r="D18" i="69"/>
  <c r="D17" i="69"/>
  <c r="D16" i="69"/>
  <c r="D15" i="69"/>
  <c r="D24" i="69"/>
  <c r="D22" i="69"/>
  <c r="D21" i="69"/>
  <c r="D30" i="69"/>
  <c r="D29" i="69"/>
  <c r="D28" i="69"/>
  <c r="D27" i="69"/>
  <c r="D35" i="69"/>
  <c r="D33" i="69"/>
  <c r="C34" i="69"/>
  <c r="D34" i="69" s="1"/>
  <c r="D14" i="69"/>
  <c r="D13" i="69"/>
  <c r="D51" i="54"/>
  <c r="F81" i="67" l="1"/>
  <c r="E75" i="67"/>
  <c r="G76" i="67"/>
  <c r="G77" i="67" s="1"/>
  <c r="D83" i="67" s="1"/>
  <c r="F83" i="67" s="1"/>
  <c r="E77" i="67"/>
  <c r="D81" i="67" s="1"/>
  <c r="F75" i="67"/>
  <c r="F77" i="67" s="1"/>
  <c r="D82" i="67" s="1"/>
  <c r="F82" i="67" s="1"/>
  <c r="E81" i="52"/>
  <c r="D85" i="52" s="1"/>
  <c r="F85" i="52"/>
  <c r="F79" i="52"/>
  <c r="F81" i="52" s="1"/>
  <c r="D86" i="52" s="1"/>
  <c r="F86" i="52" s="1"/>
  <c r="G80" i="52"/>
  <c r="G81" i="52" s="1"/>
  <c r="D87" i="52" s="1"/>
  <c r="F87" i="52" s="1"/>
  <c r="J78" i="52"/>
  <c r="R16" i="50"/>
  <c r="Q16" i="50"/>
  <c r="R15" i="50"/>
  <c r="R14" i="50"/>
  <c r="Q14" i="50"/>
  <c r="R13" i="50"/>
  <c r="Q13" i="50"/>
  <c r="R12" i="50"/>
  <c r="Q12" i="50"/>
  <c r="F84" i="67" l="1"/>
  <c r="D84" i="67"/>
  <c r="L76" i="67"/>
  <c r="N76" i="67" s="1"/>
  <c r="L75" i="67"/>
  <c r="L77" i="67" s="1"/>
  <c r="J79" i="52"/>
  <c r="J80" i="52"/>
  <c r="F88" i="52"/>
  <c r="D88" i="52"/>
  <c r="R18" i="50"/>
  <c r="Q18" i="50"/>
  <c r="D15" i="50"/>
  <c r="F14" i="67"/>
  <c r="H22" i="6"/>
  <c r="F22" i="6"/>
  <c r="G17" i="52"/>
  <c r="F13" i="52"/>
  <c r="J81" i="52" l="1"/>
  <c r="C11" i="54"/>
  <c r="F24" i="6"/>
  <c r="E93" i="52"/>
  <c r="E72" i="52"/>
  <c r="E71" i="52"/>
  <c r="E70" i="52"/>
  <c r="E57" i="52"/>
  <c r="E56" i="52"/>
  <c r="E55" i="52"/>
  <c r="E54" i="52"/>
  <c r="E53" i="52"/>
  <c r="E38" i="52"/>
  <c r="E37" i="52"/>
  <c r="E36" i="52"/>
  <c r="E35" i="52"/>
  <c r="E34" i="52"/>
  <c r="B68" i="67" l="1"/>
  <c r="B67" i="67"/>
  <c r="B66" i="67"/>
  <c r="D62" i="67"/>
  <c r="C62" i="67"/>
  <c r="C66" i="67" s="1"/>
  <c r="C69" i="67" s="1"/>
  <c r="E14" i="67" s="1"/>
  <c r="E59" i="67"/>
  <c r="L59" i="67" s="1"/>
  <c r="G58" i="67"/>
  <c r="F58" i="67"/>
  <c r="F61" i="67" s="1"/>
  <c r="E58" i="67"/>
  <c r="E61" i="67" s="1"/>
  <c r="B53" i="67"/>
  <c r="B49" i="67"/>
  <c r="D45" i="67"/>
  <c r="F8" i="67" s="1"/>
  <c r="C45" i="67"/>
  <c r="E8" i="67" s="1"/>
  <c r="E40" i="67"/>
  <c r="I39" i="67"/>
  <c r="H39" i="67"/>
  <c r="H44" i="67" s="1"/>
  <c r="G39" i="67"/>
  <c r="G43" i="67" s="1"/>
  <c r="F39" i="67"/>
  <c r="F43" i="67" s="1"/>
  <c r="E39" i="67"/>
  <c r="E44" i="67" s="1"/>
  <c r="B34" i="67"/>
  <c r="B32" i="67"/>
  <c r="B31" i="67"/>
  <c r="B30" i="67"/>
  <c r="D26" i="67"/>
  <c r="F7" i="67" s="1"/>
  <c r="C26" i="67"/>
  <c r="E7" i="67" s="1"/>
  <c r="E23" i="67"/>
  <c r="E22" i="67"/>
  <c r="E21" i="67"/>
  <c r="L21" i="67" s="1"/>
  <c r="I20" i="67"/>
  <c r="H20" i="67"/>
  <c r="H25" i="67" s="1"/>
  <c r="G20" i="67"/>
  <c r="G25" i="67" s="1"/>
  <c r="F20" i="67"/>
  <c r="F25" i="67" s="1"/>
  <c r="E20" i="67"/>
  <c r="E25" i="67" s="1"/>
  <c r="D19" i="62"/>
  <c r="G44" i="67" l="1"/>
  <c r="E60" i="67"/>
  <c r="E62" i="67" s="1"/>
  <c r="D66" i="67" s="1"/>
  <c r="F24" i="67"/>
  <c r="E41" i="67"/>
  <c r="F41" i="67" s="1"/>
  <c r="G24" i="67"/>
  <c r="E42" i="67"/>
  <c r="F42" i="67"/>
  <c r="E24" i="67"/>
  <c r="H24" i="67" s="1"/>
  <c r="H26" i="67" s="1"/>
  <c r="D33" i="67" s="1"/>
  <c r="E43" i="67"/>
  <c r="H43" i="67" s="1"/>
  <c r="H45" i="67" s="1"/>
  <c r="D52" i="67" s="1"/>
  <c r="F23" i="67"/>
  <c r="G23" i="67" s="1"/>
  <c r="G26" i="67" s="1"/>
  <c r="D32" i="67" s="1"/>
  <c r="F44" i="67"/>
  <c r="I44" i="67" s="1"/>
  <c r="I45" i="67" s="1"/>
  <c r="D53" i="67" s="1"/>
  <c r="I25" i="67"/>
  <c r="I26" i="67" s="1"/>
  <c r="D34" i="67" s="1"/>
  <c r="E9" i="67"/>
  <c r="E13" i="67" s="1"/>
  <c r="E15" i="67" s="1"/>
  <c r="C49" i="67"/>
  <c r="F22" i="67"/>
  <c r="L41" i="67"/>
  <c r="G61" i="67"/>
  <c r="G62" i="67" s="1"/>
  <c r="D68" i="67" s="1"/>
  <c r="L24" i="67"/>
  <c r="C30" i="67"/>
  <c r="L40" i="67"/>
  <c r="D42" i="42"/>
  <c r="D43" i="42" s="1"/>
  <c r="D44" i="42" s="1"/>
  <c r="D45" i="58"/>
  <c r="D33" i="58"/>
  <c r="E28" i="58"/>
  <c r="D27" i="58"/>
  <c r="D21" i="58"/>
  <c r="F11" i="58"/>
  <c r="E40" i="58" s="1"/>
  <c r="F10" i="58"/>
  <c r="E34" i="58" s="1"/>
  <c r="F9" i="58"/>
  <c r="M19" i="58"/>
  <c r="E11" i="58"/>
  <c r="D39" i="58" s="1"/>
  <c r="E10" i="58"/>
  <c r="E9" i="58"/>
  <c r="E8" i="58"/>
  <c r="N15" i="58"/>
  <c r="N19" i="58" s="1"/>
  <c r="G42" i="67" l="1"/>
  <c r="G45" i="67" s="1"/>
  <c r="D51" i="67" s="1"/>
  <c r="F60" i="67"/>
  <c r="F62" i="67" s="1"/>
  <c r="D67" i="67" s="1"/>
  <c r="F26" i="67"/>
  <c r="D31" i="67" s="1"/>
  <c r="L23" i="67"/>
  <c r="E26" i="67"/>
  <c r="D30" i="67" s="1"/>
  <c r="F45" i="67"/>
  <c r="D50" i="67" s="1"/>
  <c r="L61" i="67"/>
  <c r="N61" i="67" s="1"/>
  <c r="E45" i="67"/>
  <c r="D49" i="67" s="1"/>
  <c r="D54" i="67" s="1"/>
  <c r="C54" i="67"/>
  <c r="L25" i="67"/>
  <c r="L22" i="67"/>
  <c r="C35" i="67"/>
  <c r="L43" i="67"/>
  <c r="L42" i="67"/>
  <c r="D69" i="67"/>
  <c r="F9" i="67" s="1"/>
  <c r="F13" i="67" s="1"/>
  <c r="F15" i="67" s="1"/>
  <c r="L44" i="67"/>
  <c r="L60" i="67"/>
  <c r="F8" i="58"/>
  <c r="E22" i="58" s="1"/>
  <c r="E12" i="58"/>
  <c r="D41" i="58"/>
  <c r="D35" i="58"/>
  <c r="D29" i="58"/>
  <c r="D23" i="58"/>
  <c r="D35" i="67" l="1"/>
  <c r="L26" i="67"/>
  <c r="L45" i="67"/>
  <c r="L62" i="67"/>
  <c r="F12" i="58"/>
  <c r="E35" i="58" l="1"/>
  <c r="E41" i="58"/>
  <c r="E23" i="58"/>
  <c r="E29" i="58"/>
  <c r="F20" i="63" l="1"/>
  <c r="F18" i="63" l="1"/>
  <c r="J21" i="62" l="1"/>
  <c r="H31" i="65"/>
  <c r="G31" i="65"/>
  <c r="G33" i="65" s="1"/>
  <c r="H27" i="65"/>
  <c r="H26" i="65"/>
  <c r="F28" i="65"/>
  <c r="F25" i="65"/>
  <c r="F24" i="65"/>
  <c r="F21" i="65"/>
  <c r="F20" i="65"/>
  <c r="I13" i="65"/>
  <c r="E31" i="65"/>
  <c r="E17" i="65"/>
  <c r="I17" i="65" s="1"/>
  <c r="E16" i="65"/>
  <c r="I16" i="65" s="1"/>
  <c r="E15" i="65"/>
  <c r="I15" i="65" s="1"/>
  <c r="E14" i="65"/>
  <c r="H33" i="65" l="1"/>
  <c r="E33" i="65"/>
  <c r="I14" i="65"/>
  <c r="L34" i="65" l="1"/>
  <c r="G11" i="52" l="1"/>
  <c r="F93" i="52" l="1"/>
  <c r="G13" i="52" l="1"/>
  <c r="F10" i="6"/>
  <c r="F11" i="6" s="1"/>
  <c r="H19" i="61"/>
  <c r="E19" i="61"/>
  <c r="L19" i="61" s="1"/>
  <c r="K9" i="64"/>
  <c r="G22" i="63"/>
  <c r="G21" i="63"/>
  <c r="G20" i="63"/>
  <c r="G19" i="63"/>
  <c r="G18" i="63"/>
  <c r="H11" i="6" l="1"/>
  <c r="G18" i="52"/>
  <c r="J42" i="60" l="1"/>
  <c r="F39" i="60"/>
  <c r="J39" i="60" s="1"/>
  <c r="H11" i="61"/>
  <c r="C49" i="60"/>
  <c r="D25" i="61" s="1"/>
  <c r="C44" i="60"/>
  <c r="D21" i="61" s="1"/>
  <c r="C43" i="60"/>
  <c r="D20" i="61" s="1"/>
  <c r="C42" i="60"/>
  <c r="D19" i="61" s="1"/>
  <c r="M19" i="61" s="1"/>
  <c r="C41" i="60"/>
  <c r="C40" i="60"/>
  <c r="C39" i="60"/>
  <c r="D17" i="61" s="1"/>
  <c r="H10" i="60"/>
  <c r="G10" i="60"/>
  <c r="F10" i="60"/>
  <c r="J14" i="60"/>
  <c r="J25" i="60"/>
  <c r="F19" i="60"/>
  <c r="F43" i="60" s="1"/>
  <c r="J18" i="60"/>
  <c r="F15" i="60"/>
  <c r="D11" i="60"/>
  <c r="J11" i="60" s="1"/>
  <c r="C10" i="60"/>
  <c r="C27" i="60" s="1"/>
  <c r="H9" i="60"/>
  <c r="J9" i="60" s="1"/>
  <c r="H50" i="60"/>
  <c r="G50" i="60"/>
  <c r="F50" i="60"/>
  <c r="E50" i="60"/>
  <c r="D50" i="60"/>
  <c r="C50" i="60"/>
  <c r="D26" i="61" s="1"/>
  <c r="G48" i="60"/>
  <c r="F48" i="60"/>
  <c r="E48" i="60"/>
  <c r="D48" i="60"/>
  <c r="C48" i="60"/>
  <c r="D24" i="61" s="1"/>
  <c r="H47" i="60"/>
  <c r="G47" i="60"/>
  <c r="F47" i="60"/>
  <c r="E47" i="60"/>
  <c r="D47" i="60"/>
  <c r="C47" i="60"/>
  <c r="D23" i="61" s="1"/>
  <c r="H46" i="60"/>
  <c r="G46" i="60"/>
  <c r="F46" i="60"/>
  <c r="E46" i="60"/>
  <c r="D46" i="60"/>
  <c r="J46" i="60" s="1"/>
  <c r="C46" i="60"/>
  <c r="D22" i="61" s="1"/>
  <c r="H45" i="60"/>
  <c r="G45" i="60"/>
  <c r="F45" i="60"/>
  <c r="E45" i="60"/>
  <c r="D45" i="60"/>
  <c r="C45" i="60"/>
  <c r="G43" i="60"/>
  <c r="E43" i="60"/>
  <c r="D43" i="60"/>
  <c r="G41" i="60"/>
  <c r="F41" i="60"/>
  <c r="E41" i="60"/>
  <c r="D41" i="60"/>
  <c r="G40" i="60"/>
  <c r="F40" i="60"/>
  <c r="E40" i="60"/>
  <c r="D40" i="60"/>
  <c r="H38" i="60"/>
  <c r="H16" i="61" s="1"/>
  <c r="G38" i="60"/>
  <c r="F38" i="60"/>
  <c r="E16" i="61" s="1"/>
  <c r="E38" i="60"/>
  <c r="D38" i="60"/>
  <c r="C38" i="60"/>
  <c r="D16" i="61" s="1"/>
  <c r="H37" i="60"/>
  <c r="G37" i="60"/>
  <c r="F37" i="60"/>
  <c r="D37" i="60"/>
  <c r="H36" i="60"/>
  <c r="G36" i="60"/>
  <c r="E36" i="60"/>
  <c r="H35" i="60"/>
  <c r="G35" i="60"/>
  <c r="F35" i="60"/>
  <c r="E35" i="60"/>
  <c r="J26" i="60"/>
  <c r="H24" i="60"/>
  <c r="H48" i="60" s="1"/>
  <c r="J23" i="60"/>
  <c r="J22" i="60"/>
  <c r="J21" i="60"/>
  <c r="J20" i="60"/>
  <c r="H17" i="60"/>
  <c r="H41" i="60" s="1"/>
  <c r="H16" i="60"/>
  <c r="H40" i="60" s="1"/>
  <c r="E13" i="60"/>
  <c r="J12" i="60"/>
  <c r="H8" i="60"/>
  <c r="G8" i="60"/>
  <c r="F8" i="60"/>
  <c r="E8" i="60"/>
  <c r="D8" i="60"/>
  <c r="J7" i="60"/>
  <c r="I28" i="2"/>
  <c r="F13" i="2"/>
  <c r="F14" i="2"/>
  <c r="F15" i="2"/>
  <c r="F16" i="2"/>
  <c r="F12" i="2"/>
  <c r="H15" i="59"/>
  <c r="F46" i="59"/>
  <c r="F37" i="59"/>
  <c r="J37" i="59" s="1"/>
  <c r="F16" i="59"/>
  <c r="J16" i="59" s="1"/>
  <c r="K16" i="59" s="1"/>
  <c r="F15" i="59"/>
  <c r="H14" i="59"/>
  <c r="F14" i="59"/>
  <c r="J14" i="59" s="1"/>
  <c r="H13" i="59"/>
  <c r="F13" i="59"/>
  <c r="J13" i="59" s="1"/>
  <c r="K13" i="59" s="1"/>
  <c r="J34" i="59"/>
  <c r="K34" i="59" s="1"/>
  <c r="J33" i="59"/>
  <c r="K33" i="59" s="1"/>
  <c r="J32" i="59"/>
  <c r="K32" i="59" s="1"/>
  <c r="J31" i="59"/>
  <c r="K31" i="59" s="1"/>
  <c r="J30" i="59"/>
  <c r="K30" i="59" s="1"/>
  <c r="J29" i="59"/>
  <c r="K29" i="59" s="1"/>
  <c r="J28" i="59"/>
  <c r="K28" i="59" s="1"/>
  <c r="J25" i="59"/>
  <c r="K25" i="59" s="1"/>
  <c r="J24" i="59"/>
  <c r="K24" i="59" s="1"/>
  <c r="J23" i="59"/>
  <c r="K23" i="59" s="1"/>
  <c r="J20" i="59"/>
  <c r="K20" i="59" s="1"/>
  <c r="J19" i="59"/>
  <c r="K19" i="59" s="1"/>
  <c r="J12" i="59"/>
  <c r="H23" i="61" l="1"/>
  <c r="L23" i="61" s="1"/>
  <c r="M23" i="61" s="1"/>
  <c r="E17" i="61"/>
  <c r="L17" i="61" s="1"/>
  <c r="M17" i="61"/>
  <c r="H22" i="61"/>
  <c r="L22" i="61" s="1"/>
  <c r="M22" i="61"/>
  <c r="H24" i="61"/>
  <c r="L24" i="61" s="1"/>
  <c r="M24" i="61" s="1"/>
  <c r="M16" i="61"/>
  <c r="H26" i="61"/>
  <c r="L26" i="61" s="1"/>
  <c r="M26" i="61" s="1"/>
  <c r="F20" i="61"/>
  <c r="L20" i="61" s="1"/>
  <c r="M20" i="61"/>
  <c r="H25" i="61"/>
  <c r="L25" i="61" s="1"/>
  <c r="M25" i="61"/>
  <c r="J40" i="60"/>
  <c r="J43" i="60"/>
  <c r="J48" i="60"/>
  <c r="J45" i="60"/>
  <c r="D18" i="61"/>
  <c r="G16" i="61"/>
  <c r="F16" i="61"/>
  <c r="L16" i="61" s="1"/>
  <c r="H49" i="60"/>
  <c r="J49" i="60" s="1"/>
  <c r="G11" i="61"/>
  <c r="F11" i="61"/>
  <c r="J41" i="60"/>
  <c r="J47" i="60"/>
  <c r="E11" i="61"/>
  <c r="M30" i="60"/>
  <c r="M31" i="60" s="1"/>
  <c r="E27" i="61" s="1"/>
  <c r="F44" i="60"/>
  <c r="E21" i="61" s="1"/>
  <c r="G44" i="60"/>
  <c r="D36" i="42"/>
  <c r="D21" i="42"/>
  <c r="D35" i="42"/>
  <c r="D28" i="42"/>
  <c r="D29" i="42" s="1"/>
  <c r="D30" i="42" s="1"/>
  <c r="D31" i="42" s="1"/>
  <c r="D32" i="42" s="1"/>
  <c r="D38" i="42" s="1"/>
  <c r="D39" i="42" s="1"/>
  <c r="D27" i="42"/>
  <c r="D20" i="42"/>
  <c r="D22" i="42" s="1"/>
  <c r="D23" i="42" s="1"/>
  <c r="D24" i="42" s="1"/>
  <c r="D37" i="42" s="1"/>
  <c r="D13" i="42"/>
  <c r="D14" i="42" s="1"/>
  <c r="D15" i="42" s="1"/>
  <c r="D16" i="42" s="1"/>
  <c r="D17" i="42" s="1"/>
  <c r="D12" i="42"/>
  <c r="K37" i="59"/>
  <c r="K12" i="59"/>
  <c r="J19" i="60"/>
  <c r="J38" i="60"/>
  <c r="J37" i="60"/>
  <c r="J50" i="60"/>
  <c r="D27" i="60"/>
  <c r="J13" i="60"/>
  <c r="E27" i="60"/>
  <c r="J16" i="60"/>
  <c r="J17" i="60"/>
  <c r="J24" i="60"/>
  <c r="J8" i="60"/>
  <c r="H39" i="59"/>
  <c r="K14" i="59"/>
  <c r="F39" i="59"/>
  <c r="J15" i="59"/>
  <c r="H27" i="61" s="1"/>
  <c r="H18" i="61" l="1"/>
  <c r="L18" i="61" s="1"/>
  <c r="M18" i="61" s="1"/>
  <c r="N31" i="60"/>
  <c r="G27" i="61" s="1"/>
  <c r="F21" i="61"/>
  <c r="G21" i="61"/>
  <c r="J44" i="60"/>
  <c r="L21" i="61"/>
  <c r="M21" i="61" s="1"/>
  <c r="L11" i="61"/>
  <c r="J39" i="59"/>
  <c r="F45" i="59" s="1"/>
  <c r="F47" i="59" s="1"/>
  <c r="F36" i="6" s="1"/>
  <c r="K15" i="59"/>
  <c r="K39" i="59" s="1"/>
  <c r="F27" i="61" l="1"/>
  <c r="L27" i="61" s="1"/>
  <c r="L13" i="50"/>
  <c r="J13" i="50"/>
  <c r="H13" i="50"/>
  <c r="F13" i="50"/>
  <c r="D13" i="50"/>
  <c r="AC24" i="50"/>
  <c r="AC25" i="50"/>
  <c r="AC26" i="50"/>
  <c r="AC27" i="50"/>
  <c r="AC28" i="50"/>
  <c r="AC29" i="50"/>
  <c r="AF24" i="50"/>
  <c r="AF25" i="50" s="1"/>
  <c r="AE10" i="50"/>
  <c r="AE11" i="50"/>
  <c r="AE12" i="50"/>
  <c r="AE13" i="50"/>
  <c r="AE14" i="50"/>
  <c r="AE15" i="50"/>
  <c r="AE16" i="50"/>
  <c r="AE17" i="50"/>
  <c r="AE18" i="50"/>
  <c r="AE19" i="50"/>
  <c r="AE20" i="50"/>
  <c r="AE21" i="50"/>
  <c r="AE22" i="50"/>
  <c r="AE23" i="50"/>
  <c r="AE9" i="50"/>
  <c r="AE8" i="50"/>
  <c r="AC9" i="50" s="1"/>
  <c r="AF8" i="50"/>
  <c r="AF9" i="50" s="1"/>
  <c r="AC8" i="50"/>
  <c r="Y8" i="50"/>
  <c r="W8" i="50"/>
  <c r="Z8" i="50"/>
  <c r="Z9" i="50" s="1"/>
  <c r="W9" i="50"/>
  <c r="M15" i="50"/>
  <c r="L15" i="50"/>
  <c r="J15" i="50"/>
  <c r="H15" i="50"/>
  <c r="F15" i="50"/>
  <c r="B7" i="40"/>
  <c r="B8" i="40"/>
  <c r="B6" i="40"/>
  <c r="C12" i="55"/>
  <c r="C20" i="55"/>
  <c r="C6" i="55"/>
  <c r="C8" i="55"/>
  <c r="C17" i="55"/>
  <c r="C15" i="55"/>
  <c r="C5" i="55"/>
  <c r="C9" i="55"/>
  <c r="C14" i="55"/>
  <c r="C7" i="55"/>
  <c r="C13" i="55"/>
  <c r="C11" i="55"/>
  <c r="J37" i="55"/>
  <c r="M16" i="50"/>
  <c r="L12" i="50"/>
  <c r="K12" i="50"/>
  <c r="J12" i="50"/>
  <c r="I12" i="50"/>
  <c r="H12" i="50"/>
  <c r="G12" i="50"/>
  <c r="F12" i="50"/>
  <c r="E12" i="50"/>
  <c r="D12" i="50"/>
  <c r="C12" i="50"/>
  <c r="E29" i="6"/>
  <c r="E27" i="6"/>
  <c r="M13" i="50" l="1"/>
  <c r="AF26" i="50"/>
  <c r="AE25" i="50"/>
  <c r="AE24" i="50"/>
  <c r="AF10" i="50"/>
  <c r="AC10" i="50"/>
  <c r="Y9" i="50"/>
  <c r="W10" i="50" s="1"/>
  <c r="Z10" i="50"/>
  <c r="D12" i="61"/>
  <c r="AF27" i="50" l="1"/>
  <c r="AE26" i="50"/>
  <c r="AF11" i="50"/>
  <c r="AC11" i="50"/>
  <c r="Y10" i="50"/>
  <c r="W11" i="50" s="1"/>
  <c r="Z11" i="50"/>
  <c r="Y11" i="50" s="1"/>
  <c r="W12" i="50" s="1"/>
  <c r="I23" i="55"/>
  <c r="F21" i="55"/>
  <c r="J21" i="55" s="1"/>
  <c r="F20" i="55"/>
  <c r="G20" i="55"/>
  <c r="F18" i="55"/>
  <c r="G18" i="55"/>
  <c r="F19" i="55"/>
  <c r="G19" i="55"/>
  <c r="F17" i="55"/>
  <c r="F16" i="55"/>
  <c r="F15" i="55"/>
  <c r="F13" i="55"/>
  <c r="F12" i="55"/>
  <c r="G12" i="55"/>
  <c r="G13" i="55"/>
  <c r="F14" i="55"/>
  <c r="G14" i="55"/>
  <c r="G15" i="55"/>
  <c r="G16" i="55"/>
  <c r="G17" i="55"/>
  <c r="F11" i="55"/>
  <c r="J31" i="55"/>
  <c r="F9" i="55"/>
  <c r="H23" i="55"/>
  <c r="F8" i="55"/>
  <c r="G7" i="55"/>
  <c r="G8" i="55"/>
  <c r="G9" i="55"/>
  <c r="G11" i="55"/>
  <c r="G21" i="55"/>
  <c r="F7" i="55"/>
  <c r="B36" i="54"/>
  <c r="B71" i="52"/>
  <c r="B72" i="52"/>
  <c r="D26" i="2" s="1"/>
  <c r="B70" i="52"/>
  <c r="D66" i="52"/>
  <c r="C66" i="52"/>
  <c r="C70" i="52" s="1"/>
  <c r="C73" i="52" s="1"/>
  <c r="E13" i="52" s="1"/>
  <c r="E63" i="52"/>
  <c r="J63" i="52" s="1"/>
  <c r="G62" i="52"/>
  <c r="F62" i="52"/>
  <c r="F65" i="52" s="1"/>
  <c r="E62" i="52"/>
  <c r="E64" i="52" s="1"/>
  <c r="H43" i="52"/>
  <c r="H48" i="52" s="1"/>
  <c r="G43" i="52"/>
  <c r="G48" i="52" s="1"/>
  <c r="B57" i="52"/>
  <c r="D21" i="2" s="1"/>
  <c r="B53" i="52"/>
  <c r="C49" i="52"/>
  <c r="E7" i="52" s="1"/>
  <c r="E44" i="52"/>
  <c r="J44" i="52" s="1"/>
  <c r="I43" i="52"/>
  <c r="F43" i="52"/>
  <c r="F48" i="52" s="1"/>
  <c r="E43" i="52"/>
  <c r="E46" i="52" s="1"/>
  <c r="O38" i="52"/>
  <c r="B38" i="52"/>
  <c r="D16" i="2" s="1"/>
  <c r="B36" i="52"/>
  <c r="D14" i="2" s="1"/>
  <c r="B35" i="52"/>
  <c r="D13" i="2" s="1"/>
  <c r="B34" i="52"/>
  <c r="D12" i="2" s="1"/>
  <c r="C30" i="52"/>
  <c r="C34" i="52" s="1"/>
  <c r="F34" i="52" s="1"/>
  <c r="E25" i="52"/>
  <c r="J25" i="52" s="1"/>
  <c r="I24" i="52"/>
  <c r="H24" i="52"/>
  <c r="H29" i="52" s="1"/>
  <c r="G24" i="52"/>
  <c r="F24" i="52"/>
  <c r="F27" i="52" s="1"/>
  <c r="E24" i="52"/>
  <c r="C23" i="70" l="1"/>
  <c r="D23" i="70" s="1"/>
  <c r="C23" i="69"/>
  <c r="D23" i="69" s="1"/>
  <c r="AF28" i="50"/>
  <c r="AE27" i="50"/>
  <c r="AC12" i="50"/>
  <c r="AF12" i="50"/>
  <c r="Z12" i="50"/>
  <c r="Y12" i="50" s="1"/>
  <c r="W13" i="50"/>
  <c r="Z13" i="50"/>
  <c r="Y13" i="50" s="1"/>
  <c r="J8" i="55"/>
  <c r="J20" i="55"/>
  <c r="J12" i="55"/>
  <c r="J13" i="55"/>
  <c r="J11" i="55"/>
  <c r="J19" i="55"/>
  <c r="J7" i="55"/>
  <c r="J18" i="55"/>
  <c r="J17" i="55"/>
  <c r="J9" i="55"/>
  <c r="J14" i="55"/>
  <c r="J16" i="55"/>
  <c r="J15" i="55"/>
  <c r="D23" i="55"/>
  <c r="C23" i="55"/>
  <c r="E65" i="52"/>
  <c r="E8" i="52"/>
  <c r="F64" i="52"/>
  <c r="F66" i="52" s="1"/>
  <c r="D71" i="52" s="1"/>
  <c r="F71" i="52" s="1"/>
  <c r="F70" i="52"/>
  <c r="E45" i="52"/>
  <c r="F45" i="52" s="1"/>
  <c r="E48" i="52"/>
  <c r="E47" i="52"/>
  <c r="F47" i="52"/>
  <c r="G47" i="52"/>
  <c r="F46" i="52"/>
  <c r="G46" i="52" s="1"/>
  <c r="E6" i="52"/>
  <c r="G28" i="52"/>
  <c r="G29" i="52"/>
  <c r="C53" i="52"/>
  <c r="C58" i="52" s="1"/>
  <c r="D30" i="52"/>
  <c r="F6" i="52" s="1"/>
  <c r="D49" i="52"/>
  <c r="F7" i="52" s="1"/>
  <c r="E28" i="52"/>
  <c r="F28" i="52"/>
  <c r="C39" i="52"/>
  <c r="E29" i="52"/>
  <c r="E26" i="52"/>
  <c r="F29" i="52"/>
  <c r="E27" i="52"/>
  <c r="G27" i="52" s="1"/>
  <c r="AE28" i="50" l="1"/>
  <c r="AF29" i="50"/>
  <c r="AE29" i="50" s="1"/>
  <c r="AF13" i="50"/>
  <c r="AC13" i="50"/>
  <c r="W14" i="50"/>
  <c r="Z14" i="50"/>
  <c r="Y14" i="50" s="1"/>
  <c r="G65" i="52"/>
  <c r="G66" i="52" s="1"/>
  <c r="D72" i="52" s="1"/>
  <c r="F72" i="52" s="1"/>
  <c r="F73" i="52" s="1"/>
  <c r="G8" i="52" s="1"/>
  <c r="E66" i="52"/>
  <c r="D70" i="52" s="1"/>
  <c r="J64" i="52"/>
  <c r="I29" i="52"/>
  <c r="I30" i="52" s="1"/>
  <c r="D38" i="52" s="1"/>
  <c r="F38" i="52" s="1"/>
  <c r="J46" i="52"/>
  <c r="I48" i="52"/>
  <c r="I49" i="52" s="1"/>
  <c r="D57" i="52" s="1"/>
  <c r="F57" i="52" s="1"/>
  <c r="H47" i="52"/>
  <c r="G49" i="52"/>
  <c r="D55" i="52" s="1"/>
  <c r="F55" i="52" s="1"/>
  <c r="F53" i="52"/>
  <c r="E49" i="52"/>
  <c r="D53" i="52" s="1"/>
  <c r="G30" i="52"/>
  <c r="D36" i="52" s="1"/>
  <c r="F36" i="52" s="1"/>
  <c r="F49" i="52"/>
  <c r="D54" i="52" s="1"/>
  <c r="J45" i="52"/>
  <c r="F26" i="52"/>
  <c r="F30" i="52" s="1"/>
  <c r="D35" i="52" s="1"/>
  <c r="F35" i="52" s="1"/>
  <c r="E30" i="52"/>
  <c r="D34" i="52" s="1"/>
  <c r="J27" i="52"/>
  <c r="H28" i="52"/>
  <c r="H30" i="52" s="1"/>
  <c r="D37" i="52" s="1"/>
  <c r="F37" i="52" s="1"/>
  <c r="F23" i="63" l="1"/>
  <c r="E12" i="52"/>
  <c r="E14" i="52" s="1"/>
  <c r="D42" i="54" s="1"/>
  <c r="D20" i="64"/>
  <c r="F17" i="63"/>
  <c r="G17" i="63" s="1"/>
  <c r="G23" i="63" s="1"/>
  <c r="F20" i="64" s="1"/>
  <c r="AF14" i="50"/>
  <c r="AC14" i="50"/>
  <c r="W15" i="50"/>
  <c r="Z15" i="50"/>
  <c r="Y15" i="50" s="1"/>
  <c r="J65" i="52"/>
  <c r="D73" i="52"/>
  <c r="F8" i="52" s="1"/>
  <c r="J29" i="52"/>
  <c r="H49" i="52"/>
  <c r="D56" i="52" s="1"/>
  <c r="F56" i="52" s="1"/>
  <c r="J47" i="52"/>
  <c r="J48" i="52"/>
  <c r="J26" i="52"/>
  <c r="D39" i="52"/>
  <c r="F54" i="52"/>
  <c r="F39" i="52"/>
  <c r="G6" i="52" s="1"/>
  <c r="J28" i="52"/>
  <c r="J66" i="52" l="1"/>
  <c r="AF15" i="50"/>
  <c r="AC15" i="50"/>
  <c r="W16" i="50"/>
  <c r="Z16" i="50"/>
  <c r="Y16" i="50" s="1"/>
  <c r="F12" i="52"/>
  <c r="F14" i="52" s="1"/>
  <c r="D58" i="52"/>
  <c r="F58" i="52"/>
  <c r="G7" i="52" s="1"/>
  <c r="G12" i="52" s="1"/>
  <c r="G16" i="52" s="1"/>
  <c r="G19" i="52" s="1"/>
  <c r="F9" i="6" s="1"/>
  <c r="J49" i="52"/>
  <c r="J30" i="52"/>
  <c r="H10" i="6" l="1"/>
  <c r="F16" i="6" s="1"/>
  <c r="E11" i="63"/>
  <c r="D10" i="64" s="1"/>
  <c r="AC16" i="50"/>
  <c r="AF16" i="50"/>
  <c r="W17" i="50"/>
  <c r="Z17" i="50"/>
  <c r="Y17" i="50" s="1"/>
  <c r="H31" i="6"/>
  <c r="AF17" i="50" l="1"/>
  <c r="AC17" i="50"/>
  <c r="W18" i="50"/>
  <c r="Z18" i="50"/>
  <c r="Y18" i="50" s="1"/>
  <c r="F6" i="55"/>
  <c r="G6" i="55"/>
  <c r="B37" i="54"/>
  <c r="H14" i="6"/>
  <c r="A37" i="54"/>
  <c r="AF18" i="50" l="1"/>
  <c r="AC18" i="50"/>
  <c r="D14" i="50"/>
  <c r="W19" i="50"/>
  <c r="Z19" i="50"/>
  <c r="Y19" i="50" s="1"/>
  <c r="J6" i="55"/>
  <c r="G14" i="52"/>
  <c r="F8" i="40"/>
  <c r="H8" i="40" s="1"/>
  <c r="F7" i="40"/>
  <c r="H7" i="40" s="1"/>
  <c r="F6" i="40"/>
  <c r="H6" i="40" s="1"/>
  <c r="C9" i="40"/>
  <c r="B9" i="40"/>
  <c r="AF19" i="50" l="1"/>
  <c r="AC19" i="50"/>
  <c r="F14" i="50"/>
  <c r="W20" i="50"/>
  <c r="Z20" i="50"/>
  <c r="Y20" i="50" s="1"/>
  <c r="H9" i="40"/>
  <c r="C11" i="40" s="1"/>
  <c r="F9" i="40"/>
  <c r="C12" i="40" s="1"/>
  <c r="G5" i="55"/>
  <c r="G23" i="55" s="1"/>
  <c r="C27" i="54"/>
  <c r="C19" i="54"/>
  <c r="C6" i="54"/>
  <c r="C28" i="54" l="1"/>
  <c r="AC20" i="50"/>
  <c r="AF20" i="50"/>
  <c r="H14" i="50"/>
  <c r="W21" i="50"/>
  <c r="Z21" i="50"/>
  <c r="Y21" i="50" s="1"/>
  <c r="C13" i="40"/>
  <c r="D30" i="54"/>
  <c r="D32" i="54" s="1"/>
  <c r="C36" i="54" s="1"/>
  <c r="D36" i="54" s="1"/>
  <c r="F5" i="55"/>
  <c r="J5" i="55" s="1"/>
  <c r="J23" i="55" s="1"/>
  <c r="AF21" i="50" l="1"/>
  <c r="AC21" i="50"/>
  <c r="J14" i="50"/>
  <c r="M14" i="50" s="1"/>
  <c r="Z22" i="50"/>
  <c r="Y22" i="50" s="1"/>
  <c r="W22" i="50"/>
  <c r="L14" i="50" s="1"/>
  <c r="F23" i="6"/>
  <c r="F23" i="55"/>
  <c r="C37" i="54"/>
  <c r="D37" i="54" s="1"/>
  <c r="F25" i="6" s="1"/>
  <c r="H24" i="6" l="1"/>
  <c r="D14" i="61"/>
  <c r="D35" i="60"/>
  <c r="J35" i="60" s="1"/>
  <c r="AF22" i="50"/>
  <c r="AC22" i="50"/>
  <c r="Z23" i="50"/>
  <c r="Y23" i="50" s="1"/>
  <c r="W23" i="50"/>
  <c r="D38" i="54"/>
  <c r="D41" i="54" s="1"/>
  <c r="D43" i="54" s="1"/>
  <c r="N35" i="66" s="1"/>
  <c r="J25" i="55"/>
  <c r="J30" i="55" s="1"/>
  <c r="K18" i="50"/>
  <c r="I18" i="50"/>
  <c r="G18" i="50"/>
  <c r="E18" i="50"/>
  <c r="C18" i="50"/>
  <c r="M12" i="50"/>
  <c r="L18" i="50"/>
  <c r="J18" i="50"/>
  <c r="H18" i="50"/>
  <c r="F18" i="50"/>
  <c r="D18" i="50"/>
  <c r="E14" i="61" l="1"/>
  <c r="L14" i="61" s="1"/>
  <c r="M14" i="61" s="1"/>
  <c r="AF23" i="50"/>
  <c r="AC23" i="50"/>
  <c r="J32" i="55"/>
  <c r="F20" i="6" s="1"/>
  <c r="F34" i="6" s="1"/>
  <c r="J40" i="55"/>
  <c r="J42" i="55" s="1"/>
  <c r="J44" i="55" s="1"/>
  <c r="H20" i="6"/>
  <c r="C31" i="60" s="1"/>
  <c r="J34" i="55"/>
  <c r="J36" i="55" s="1"/>
  <c r="J38" i="55" s="1"/>
  <c r="F37" i="6" s="1"/>
  <c r="H37" i="6" s="1"/>
  <c r="H36" i="6"/>
  <c r="C52" i="60" s="1"/>
  <c r="M18" i="50"/>
  <c r="M21" i="50" s="1"/>
  <c r="F38" i="6" l="1"/>
  <c r="F40" i="6" s="1"/>
  <c r="H45" i="6"/>
  <c r="D11" i="61"/>
  <c r="M11" i="61" s="1"/>
  <c r="G32" i="60"/>
  <c r="F32" i="60"/>
  <c r="H32" i="60"/>
  <c r="E31" i="60"/>
  <c r="E51" i="60" s="1"/>
  <c r="D31" i="60"/>
  <c r="D27" i="61"/>
  <c r="M27" i="61" s="1"/>
  <c r="M23" i="50"/>
  <c r="H46" i="6" s="1"/>
  <c r="E39" i="65" l="1"/>
  <c r="D13" i="62" s="1"/>
  <c r="G34" i="60"/>
  <c r="G51" i="60" s="1"/>
  <c r="F34" i="60"/>
  <c r="F51" i="60" s="1"/>
  <c r="F31" i="65"/>
  <c r="F33" i="65" s="1"/>
  <c r="J31" i="60"/>
  <c r="H34" i="60"/>
  <c r="H12" i="61" s="1"/>
  <c r="I31" i="65"/>
  <c r="I33" i="65" s="1"/>
  <c r="E34" i="65" s="1"/>
  <c r="E35" i="65" s="1"/>
  <c r="H51" i="6"/>
  <c r="H33" i="6"/>
  <c r="H32" i="6"/>
  <c r="H30" i="6"/>
  <c r="H29" i="6"/>
  <c r="H28" i="6"/>
  <c r="H26" i="6"/>
  <c r="H25" i="6"/>
  <c r="H21" i="6"/>
  <c r="C33" i="60" s="1"/>
  <c r="D15" i="61" l="1"/>
  <c r="D36" i="60"/>
  <c r="H33" i="60"/>
  <c r="D13" i="61"/>
  <c r="C51" i="60"/>
  <c r="C53" i="60" s="1"/>
  <c r="F37" i="65"/>
  <c r="F39" i="65" s="1"/>
  <c r="E12" i="61"/>
  <c r="J34" i="60"/>
  <c r="F12" i="61"/>
  <c r="F29" i="61" s="1"/>
  <c r="G12" i="61"/>
  <c r="G29" i="61" s="1"/>
  <c r="G37" i="65"/>
  <c r="G39" i="65" s="1"/>
  <c r="F13" i="62" s="1"/>
  <c r="H37" i="65"/>
  <c r="H39" i="65" s="1"/>
  <c r="G13" i="62" s="1"/>
  <c r="H27" i="6"/>
  <c r="E15" i="61" l="1"/>
  <c r="L15" i="61" s="1"/>
  <c r="M15" i="61" s="1"/>
  <c r="H13" i="61"/>
  <c r="D29" i="61"/>
  <c r="J36" i="60"/>
  <c r="D51" i="60"/>
  <c r="J33" i="60"/>
  <c r="H51" i="60"/>
  <c r="L31" i="61"/>
  <c r="L12" i="61"/>
  <c r="M12" i="61" s="1"/>
  <c r="E29" i="61"/>
  <c r="E13" i="62"/>
  <c r="L39" i="65"/>
  <c r="H15" i="6"/>
  <c r="D18" i="62" s="1"/>
  <c r="J51" i="60" l="1"/>
  <c r="I51" i="60"/>
  <c r="L13" i="61"/>
  <c r="M13" i="61" s="1"/>
  <c r="H29" i="61"/>
  <c r="D30" i="61" s="1"/>
  <c r="D31" i="61" s="1"/>
  <c r="E33" i="61" s="1"/>
  <c r="J13" i="62"/>
  <c r="H13" i="6"/>
  <c r="E16" i="6"/>
  <c r="E34" i="6"/>
  <c r="H48" i="6" l="1"/>
  <c r="D17" i="62"/>
  <c r="F17" i="62" s="1"/>
  <c r="J17" i="62" s="1"/>
  <c r="G33" i="61"/>
  <c r="G35" i="61" s="1"/>
  <c r="G37" i="61" s="1"/>
  <c r="G12" i="62" s="1"/>
  <c r="G14" i="62" s="1"/>
  <c r="F33" i="61"/>
  <c r="F35" i="61" s="1"/>
  <c r="F37" i="61" s="1"/>
  <c r="F12" i="62" s="1"/>
  <c r="F14" i="62" s="1"/>
  <c r="L29" i="61"/>
  <c r="M29" i="61" s="1"/>
  <c r="E35" i="61"/>
  <c r="H34" i="6"/>
  <c r="E38" i="6"/>
  <c r="D33" i="61" l="1"/>
  <c r="L35" i="61"/>
  <c r="E37" i="61"/>
  <c r="D35" i="61"/>
  <c r="D37" i="61" s="1"/>
  <c r="D12" i="62" s="1"/>
  <c r="D14" i="62" s="1"/>
  <c r="H38" i="6"/>
  <c r="H16" i="6"/>
  <c r="E40" i="6"/>
  <c r="K37" i="61" l="1"/>
  <c r="E12" i="62"/>
  <c r="F15" i="62"/>
  <c r="G15" i="62"/>
  <c r="H44" i="6"/>
  <c r="H47" i="6" s="1"/>
  <c r="H50" i="6" s="1"/>
  <c r="H40" i="6"/>
  <c r="J16" i="58" l="1"/>
  <c r="K15" i="67"/>
  <c r="J12" i="62"/>
  <c r="E14" i="62"/>
  <c r="G18" i="62"/>
  <c r="G19" i="62"/>
  <c r="F18" i="62"/>
  <c r="F19" i="62"/>
  <c r="H52" i="6"/>
  <c r="H54" i="6" s="1"/>
  <c r="G13" i="58" l="1"/>
  <c r="R8" i="66"/>
  <c r="L32" i="66" s="1"/>
  <c r="E15" i="62"/>
  <c r="J14" i="62"/>
  <c r="K29" i="2"/>
  <c r="E45" i="58" s="1"/>
  <c r="F45" i="58" s="1"/>
  <c r="G15" i="58" s="1"/>
  <c r="D20" i="62"/>
  <c r="D22" i="62"/>
  <c r="O32" i="66" l="1"/>
  <c r="N32" i="66"/>
  <c r="G12" i="67"/>
  <c r="L15" i="66"/>
  <c r="L13" i="66"/>
  <c r="L12" i="66"/>
  <c r="L29" i="66"/>
  <c r="L16" i="66"/>
  <c r="N16" i="66" s="1"/>
  <c r="L19" i="66"/>
  <c r="L20" i="66"/>
  <c r="N20" i="66" s="1"/>
  <c r="L21" i="66"/>
  <c r="N21" i="66" s="1"/>
  <c r="L24" i="66"/>
  <c r="L25" i="66"/>
  <c r="L14" i="66"/>
  <c r="N14" i="66" s="1"/>
  <c r="L26" i="66"/>
  <c r="E18" i="62"/>
  <c r="J18" i="62" s="1"/>
  <c r="E19" i="62"/>
  <c r="J19" i="62" s="1"/>
  <c r="E20" i="62"/>
  <c r="D24" i="62"/>
  <c r="G22" i="62"/>
  <c r="G24" i="62" s="1"/>
  <c r="F19" i="64" s="1"/>
  <c r="F21" i="64" s="1"/>
  <c r="F22" i="62"/>
  <c r="F24" i="62" s="1"/>
  <c r="D19" i="64" s="1"/>
  <c r="D21" i="64" s="1"/>
  <c r="E22" i="62"/>
  <c r="N29" i="66" l="1"/>
  <c r="E35" i="69"/>
  <c r="F35" i="69" s="1"/>
  <c r="H35" i="69" s="1"/>
  <c r="E33" i="69"/>
  <c r="F33" i="69" s="1"/>
  <c r="H33" i="69" s="1"/>
  <c r="E35" i="70"/>
  <c r="F35" i="70" s="1"/>
  <c r="H35" i="70" s="1"/>
  <c r="E34" i="70"/>
  <c r="F34" i="70" s="1"/>
  <c r="H34" i="70" s="1"/>
  <c r="E33" i="70"/>
  <c r="F33" i="70" s="1"/>
  <c r="H33" i="70" s="1"/>
  <c r="E34" i="69"/>
  <c r="F34" i="69" s="1"/>
  <c r="H34" i="69" s="1"/>
  <c r="N12" i="66"/>
  <c r="E14" i="70"/>
  <c r="F14" i="70" s="1"/>
  <c r="E13" i="69"/>
  <c r="F13" i="69" s="1"/>
  <c r="H13" i="69" s="1"/>
  <c r="E17" i="70"/>
  <c r="F17" i="70" s="1"/>
  <c r="E18" i="70"/>
  <c r="F18" i="70" s="1"/>
  <c r="E17" i="69"/>
  <c r="F17" i="69" s="1"/>
  <c r="E16" i="70"/>
  <c r="F16" i="70" s="1"/>
  <c r="E16" i="69"/>
  <c r="F16" i="69" s="1"/>
  <c r="E15" i="70"/>
  <c r="F15" i="70" s="1"/>
  <c r="E13" i="70"/>
  <c r="F13" i="70" s="1"/>
  <c r="H13" i="70" s="1"/>
  <c r="E15" i="69"/>
  <c r="F15" i="69" s="1"/>
  <c r="E14" i="69"/>
  <c r="F14" i="69" s="1"/>
  <c r="E18" i="69"/>
  <c r="F18" i="69" s="1"/>
  <c r="N19" i="66"/>
  <c r="E21" i="69"/>
  <c r="F21" i="69" s="1"/>
  <c r="H21" i="69" s="1"/>
  <c r="E24" i="69"/>
  <c r="F24" i="69" s="1"/>
  <c r="H24" i="69" s="1"/>
  <c r="E23" i="69"/>
  <c r="F23" i="69" s="1"/>
  <c r="H23" i="69" s="1"/>
  <c r="E22" i="69"/>
  <c r="F22" i="69" s="1"/>
  <c r="H22" i="69" s="1"/>
  <c r="E21" i="70"/>
  <c r="F21" i="70" s="1"/>
  <c r="H21" i="70" s="1"/>
  <c r="E24" i="70"/>
  <c r="F24" i="70" s="1"/>
  <c r="H24" i="70" s="1"/>
  <c r="E23" i="70"/>
  <c r="F23" i="70" s="1"/>
  <c r="H23" i="70" s="1"/>
  <c r="E22" i="70"/>
  <c r="F22" i="70" s="1"/>
  <c r="H22" i="70" s="1"/>
  <c r="E29" i="70"/>
  <c r="F29" i="70" s="1"/>
  <c r="H29" i="70" s="1"/>
  <c r="E29" i="69"/>
  <c r="F29" i="69" s="1"/>
  <c r="H29" i="69" s="1"/>
  <c r="E30" i="70"/>
  <c r="F30" i="70" s="1"/>
  <c r="H30" i="70" s="1"/>
  <c r="E28" i="70"/>
  <c r="F28" i="70" s="1"/>
  <c r="H28" i="70" s="1"/>
  <c r="E30" i="69"/>
  <c r="F30" i="69" s="1"/>
  <c r="H30" i="69" s="1"/>
  <c r="E28" i="69"/>
  <c r="F28" i="69" s="1"/>
  <c r="H28" i="69" s="1"/>
  <c r="E27" i="69"/>
  <c r="F27" i="69" s="1"/>
  <c r="H27" i="69" s="1"/>
  <c r="E27" i="70"/>
  <c r="F27" i="70" s="1"/>
  <c r="H27" i="70" s="1"/>
  <c r="O25" i="66"/>
  <c r="N25" i="66"/>
  <c r="O24" i="66"/>
  <c r="N24" i="66"/>
  <c r="O26" i="66"/>
  <c r="N26" i="66"/>
  <c r="O13" i="66"/>
  <c r="N13" i="66"/>
  <c r="O15" i="66"/>
  <c r="N15" i="66"/>
  <c r="O21" i="66"/>
  <c r="E68" i="67"/>
  <c r="F68" i="67" s="1"/>
  <c r="O16" i="66"/>
  <c r="E34" i="67"/>
  <c r="F34" i="67" s="1"/>
  <c r="E53" i="67"/>
  <c r="F53" i="67" s="1"/>
  <c r="O14" i="66"/>
  <c r="E32" i="67"/>
  <c r="F32" i="67" s="1"/>
  <c r="E51" i="67"/>
  <c r="F51" i="67" s="1"/>
  <c r="O19" i="66"/>
  <c r="E66" i="67"/>
  <c r="F66" i="67" s="1"/>
  <c r="E30" i="67"/>
  <c r="F30" i="67" s="1"/>
  <c r="E49" i="67"/>
  <c r="F49" i="67" s="1"/>
  <c r="O12" i="66"/>
  <c r="E50" i="67"/>
  <c r="F50" i="67" s="1"/>
  <c r="E31" i="67"/>
  <c r="F31" i="67" s="1"/>
  <c r="E33" i="67"/>
  <c r="F33" i="67" s="1"/>
  <c r="E52" i="67"/>
  <c r="F52" i="67" s="1"/>
  <c r="O20" i="66"/>
  <c r="E67" i="67"/>
  <c r="F67" i="67" s="1"/>
  <c r="O29" i="66"/>
  <c r="E89" i="67"/>
  <c r="F89" i="67" s="1"/>
  <c r="G14" i="67" s="1"/>
  <c r="J22" i="62"/>
  <c r="G26" i="64"/>
  <c r="G25" i="64"/>
  <c r="G27" i="64"/>
  <c r="G29" i="64"/>
  <c r="G30" i="64"/>
  <c r="G28" i="64"/>
  <c r="D26" i="64"/>
  <c r="D27" i="64"/>
  <c r="D28" i="64"/>
  <c r="D30" i="64"/>
  <c r="D25" i="64"/>
  <c r="D29" i="64"/>
  <c r="J20" i="62"/>
  <c r="E24" i="62"/>
  <c r="H17" i="69" l="1"/>
  <c r="G17" i="69"/>
  <c r="H18" i="69"/>
  <c r="G18" i="69"/>
  <c r="H15" i="69"/>
  <c r="G15" i="69"/>
  <c r="H14" i="69"/>
  <c r="G14" i="69"/>
  <c r="H14" i="70"/>
  <c r="G14" i="70"/>
  <c r="G15" i="70"/>
  <c r="H15" i="70"/>
  <c r="H16" i="69"/>
  <c r="G16" i="69"/>
  <c r="G16" i="70"/>
  <c r="H16" i="70"/>
  <c r="H18" i="70"/>
  <c r="G18" i="70"/>
  <c r="H17" i="70"/>
  <c r="G17" i="70"/>
  <c r="F69" i="67"/>
  <c r="G9" i="67" s="1"/>
  <c r="F35" i="67"/>
  <c r="G7" i="67" s="1"/>
  <c r="F54" i="67"/>
  <c r="G8" i="67" s="1"/>
  <c r="H29" i="64"/>
  <c r="K17" i="2" s="1"/>
  <c r="H26" i="64"/>
  <c r="K14" i="2" s="1"/>
  <c r="F27" i="58" s="1"/>
  <c r="G27" i="58" s="1"/>
  <c r="H25" i="64"/>
  <c r="K13" i="2" s="1"/>
  <c r="F21" i="58" s="1"/>
  <c r="G21" i="58" s="1"/>
  <c r="H27" i="64"/>
  <c r="K15" i="2" s="1"/>
  <c r="H28" i="64"/>
  <c r="K16" i="2" s="1"/>
  <c r="J24" i="62"/>
  <c r="D9" i="64"/>
  <c r="H30" i="64"/>
  <c r="K18" i="2" s="1"/>
  <c r="E20" i="42" l="1"/>
  <c r="F20" i="42" s="1"/>
  <c r="G13" i="67"/>
  <c r="G15" i="67" s="1"/>
  <c r="F39" i="58"/>
  <c r="G39" i="58" s="1"/>
  <c r="E35" i="42"/>
  <c r="F33" i="58"/>
  <c r="G33" i="58" s="1"/>
  <c r="E27" i="42"/>
  <c r="E12" i="42"/>
  <c r="F12" i="42" s="1"/>
  <c r="K19" i="64"/>
  <c r="D12" i="64"/>
  <c r="K21" i="2" s="1"/>
  <c r="J10" i="60"/>
  <c r="K12" i="42" l="1"/>
  <c r="H12" i="42"/>
  <c r="K20" i="42"/>
  <c r="H20" i="42"/>
  <c r="E42" i="42"/>
  <c r="F42" i="42" s="1"/>
  <c r="F35" i="42"/>
  <c r="F27" i="42"/>
  <c r="G27" i="60"/>
  <c r="H27" i="60"/>
  <c r="K27" i="42" l="1"/>
  <c r="H27" i="42"/>
  <c r="K35" i="42"/>
  <c r="H35" i="42"/>
  <c r="K42" i="42"/>
  <c r="H42" i="42"/>
  <c r="E21" i="42"/>
  <c r="F34" i="58"/>
  <c r="G34" i="58" s="1"/>
  <c r="G35" i="58" s="1"/>
  <c r="G10" i="58" s="1"/>
  <c r="F28" i="58"/>
  <c r="G28" i="58" s="1"/>
  <c r="G29" i="58" s="1"/>
  <c r="G9" i="58" s="1"/>
  <c r="E36" i="42"/>
  <c r="E28" i="42"/>
  <c r="F40" i="58"/>
  <c r="G40" i="58" s="1"/>
  <c r="G41" i="58" s="1"/>
  <c r="G11" i="58" s="1"/>
  <c r="E13" i="42"/>
  <c r="E14" i="42" s="1"/>
  <c r="F22" i="58"/>
  <c r="G22" i="58" s="1"/>
  <c r="G23" i="58" s="1"/>
  <c r="G8" i="58" s="1"/>
  <c r="F27" i="60"/>
  <c r="F13" i="42" l="1"/>
  <c r="G12" i="58"/>
  <c r="G14" i="58" s="1"/>
  <c r="G16" i="58" s="1"/>
  <c r="E29" i="42"/>
  <c r="F28" i="42"/>
  <c r="H28" i="42" s="1"/>
  <c r="E37" i="42"/>
  <c r="F36" i="42"/>
  <c r="H36" i="42" s="1"/>
  <c r="F21" i="42"/>
  <c r="H21" i="42" s="1"/>
  <c r="E22" i="42"/>
  <c r="E15" i="42"/>
  <c r="F14" i="42"/>
  <c r="H14" i="42" s="1"/>
  <c r="J27" i="60"/>
  <c r="I27" i="60"/>
  <c r="G13" i="42" l="1"/>
  <c r="H13" i="42"/>
  <c r="K13" i="42"/>
  <c r="K21" i="42"/>
  <c r="G21" i="42"/>
  <c r="K36" i="42"/>
  <c r="G36" i="42"/>
  <c r="G28" i="42"/>
  <c r="K28" i="42"/>
  <c r="E23" i="42"/>
  <c r="F22" i="42"/>
  <c r="H22" i="42" s="1"/>
  <c r="E38" i="42"/>
  <c r="F37" i="42"/>
  <c r="H37" i="42" s="1"/>
  <c r="E30" i="42"/>
  <c r="F29" i="42"/>
  <c r="H29" i="42" s="1"/>
  <c r="G14" i="42"/>
  <c r="K14" i="42"/>
  <c r="E16" i="42"/>
  <c r="F15" i="42"/>
  <c r="H15" i="42" s="1"/>
  <c r="G37" i="42" l="1"/>
  <c r="K37" i="42"/>
  <c r="E31" i="42"/>
  <c r="F30" i="42"/>
  <c r="H30" i="42" s="1"/>
  <c r="E39" i="42"/>
  <c r="E43" i="42"/>
  <c r="F43" i="42" s="1"/>
  <c r="F38" i="42"/>
  <c r="H38" i="42" s="1"/>
  <c r="K22" i="42"/>
  <c r="G22" i="42"/>
  <c r="G29" i="42"/>
  <c r="K29" i="42"/>
  <c r="E24" i="42"/>
  <c r="F24" i="42" s="1"/>
  <c r="H24" i="42" s="1"/>
  <c r="F23" i="42"/>
  <c r="H23" i="42" s="1"/>
  <c r="G15" i="42"/>
  <c r="K15" i="42"/>
  <c r="E17" i="42"/>
  <c r="F17" i="42" s="1"/>
  <c r="H17" i="42" s="1"/>
  <c r="F16" i="42"/>
  <c r="H16" i="42" s="1"/>
  <c r="K43" i="42" l="1"/>
  <c r="H43" i="42"/>
  <c r="K23" i="42"/>
  <c r="G23" i="42"/>
  <c r="G38" i="42"/>
  <c r="K38" i="42"/>
  <c r="E44" i="42"/>
  <c r="F44" i="42" s="1"/>
  <c r="F39" i="42"/>
  <c r="H39" i="42" s="1"/>
  <c r="G24" i="42"/>
  <c r="K24" i="42"/>
  <c r="G30" i="42"/>
  <c r="K30" i="42"/>
  <c r="E32" i="42"/>
  <c r="F32" i="42" s="1"/>
  <c r="H32" i="42" s="1"/>
  <c r="F31" i="42"/>
  <c r="H31" i="42" s="1"/>
  <c r="G16" i="42"/>
  <c r="K16" i="42"/>
  <c r="G17" i="42"/>
  <c r="K17" i="42"/>
  <c r="K44" i="42" l="1"/>
  <c r="H44" i="42"/>
  <c r="G31" i="42"/>
  <c r="K31" i="42"/>
  <c r="K39" i="42"/>
  <c r="G39" i="42"/>
  <c r="K32" i="42"/>
  <c r="G32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M31" authorId="0" shapeId="0" xr:uid="{5059593E-C1A0-47F1-8B9C-23C64D8935BE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For Trans equip depr alloc
</t>
        </r>
      </text>
    </comment>
  </commentList>
</comments>
</file>

<file path=xl/sharedStrings.xml><?xml version="1.0" encoding="utf-8"?>
<sst xmlns="http://schemas.openxmlformats.org/spreadsheetml/2006/main" count="1063" uniqueCount="463">
  <si>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</si>
  <si>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</si>
  <si>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</si>
  <si>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</si>
  <si>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</si>
  <si>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</si>
  <si>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</si>
  <si>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</si>
  <si>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</si>
  <si>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</si>
  <si>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</si>
  <si>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</si>
  <si>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</si>
  <si>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</si>
  <si>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</si>
  <si>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</si>
  <si>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</si>
  <si>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</si>
  <si>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</si>
  <si>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</si>
  <si>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</si>
  <si>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</si>
  <si>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</si>
  <si>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</si>
  <si>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</si>
  <si>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</si>
  <si>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Existing</t>
  </si>
  <si>
    <t>Change</t>
  </si>
  <si>
    <t>1"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</si>
  <si>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</si>
  <si>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</si>
  <si>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</si>
  <si>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</si>
  <si>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</si>
  <si>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</si>
  <si>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</si>
  <si>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</si>
  <si>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</si>
  <si>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</si>
  <si>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</si>
  <si>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</si>
  <si>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</si>
  <si>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</si>
  <si>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</si>
  <si>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</si>
  <si>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</si>
  <si>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</si>
  <si>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</si>
  <si>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</si>
  <si>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</si>
  <si>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</si>
  <si>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Other Water Revenues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</si>
  <si>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</si>
  <si>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</si>
  <si>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</si>
  <si>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</si>
  <si>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</si>
  <si>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</si>
  <si>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</si>
  <si>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</si>
  <si>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</si>
  <si>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</si>
  <si>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</si>
  <si>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</si>
  <si>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</si>
  <si>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</si>
  <si>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</si>
  <si>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</si>
  <si>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</si>
  <si>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</si>
  <si>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</si>
  <si>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</si>
  <si>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</si>
  <si>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</si>
  <si>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</si>
  <si>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</si>
  <si>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</si>
  <si>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</si>
  <si>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</si>
  <si>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</si>
  <si>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</si>
  <si>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</si>
  <si>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</si>
  <si>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</si>
  <si>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</si>
  <si>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</si>
  <si>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</si>
  <si>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</si>
  <si>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</si>
  <si>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</si>
  <si>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</si>
  <si>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DEBT SERVICE SCHDULE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</si>
  <si>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</si>
  <si>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</si>
  <si>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</si>
  <si>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</si>
  <si>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</si>
  <si>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</si>
  <si>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</si>
  <si>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NEXT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</si>
  <si>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</si>
  <si>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</si>
  <si>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</si>
  <si>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</si>
  <si>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</si>
  <si>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</si>
  <si>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</si>
  <si>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</si>
  <si>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</si>
  <si>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</si>
  <si>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</si>
  <si>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</si>
  <si>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</si>
  <si>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Tank O.F.</t>
  </si>
  <si>
    <t xml:space="preserve">   Line Brks.</t>
  </si>
  <si>
    <t xml:space="preserve">   Line Leaks</t>
  </si>
  <si>
    <t>Total Losses:</t>
  </si>
  <si>
    <t>Sold, Used, and Lost</t>
  </si>
  <si>
    <t>Total Gross Wages</t>
  </si>
  <si>
    <t>Gross Wages for Full Time Employees CERS Eligible</t>
  </si>
  <si>
    <t>Medical Insurance Adjustment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</si>
  <si>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</si>
  <si>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</si>
  <si>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</si>
  <si>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</si>
  <si>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</si>
  <si>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</si>
  <si>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</si>
  <si>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</si>
  <si>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</si>
  <si>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</si>
  <si>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</si>
  <si>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</si>
  <si>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Allowable Employer Premium</t>
  </si>
  <si>
    <t>Medical Adjustment</t>
  </si>
  <si>
    <t>Medical</t>
  </si>
  <si>
    <t>Dental</t>
  </si>
  <si>
    <t>Vision</t>
  </si>
  <si>
    <t>Less Annual Premium</t>
  </si>
  <si>
    <t>``</t>
  </si>
  <si>
    <t>Total Adjustment</t>
  </si>
  <si>
    <t xml:space="preserve">   Excavation Damages</t>
  </si>
  <si>
    <t>Employee 1</t>
  </si>
  <si>
    <t>Employee 2</t>
  </si>
  <si>
    <t>Less: Corrected Test Year Salaries</t>
  </si>
  <si>
    <t>Purchased Water above allowable water loss.</t>
  </si>
  <si>
    <t>Purchased Power above allowable water loss.</t>
  </si>
  <si>
    <t>Computation of Water Loss Adjustment</t>
  </si>
  <si>
    <t>Proforma Purchased Water</t>
  </si>
  <si>
    <t>Computation of Adjustment to Purchases above Allowable Water Loss:</t>
  </si>
  <si>
    <t>CY 2027</t>
  </si>
  <si>
    <t>Advertising Expense</t>
  </si>
  <si>
    <t xml:space="preserve">  SUMMARY  </t>
  </si>
  <si>
    <t>No. of Bills</t>
  </si>
  <si>
    <t>Gallons Sold</t>
  </si>
  <si>
    <t>Revenue</t>
  </si>
  <si>
    <t xml:space="preserve">     1" Meters</t>
  </si>
  <si>
    <t>Totals</t>
  </si>
  <si>
    <t xml:space="preserve">     REVENUE BY RATE INCREMENT</t>
  </si>
  <si>
    <t xml:space="preserve">     4" Meters</t>
  </si>
  <si>
    <t>Employee 3</t>
  </si>
  <si>
    <t>Employee 4</t>
  </si>
  <si>
    <t>Employee 5</t>
  </si>
  <si>
    <t>Employee 6</t>
  </si>
  <si>
    <t>Employee 7</t>
  </si>
  <si>
    <t>Sample</t>
  </si>
  <si>
    <t>Testing</t>
  </si>
  <si>
    <t>Employee 8</t>
  </si>
  <si>
    <t>Employee 9</t>
  </si>
  <si>
    <t>On Call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</si>
  <si>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</si>
  <si>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</si>
  <si>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</si>
  <si>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</si>
  <si>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</si>
  <si>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</si>
  <si>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</si>
  <si>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</si>
  <si>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Less: Test Year Payroll Taxes</t>
  </si>
  <si>
    <t>Allen County Water District</t>
  </si>
  <si>
    <t>KIA Loan F19-025</t>
  </si>
  <si>
    <t>CY 2028</t>
  </si>
  <si>
    <t>CY 2029</t>
  </si>
  <si>
    <t>CY 2025 - 2029</t>
  </si>
  <si>
    <t>Justin Bullington</t>
  </si>
  <si>
    <t>Tonda Cunningham</t>
  </si>
  <si>
    <t>Cody Davis</t>
  </si>
  <si>
    <t>Samantha K. Hill</t>
  </si>
  <si>
    <t>Juan Martinez-Arce</t>
  </si>
  <si>
    <t>Adam Nunn</t>
  </si>
  <si>
    <t>Angela Gilliam</t>
  </si>
  <si>
    <t>Mallory Patrick</t>
  </si>
  <si>
    <t>Chelsea Williams</t>
  </si>
  <si>
    <t>Jeff Weaver</t>
  </si>
  <si>
    <t>Keaton Arnold</t>
  </si>
  <si>
    <t>James L Sexton</t>
  </si>
  <si>
    <t>Levi Cartmill</t>
  </si>
  <si>
    <t>Scott Pedigo</t>
  </si>
  <si>
    <t>Zander Reynolds</t>
  </si>
  <si>
    <t>Zach Tabor</t>
  </si>
  <si>
    <t>Salaried</t>
  </si>
  <si>
    <t>Revenue Bonds Series 2006</t>
  </si>
  <si>
    <t>Revenue Bonds Series 2012</t>
  </si>
  <si>
    <t>KRWFC Loan</t>
  </si>
  <si>
    <t>DEPRECIATION EXPENSE ADJUSTMENTS</t>
  </si>
  <si>
    <t>Depreciation</t>
  </si>
  <si>
    <t>Date in</t>
  </si>
  <si>
    <t>Original</t>
  </si>
  <si>
    <t>Reported</t>
  </si>
  <si>
    <t>Expense</t>
  </si>
  <si>
    <t>Asset</t>
  </si>
  <si>
    <t>Service</t>
  </si>
  <si>
    <t>Cost *</t>
  </si>
  <si>
    <t>Life</t>
  </si>
  <si>
    <t>Depr. Exp.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</si>
  <si>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</si>
  <si>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</si>
  <si>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</si>
  <si>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</si>
  <si>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</si>
  <si>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</si>
  <si>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</si>
  <si>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</si>
  <si>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</si>
  <si>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</si>
  <si>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</si>
  <si>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</si>
  <si>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</si>
  <si>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</si>
  <si>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</si>
  <si>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</si>
  <si>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Meters</t>
  </si>
  <si>
    <t>Pump Equipment</t>
  </si>
  <si>
    <t>Tank Fence</t>
  </si>
  <si>
    <t>Services</t>
  </si>
  <si>
    <t>Reservoirs &amp; Tanks</t>
  </si>
  <si>
    <t>Transportation Equipment</t>
  </si>
  <si>
    <t>Entire Group</t>
  </si>
  <si>
    <t xml:space="preserve">              *  Includes only costs associated with assets that contributed to depreciation expense in the test year.</t>
  </si>
  <si>
    <t>Allowed Depreciation</t>
  </si>
  <si>
    <t>Less: Reported Depreciation</t>
  </si>
  <si>
    <t>Adjustment to Allowed Depreciation</t>
  </si>
  <si>
    <t>CURRENT AND PROPOSED MONTHLY RATES</t>
  </si>
  <si>
    <t>CURRENT RATE SCHEDULE</t>
  </si>
  <si>
    <t>PROPOSED RATE SCHEDULE</t>
  </si>
  <si>
    <t>First</t>
  </si>
  <si>
    <t>gallons</t>
  </si>
  <si>
    <t>Minimum Bill</t>
  </si>
  <si>
    <t>Next</t>
  </si>
  <si>
    <t>per 1,000 gallons</t>
  </si>
  <si>
    <t>Over</t>
  </si>
  <si>
    <t>1" Meters</t>
  </si>
  <si>
    <t>Table B</t>
  </si>
  <si>
    <t>Supply</t>
  </si>
  <si>
    <t>Treatment</t>
  </si>
  <si>
    <t>Trans &amp; Dist</t>
  </si>
  <si>
    <t>Customer</t>
  </si>
  <si>
    <t>Admin</t>
  </si>
  <si>
    <t>Sal &amp; Wages - Empl</t>
  </si>
  <si>
    <t xml:space="preserve">     Allocation %'s</t>
  </si>
  <si>
    <t>Sal &amp; Wages - Comm</t>
  </si>
  <si>
    <t>Empl. Pen &amp; Bene + Tax</t>
  </si>
  <si>
    <t>Purch Water</t>
  </si>
  <si>
    <t>Purch Power</t>
  </si>
  <si>
    <t>Chemicals</t>
  </si>
  <si>
    <t>Mat'ls &amp; Supplies</t>
  </si>
  <si>
    <t>Contr Serv - Acct.</t>
  </si>
  <si>
    <t>Contr Serv - Legal</t>
  </si>
  <si>
    <t>Contr Serv - Other</t>
  </si>
  <si>
    <t>Transportation</t>
  </si>
  <si>
    <t>Ins - Vehicle</t>
  </si>
  <si>
    <t>Ins - Gen Liab</t>
  </si>
  <si>
    <t>Ins - Workers Comp</t>
  </si>
  <si>
    <t>Ins -  Other</t>
  </si>
  <si>
    <t>Miscellaneous</t>
  </si>
  <si>
    <t>PRO FORMA</t>
  </si>
  <si>
    <t>Empl. Pen &amp; Bene + Taxes</t>
  </si>
  <si>
    <t>depreciation</t>
  </si>
  <si>
    <t>CHECKS w/ Total Op. Exp.</t>
  </si>
  <si>
    <t>Contr Serv - Engr</t>
  </si>
  <si>
    <t>Contr Serv - Water Testing</t>
  </si>
  <si>
    <t>Advertising</t>
  </si>
  <si>
    <t>outside</t>
  </si>
  <si>
    <t xml:space="preserve">  o.s. man-days</t>
  </si>
  <si>
    <t>admin</t>
  </si>
  <si>
    <t>mtr read</t>
  </si>
  <si>
    <t>T &amp; D</t>
  </si>
  <si>
    <t>inside</t>
  </si>
  <si>
    <t xml:space="preserve"> i.s. man-days</t>
  </si>
  <si>
    <t>customer</t>
  </si>
  <si>
    <t xml:space="preserve">  total man-days</t>
  </si>
  <si>
    <t>commodity</t>
  </si>
  <si>
    <t>demand</t>
  </si>
  <si>
    <t>Blue text indicates redistribution during study</t>
  </si>
  <si>
    <t>Red text indicates adjustments to reported values</t>
  </si>
  <si>
    <t>Table H</t>
  </si>
  <si>
    <t>Billing &amp;</t>
  </si>
  <si>
    <t>Meters &amp;</t>
  </si>
  <si>
    <t>Admin. &amp;</t>
  </si>
  <si>
    <t>Values</t>
  </si>
  <si>
    <t>Commodity</t>
  </si>
  <si>
    <t>Collecting</t>
  </si>
  <si>
    <t>General</t>
  </si>
  <si>
    <t>Salaries &amp; Wages</t>
  </si>
  <si>
    <t>Employee Benefits + Taxes</t>
  </si>
  <si>
    <t>Salaries - Officers (A &amp; G)</t>
  </si>
  <si>
    <t>Materials &amp; Supplies</t>
  </si>
  <si>
    <t>Contr. Services - Acct. &amp; Legal</t>
  </si>
  <si>
    <t>Contr. Services - Water Testing</t>
  </si>
  <si>
    <t>Contr. Services - Other</t>
  </si>
  <si>
    <t>Transportation Expense</t>
  </si>
  <si>
    <t>Insurance - Gen. Liability</t>
  </si>
  <si>
    <t>Insurance - Workers Comp</t>
  </si>
  <si>
    <t>Misc. Expense</t>
  </si>
  <si>
    <t xml:space="preserve">     Less Admin. &amp; General</t>
  </si>
  <si>
    <t>Total w/o A &amp; G</t>
  </si>
  <si>
    <t>Percentages w/o A &amp; G</t>
  </si>
  <si>
    <t>Allocation of Admin. &amp; General</t>
  </si>
  <si>
    <t>Total O &amp; M Expense Allocations</t>
  </si>
  <si>
    <t>Customer Costs</t>
  </si>
  <si>
    <t>Expenses</t>
  </si>
  <si>
    <t>Costs</t>
  </si>
  <si>
    <t>Operation &amp; Maintenance Expenses</t>
  </si>
  <si>
    <t>Debt Service &amp; Coverage</t>
  </si>
  <si>
    <t xml:space="preserve">     Forfeited Discounts</t>
  </si>
  <si>
    <t xml:space="preserve">     Miscellaneous Operating Revenue</t>
  </si>
  <si>
    <t>Expenses Recovered fom Retail Rates</t>
  </si>
  <si>
    <t>UNITS OF SERVICE</t>
  </si>
  <si>
    <t>No. of</t>
  </si>
  <si>
    <t>1-1/2"</t>
  </si>
  <si>
    <t>2"</t>
  </si>
  <si>
    <t>3"</t>
  </si>
  <si>
    <t>4"</t>
  </si>
  <si>
    <t>Single</t>
  </si>
  <si>
    <t>Annual</t>
  </si>
  <si>
    <t>Block</t>
  </si>
  <si>
    <t>Sales</t>
  </si>
  <si>
    <t>All Retail</t>
  </si>
  <si>
    <t>Number of Services and Equivalents:</t>
  </si>
  <si>
    <t>Ratio</t>
  </si>
  <si>
    <t>Equivalents</t>
  </si>
  <si>
    <t>CALCULATION OF WATER RATES - RETAIL</t>
  </si>
  <si>
    <t>Commodity Costs</t>
  </si>
  <si>
    <t>PROPOSED USAGE RATE</t>
  </si>
  <si>
    <t>CALCULATION OF CUSTOMER CHARGES:</t>
  </si>
  <si>
    <t>Expenses to be Allocated</t>
  </si>
  <si>
    <t>No. of Bills or Equivalents</t>
  </si>
  <si>
    <t>Unit Cost of Service</t>
  </si>
  <si>
    <t>Meter Size</t>
  </si>
  <si>
    <t>Charge</t>
  </si>
  <si>
    <t>Contr. Services - Engr</t>
  </si>
  <si>
    <t>WHOLESALE SALES</t>
  </si>
  <si>
    <t>CITY OF SCOTTSVILLE</t>
  </si>
  <si>
    <t>Total Retail Billings</t>
  </si>
  <si>
    <t xml:space="preserve">     Less Billing Adjustments</t>
  </si>
  <si>
    <t>Total Net Retail Revenue</t>
  </si>
  <si>
    <t xml:space="preserve">      Plus Wholesale Sales</t>
  </si>
  <si>
    <t>Total Pro Forma Sales Revenue</t>
  </si>
  <si>
    <t>CURRENT BILLING ANALYSIS - 2023 USAGE &amp; EXISTING RATES</t>
  </si>
  <si>
    <t>Asset Value</t>
  </si>
  <si>
    <t>Debt Serv. &amp; Coverage Allocation</t>
  </si>
  <si>
    <t>Table F</t>
  </si>
  <si>
    <t>ALLOCATION OF PLANT VALUE AND DEBT SERVICE</t>
  </si>
  <si>
    <t>ALLOCATION OF OPERATION &amp; MAINTENANCE EXPENSE</t>
  </si>
  <si>
    <t>SUMMARY OF ALLOCATIONS</t>
  </si>
  <si>
    <t xml:space="preserve">   Proposed Wholesale Revenue*</t>
  </si>
  <si>
    <t xml:space="preserve">   Interest Income</t>
  </si>
  <si>
    <t>Plant Value Percentages w/o Admin</t>
  </si>
  <si>
    <t>Total Expenses</t>
  </si>
  <si>
    <t>Total Gallons Sold x 1,000</t>
  </si>
  <si>
    <t xml:space="preserve">   Projected Billing Adjustments</t>
  </si>
  <si>
    <t>General Customers</t>
  </si>
  <si>
    <t>U.S. Corps of Engineers</t>
  </si>
  <si>
    <t>Mobile Home Parks</t>
  </si>
  <si>
    <t>Wholesale Customers</t>
  </si>
  <si>
    <t>All Usage</t>
  </si>
  <si>
    <t>Water Usage:</t>
  </si>
  <si>
    <t>Minimum</t>
  </si>
  <si>
    <t>Usage Charge (All Retail Customers)</t>
  </si>
  <si>
    <t>Residential Customers</t>
  </si>
  <si>
    <t>Commercial Customers</t>
  </si>
  <si>
    <t>CORPS OF ENGINEERS</t>
  </si>
  <si>
    <t>COMPARISION OF EXISTING AND PROPOSED BILLS</t>
  </si>
  <si>
    <t>5/8 x 3/4" Meters</t>
  </si>
  <si>
    <t>2" Meters</t>
  </si>
  <si>
    <t>4" Meters</t>
  </si>
  <si>
    <t>Corps of Engineers</t>
  </si>
  <si>
    <t>PROPOSED BILLING ANALYSIS - CURRENT USAGE &amp; PROPOSED RATES</t>
  </si>
  <si>
    <t>SALES FOR RESALE</t>
  </si>
  <si>
    <t>ALL SALES</t>
  </si>
  <si>
    <t>ALL USAGE</t>
  </si>
  <si>
    <t>MINIMUM</t>
  </si>
  <si>
    <t xml:space="preserve">     5/8 x 3/4" Meters</t>
  </si>
  <si>
    <t xml:space="preserve">     2" Meters</t>
  </si>
  <si>
    <t>Total Proposed Sales Revenue</t>
  </si>
  <si>
    <t>Minimum Bills (Customer Charge - No Usage)</t>
  </si>
  <si>
    <t>Required Rev =</t>
  </si>
  <si>
    <t>Table C</t>
  </si>
  <si>
    <t>Table D</t>
  </si>
  <si>
    <t>Table E</t>
  </si>
  <si>
    <t>Table G</t>
  </si>
  <si>
    <t>(Using Cost of Service Method)</t>
  </si>
  <si>
    <t>CURRENT AND PROPOSED RATES</t>
  </si>
  <si>
    <t xml:space="preserve">   All Water Purchased</t>
  </si>
  <si>
    <t xml:space="preserve"> Across the board increase</t>
  </si>
  <si>
    <t>(Using Across-the-board Percentage Increase)</t>
  </si>
  <si>
    <t>(Across-the-board Percentage Increase)</t>
  </si>
  <si>
    <t>(Cost of Service Rates)</t>
  </si>
  <si>
    <t>A</t>
  </si>
  <si>
    <t>B</t>
  </si>
  <si>
    <t>C</t>
  </si>
  <si>
    <t>D</t>
  </si>
  <si>
    <t>E</t>
  </si>
  <si>
    <t>F</t>
  </si>
  <si>
    <t>G</t>
  </si>
  <si>
    <t>H</t>
  </si>
  <si>
    <t>KIA Loan</t>
  </si>
  <si>
    <t>Leak Adjustment Rate</t>
  </si>
  <si>
    <t>Sold as Shown on Annual Report</t>
  </si>
  <si>
    <t>Less Church/Exempt already included</t>
  </si>
  <si>
    <t>Less Bulk Sales listed in error</t>
  </si>
  <si>
    <t>Corrected Sold</t>
  </si>
  <si>
    <t xml:space="preserve">   Unknown (replacking Church/Exempt and Bulk Sales</t>
  </si>
  <si>
    <t xml:space="preserve">Total Pro Forma Sales </t>
  </si>
  <si>
    <t xml:space="preserve">   Less Total Metered Retail Sales from Annual Report</t>
  </si>
  <si>
    <t xml:space="preserve">   Plus Sales for Resale</t>
  </si>
  <si>
    <t>Adjustment to Retail Sales</t>
  </si>
  <si>
    <t>Correction to Annual Report Data</t>
  </si>
  <si>
    <t>References</t>
  </si>
  <si>
    <t>Correct Total Metered Retail Sales by Excluding Sales for Resale</t>
  </si>
  <si>
    <t>Correct Sales for Resale by Removing from Total Metered Retail Sales</t>
  </si>
  <si>
    <t>Adjust to current wages</t>
  </si>
  <si>
    <t>Adjust to allowable limit on employer participation on medical insurance</t>
  </si>
  <si>
    <t>Reduce to allowable limit on water loss</t>
  </si>
  <si>
    <t>Adjust to increased cost from purchased water adjustment</t>
  </si>
  <si>
    <t>Adjust to Current Billing Analysis with rates from purchased water adjustment</t>
  </si>
  <si>
    <t>Adjust to allowable depreciable asset lives</t>
  </si>
  <si>
    <t>Adjust to payroll taxes</t>
  </si>
  <si>
    <t>I</t>
  </si>
  <si>
    <t>J</t>
  </si>
  <si>
    <t>K</t>
  </si>
  <si>
    <t>Five year average of annual principal and interest payments</t>
  </si>
  <si>
    <t>Twenty percent coverage on annual debt service payments</t>
  </si>
  <si>
    <t>Computation of Water Loss Reduction Surcharge:</t>
  </si>
  <si>
    <t>Computation of Adjustment Due to Increased Purchased Water Cost:</t>
  </si>
  <si>
    <t>Total Bills</t>
  </si>
  <si>
    <t>Water Loss Reduction Surcharge</t>
  </si>
  <si>
    <t>Purchased Water Adjustments</t>
  </si>
  <si>
    <t xml:space="preserve">   Per Account</t>
  </si>
  <si>
    <t>per month</t>
  </si>
  <si>
    <t>Difference</t>
  </si>
  <si>
    <t xml:space="preserve">   Amount</t>
  </si>
  <si>
    <t>Percent</t>
  </si>
  <si>
    <t>CY 2030</t>
  </si>
  <si>
    <t>Four Years of Surcharge Collections</t>
  </si>
  <si>
    <t>without Water Loss Reduction Surcharge</t>
  </si>
  <si>
    <t>* Highlighted usage represents the average bill.</t>
  </si>
  <si>
    <t>with Water Loss Reduction Surcharge</t>
  </si>
  <si>
    <t>AS REPORTED</t>
  </si>
  <si>
    <t>ALLOCATION OF OPERATING EXPENSES</t>
  </si>
  <si>
    <t>Table I</t>
  </si>
  <si>
    <t>Mobile Homes and Trailer Parks</t>
  </si>
  <si>
    <t>Mobile Homes &amp; Trailers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</si>
</sst>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* #,##0.0000_);_(* \(#,##0.0000\);_(* &quot;-&quot;??_);_(@_)"/>
    <numFmt numFmtId="172" formatCode="&quot;$&quot;#,##0.00"/>
  </numFmts>
  <fonts count="3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</font>
    <font>
      <u val="singleAccounting"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u val="singleAccounting"/>
      <sz val="11"/>
      <name val="Calibri"/>
      <family val="2"/>
    </font>
    <font>
      <b/>
      <sz val="12"/>
      <name val="Calibri"/>
      <family val="2"/>
    </font>
    <font>
      <b/>
      <u val="singleAccounting"/>
      <sz val="12"/>
      <name val="Calibri"/>
      <family val="2"/>
      <scheme val="minor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09">
    <xf numFmtId="0" fontId="0" fillId="0" borderId="0" xfId="0"/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5" fontId="5" fillId="0" borderId="2" xfId="1" applyNumberFormat="1" applyFont="1" applyBorder="1"/>
    <xf numFmtId="165" fontId="5" fillId="0" borderId="8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43" fontId="5" fillId="0" borderId="0" xfId="1" applyFont="1" applyBorder="1"/>
    <xf numFmtId="165" fontId="5" fillId="0" borderId="0" xfId="5" applyNumberFormat="1" applyFont="1"/>
    <xf numFmtId="3" fontId="5" fillId="0" borderId="0" xfId="0" applyNumberFormat="1" applyFont="1" applyAlignment="1">
      <alignment horizontal="right"/>
    </xf>
    <xf numFmtId="165" fontId="5" fillId="0" borderId="7" xfId="5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5" fillId="0" borderId="1" xfId="5" applyNumberFormat="1" applyFont="1" applyBorder="1"/>
    <xf numFmtId="165" fontId="5" fillId="0" borderId="0" xfId="5" applyNumberFormat="1" applyFont="1" applyBorder="1"/>
    <xf numFmtId="0" fontId="5" fillId="0" borderId="0" xfId="0" applyFont="1" applyAlignment="1">
      <alignment horizontal="centerContinuous"/>
    </xf>
    <xf numFmtId="165" fontId="11" fillId="0" borderId="0" xfId="1" applyNumberFormat="1" applyFont="1"/>
    <xf numFmtId="165" fontId="5" fillId="0" borderId="1" xfId="0" applyNumberFormat="1" applyFont="1" applyBorder="1"/>
    <xf numFmtId="164" fontId="5" fillId="0" borderId="0" xfId="6" applyNumberFormat="1" applyFont="1"/>
    <xf numFmtId="3" fontId="6" fillId="0" borderId="0" xfId="0" applyNumberFormat="1" applyFont="1" applyAlignment="1">
      <alignment horizontal="center" vertical="center"/>
    </xf>
    <xf numFmtId="43" fontId="5" fillId="0" borderId="1" xfId="1" applyFont="1" applyBorder="1"/>
    <xf numFmtId="0" fontId="20" fillId="0" borderId="0" xfId="0" applyFont="1" applyAlignment="1">
      <alignment horizontal="center"/>
    </xf>
    <xf numFmtId="10" fontId="5" fillId="0" borderId="0" xfId="0" applyNumberFormat="1" applyFont="1"/>
    <xf numFmtId="165" fontId="5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5" fontId="5" fillId="0" borderId="6" xfId="5" applyNumberFormat="1" applyFont="1" applyBorder="1"/>
    <xf numFmtId="165" fontId="5" fillId="0" borderId="8" xfId="5" applyNumberFormat="1" applyFont="1" applyBorder="1"/>
    <xf numFmtId="165" fontId="9" fillId="0" borderId="7" xfId="5" applyNumberFormat="1" applyFont="1" applyBorder="1" applyAlignment="1">
      <alignment horizontal="center"/>
    </xf>
    <xf numFmtId="165" fontId="5" fillId="0" borderId="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0" fillId="0" borderId="0" xfId="5" applyNumberFormat="1" applyFont="1" applyAlignment="1">
      <alignment horizontal="centerContinuous"/>
    </xf>
    <xf numFmtId="3" fontId="13" fillId="0" borderId="7" xfId="0" applyNumberFormat="1" applyFont="1" applyBorder="1" applyAlignment="1">
      <alignment horizontal="centerContinuous" vertical="center"/>
    </xf>
    <xf numFmtId="165" fontId="22" fillId="0" borderId="7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9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5" fillId="0" borderId="10" xfId="5" applyNumberFormat="1" applyFont="1" applyBorder="1"/>
    <xf numFmtId="165" fontId="12" fillId="0" borderId="0" xfId="5" applyNumberFormat="1" applyFont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165" fontId="5" fillId="0" borderId="10" xfId="5" applyNumberFormat="1" applyFont="1" applyBorder="1" applyAlignment="1">
      <alignment horizontal="left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center"/>
    </xf>
    <xf numFmtId="165" fontId="5" fillId="0" borderId="10" xfId="5" quotePrefix="1" applyNumberFormat="1" applyFont="1" applyBorder="1" applyAlignment="1">
      <alignment horizontal="center"/>
    </xf>
    <xf numFmtId="165" fontId="5" fillId="0" borderId="7" xfId="5" quotePrefix="1" applyNumberFormat="1" applyFont="1" applyBorder="1" applyAlignment="1">
      <alignment horizontal="left"/>
    </xf>
    <xf numFmtId="165" fontId="5" fillId="0" borderId="0" xfId="5" quotePrefix="1" applyNumberFormat="1" applyFont="1" applyAlignment="1">
      <alignment horizontal="left"/>
    </xf>
    <xf numFmtId="165" fontId="5" fillId="0" borderId="8" xfId="5" quotePrefix="1" applyNumberFormat="1" applyFont="1" applyBorder="1" applyAlignment="1">
      <alignment horizontal="left"/>
    </xf>
    <xf numFmtId="165" fontId="9" fillId="0" borderId="7" xfId="5" quotePrefix="1" applyNumberFormat="1" applyFont="1" applyBorder="1" applyAlignment="1">
      <alignment horizontal="left"/>
    </xf>
    <xf numFmtId="165" fontId="9" fillId="0" borderId="0" xfId="5" quotePrefix="1" applyNumberFormat="1" applyFont="1" applyAlignment="1">
      <alignment horizontal="left"/>
    </xf>
    <xf numFmtId="165" fontId="9" fillId="0" borderId="8" xfId="5" quotePrefix="1" applyNumberFormat="1" applyFont="1" applyBorder="1" applyAlignment="1">
      <alignment horizontal="left"/>
    </xf>
    <xf numFmtId="164" fontId="9" fillId="0" borderId="0" xfId="6" quotePrefix="1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right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8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2" xfId="5" applyNumberFormat="1" applyFont="1" applyBorder="1" applyAlignment="1">
      <alignment horizontal="right"/>
    </xf>
    <xf numFmtId="165" fontId="9" fillId="0" borderId="7" xfId="5" applyNumberFormat="1" applyFont="1" applyBorder="1"/>
    <xf numFmtId="164" fontId="9" fillId="0" borderId="0" xfId="6" applyNumberFormat="1" applyFont="1"/>
    <xf numFmtId="165" fontId="9" fillId="0" borderId="0" xfId="5" applyNumberFormat="1" applyFont="1"/>
    <xf numFmtId="165" fontId="9" fillId="0" borderId="0" xfId="5" applyNumberFormat="1" applyFont="1" applyBorder="1"/>
    <xf numFmtId="164" fontId="9" fillId="0" borderId="0" xfId="6" applyNumberFormat="1" applyFont="1" applyBorder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43" fontId="5" fillId="0" borderId="0" xfId="1" applyFont="1" applyAlignment="1">
      <alignment horizontal="right"/>
    </xf>
    <xf numFmtId="164" fontId="5" fillId="0" borderId="0" xfId="6" applyNumberFormat="1" applyFont="1" applyBorder="1"/>
    <xf numFmtId="164" fontId="5" fillId="0" borderId="0" xfId="0" applyNumberFormat="1" applyFont="1"/>
    <xf numFmtId="37" fontId="5" fillId="0" borderId="0" xfId="0" applyNumberFormat="1" applyFont="1"/>
    <xf numFmtId="0" fontId="9" fillId="0" borderId="0" xfId="0" applyFont="1" applyAlignment="1">
      <alignment horizontal="left"/>
    </xf>
    <xf numFmtId="165" fontId="5" fillId="0" borderId="0" xfId="5" applyNumberFormat="1" applyFont="1" applyBorder="1" applyAlignment="1">
      <alignment horizontal="right"/>
    </xf>
    <xf numFmtId="165" fontId="5" fillId="0" borderId="0" xfId="9" applyNumberFormat="1" applyFont="1" applyFill="1" applyBorder="1"/>
    <xf numFmtId="165" fontId="11" fillId="0" borderId="0" xfId="9" applyNumberFormat="1" applyFont="1" applyFill="1" applyBorder="1"/>
    <xf numFmtId="43" fontId="5" fillId="0" borderId="0" xfId="1" applyFont="1" applyFill="1" applyBorder="1"/>
    <xf numFmtId="43" fontId="5" fillId="0" borderId="0" xfId="9" applyFont="1" applyFill="1" applyBorder="1"/>
    <xf numFmtId="166" fontId="5" fillId="0" borderId="0" xfId="3" applyNumberFormat="1" applyFont="1" applyFill="1" applyBorder="1"/>
    <xf numFmtId="44" fontId="5" fillId="0" borderId="0" xfId="0" applyNumberFormat="1" applyFont="1"/>
    <xf numFmtId="0" fontId="5" fillId="0" borderId="0" xfId="0" quotePrefix="1" applyFont="1"/>
    <xf numFmtId="43" fontId="21" fillId="0" borderId="0" xfId="9" applyFont="1" applyFill="1" applyBorder="1"/>
    <xf numFmtId="4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9" fontId="5" fillId="0" borderId="0" xfId="3" applyFont="1" applyFill="1" applyBorder="1" applyAlignment="1">
      <alignment horizontal="right"/>
    </xf>
    <xf numFmtId="44" fontId="19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44" fontId="5" fillId="0" borderId="0" xfId="10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166" fontId="5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9" fontId="20" fillId="0" borderId="0" xfId="4" applyNumberFormat="1" applyFont="1" applyAlignment="1">
      <alignment horizontal="right"/>
    </xf>
    <xf numFmtId="9" fontId="5" fillId="0" borderId="0" xfId="9" applyNumberFormat="1" applyFont="1" applyFill="1" applyBorder="1" applyAlignment="1">
      <alignment horizontal="right"/>
    </xf>
    <xf numFmtId="9" fontId="11" fillId="0" borderId="0" xfId="9" applyNumberFormat="1" applyFont="1" applyFill="1" applyBorder="1" applyAlignment="1">
      <alignment horizontal="right"/>
    </xf>
    <xf numFmtId="9" fontId="1" fillId="0" borderId="0" xfId="3" applyFont="1" applyFill="1" applyBorder="1" applyAlignment="1">
      <alignment horizontal="right"/>
    </xf>
    <xf numFmtId="9" fontId="20" fillId="0" borderId="0" xfId="3" applyFont="1" applyFill="1" applyBorder="1" applyAlignment="1">
      <alignment horizontal="right"/>
    </xf>
    <xf numFmtId="9" fontId="21" fillId="0" borderId="0" xfId="3" applyFont="1" applyFill="1" applyBorder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5" fillId="0" borderId="0" xfId="9" applyNumberFormat="1" applyFont="1" applyFill="1" applyBorder="1" applyAlignment="1">
      <alignment horizontal="right"/>
    </xf>
    <xf numFmtId="44" fontId="11" fillId="0" borderId="0" xfId="9" applyNumberFormat="1" applyFont="1" applyFill="1" applyBorder="1" applyAlignment="1">
      <alignment horizontal="right"/>
    </xf>
    <xf numFmtId="166" fontId="5" fillId="0" borderId="0" xfId="3" applyNumberFormat="1" applyFont="1" applyFill="1" applyBorder="1" applyAlignment="1">
      <alignment horizontal="center"/>
    </xf>
    <xf numFmtId="44" fontId="5" fillId="0" borderId="0" xfId="1" applyNumberFormat="1" applyFont="1" applyBorder="1"/>
    <xf numFmtId="10" fontId="5" fillId="0" borderId="0" xfId="1" applyNumberFormat="1" applyFont="1"/>
    <xf numFmtId="165" fontId="11" fillId="0" borderId="0" xfId="0" applyNumberFormat="1" applyFont="1"/>
    <xf numFmtId="164" fontId="5" fillId="0" borderId="0" xfId="2" applyNumberFormat="1" applyFont="1" applyBorder="1"/>
    <xf numFmtId="0" fontId="9" fillId="0" borderId="0" xfId="0" applyFont="1"/>
    <xf numFmtId="44" fontId="5" fillId="0" borderId="0" xfId="2" applyFont="1"/>
    <xf numFmtId="10" fontId="5" fillId="0" borderId="1" xfId="0" applyNumberFormat="1" applyFont="1" applyBorder="1"/>
    <xf numFmtId="165" fontId="9" fillId="0" borderId="0" xfId="1" applyNumberFormat="1" applyFont="1"/>
    <xf numFmtId="44" fontId="9" fillId="0" borderId="0" xfId="1" applyNumberFormat="1" applyFont="1" applyBorder="1"/>
    <xf numFmtId="164" fontId="9" fillId="0" borderId="0" xfId="2" applyNumberFormat="1" applyFont="1" applyBorder="1"/>
    <xf numFmtId="165" fontId="5" fillId="0" borderId="7" xfId="5" applyNumberFormat="1" applyFont="1" applyFill="1" applyBorder="1" applyAlignment="1">
      <alignment horizontal="center"/>
    </xf>
    <xf numFmtId="165" fontId="5" fillId="0" borderId="8" xfId="5" applyNumberFormat="1" applyFont="1" applyFill="1" applyBorder="1" applyAlignment="1">
      <alignment horizontal="center"/>
    </xf>
    <xf numFmtId="43" fontId="5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NumberFormat="1" applyFont="1"/>
    <xf numFmtId="164" fontId="12" fillId="0" borderId="0" xfId="2" applyNumberFormat="1" applyFont="1"/>
    <xf numFmtId="165" fontId="5" fillId="0" borderId="0" xfId="5" applyNumberFormat="1" applyFont="1" applyFill="1" applyBorder="1"/>
    <xf numFmtId="0" fontId="6" fillId="0" borderId="0" xfId="0" applyFont="1" applyAlignment="1">
      <alignment horizontal="centerContinuous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3" fontId="5" fillId="0" borderId="0" xfId="5" applyFont="1"/>
    <xf numFmtId="165" fontId="5" fillId="0" borderId="0" xfId="5" applyNumberFormat="1" applyFont="1" applyAlignment="1">
      <alignment horizontal="right"/>
    </xf>
    <xf numFmtId="43" fontId="5" fillId="0" borderId="0" xfId="0" applyNumberFormat="1" applyFont="1"/>
    <xf numFmtId="165" fontId="5" fillId="0" borderId="0" xfId="5" applyNumberFormat="1" applyFont="1" applyFill="1"/>
    <xf numFmtId="166" fontId="5" fillId="0" borderId="0" xfId="7" applyNumberFormat="1" applyFont="1" applyFill="1"/>
    <xf numFmtId="0" fontId="23" fillId="0" borderId="0" xfId="0" applyFont="1"/>
    <xf numFmtId="37" fontId="5" fillId="0" borderId="1" xfId="0" applyNumberFormat="1" applyFont="1" applyBorder="1" applyAlignment="1">
      <alignment horizontal="center"/>
    </xf>
    <xf numFmtId="3" fontId="5" fillId="0" borderId="0" xfId="5" applyNumberFormat="1" applyFont="1" applyFill="1"/>
    <xf numFmtId="37" fontId="5" fillId="0" borderId="1" xfId="0" applyNumberFormat="1" applyFont="1" applyBorder="1"/>
    <xf numFmtId="3" fontId="5" fillId="0" borderId="1" xfId="5" applyNumberFormat="1" applyFont="1" applyFill="1" applyBorder="1"/>
    <xf numFmtId="165" fontId="5" fillId="0" borderId="1" xfId="5" applyNumberFormat="1" applyFont="1" applyFill="1" applyBorder="1"/>
    <xf numFmtId="44" fontId="5" fillId="0" borderId="0" xfId="6" applyFont="1"/>
    <xf numFmtId="0" fontId="5" fillId="0" borderId="1" xfId="0" applyFont="1" applyBorder="1"/>
    <xf numFmtId="166" fontId="5" fillId="0" borderId="0" xfId="7" applyNumberFormat="1" applyFont="1"/>
    <xf numFmtId="0" fontId="5" fillId="0" borderId="0" xfId="0" quotePrefix="1" applyFont="1" applyAlignment="1">
      <alignment horizontal="center"/>
    </xf>
    <xf numFmtId="165" fontId="5" fillId="0" borderId="0" xfId="1" applyNumberFormat="1" applyFont="1" applyFill="1"/>
    <xf numFmtId="165" fontId="5" fillId="0" borderId="1" xfId="1" applyNumberFormat="1" applyFont="1" applyFill="1" applyBorder="1"/>
    <xf numFmtId="165" fontId="5" fillId="0" borderId="0" xfId="5" applyNumberFormat="1" applyFont="1" applyBorder="1" applyAlignment="1">
      <alignment horizontal="center"/>
    </xf>
    <xf numFmtId="10" fontId="0" fillId="0" borderId="0" xfId="0" applyNumberFormat="1"/>
    <xf numFmtId="164" fontId="5" fillId="0" borderId="0" xfId="0" applyNumberFormat="1" applyFont="1" applyAlignment="1">
      <alignment horizontal="right"/>
    </xf>
    <xf numFmtId="167" fontId="5" fillId="0" borderId="0" xfId="5" applyNumberFormat="1" applyFont="1" applyAlignment="1"/>
    <xf numFmtId="0" fontId="5" fillId="0" borderId="3" xfId="0" applyFont="1" applyBorder="1"/>
    <xf numFmtId="3" fontId="5" fillId="0" borderId="2" xfId="0" applyNumberFormat="1" applyFont="1" applyBorder="1"/>
    <xf numFmtId="164" fontId="5" fillId="0" borderId="2" xfId="0" applyNumberFormat="1" applyFont="1" applyBorder="1" applyAlignment="1">
      <alignment horizontal="right"/>
    </xf>
    <xf numFmtId="167" fontId="5" fillId="0" borderId="2" xfId="5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4" xfId="0" applyNumberFormat="1" applyFont="1" applyBorder="1"/>
    <xf numFmtId="3" fontId="5" fillId="0" borderId="7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7" fontId="5" fillId="0" borderId="0" xfId="5" applyNumberFormat="1" applyFont="1" applyBorder="1" applyAlignment="1"/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7" fontId="10" fillId="0" borderId="0" xfId="5" applyNumberFormat="1" applyFont="1" applyBorder="1" applyAlignment="1">
      <alignment horizontal="center"/>
    </xf>
    <xf numFmtId="4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3" fontId="10" fillId="0" borderId="0" xfId="0" applyNumberFormat="1" applyFont="1"/>
    <xf numFmtId="168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7" fontId="5" fillId="0" borderId="0" xfId="5" applyNumberFormat="1" applyFont="1" applyBorder="1" applyAlignment="1">
      <alignment horizontal="center"/>
    </xf>
    <xf numFmtId="167" fontId="5" fillId="0" borderId="0" xfId="5" quotePrefix="1" applyNumberFormat="1" applyFont="1" applyBorder="1" applyAlignment="1">
      <alignment horizontal="center"/>
    </xf>
    <xf numFmtId="167" fontId="5" fillId="0" borderId="0" xfId="5" applyNumberFormat="1" applyFont="1" applyBorder="1" applyAlignment="1">
      <alignment horizontal="right"/>
    </xf>
    <xf numFmtId="3" fontId="9" fillId="0" borderId="0" xfId="0" applyNumberFormat="1" applyFont="1"/>
    <xf numFmtId="169" fontId="9" fillId="0" borderId="0" xfId="0" applyNumberFormat="1" applyFont="1" applyAlignment="1">
      <alignment horizontal="right"/>
    </xf>
    <xf numFmtId="170" fontId="5" fillId="0" borderId="0" xfId="0" applyNumberFormat="1" applyFont="1"/>
    <xf numFmtId="169" fontId="9" fillId="0" borderId="0" xfId="0" applyNumberFormat="1" applyFont="1"/>
    <xf numFmtId="0" fontId="5" fillId="0" borderId="5" xfId="0" applyFont="1" applyBorder="1"/>
    <xf numFmtId="3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7" fontId="5" fillId="0" borderId="1" xfId="5" applyNumberFormat="1" applyFont="1" applyBorder="1" applyAlignment="1">
      <alignment horizontal="right"/>
    </xf>
    <xf numFmtId="3" fontId="5" fillId="0" borderId="6" xfId="0" applyNumberFormat="1" applyFont="1" applyBorder="1"/>
    <xf numFmtId="4" fontId="5" fillId="0" borderId="7" xfId="0" applyNumberFormat="1" applyFont="1" applyBorder="1"/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0" fontId="5" fillId="0" borderId="0" xfId="3" applyNumberFormat="1" applyFont="1"/>
    <xf numFmtId="0" fontId="22" fillId="0" borderId="0" xfId="0" applyFont="1"/>
    <xf numFmtId="0" fontId="5" fillId="0" borderId="6" xfId="0" applyFont="1" applyBorder="1"/>
    <xf numFmtId="0" fontId="5" fillId="0" borderId="8" xfId="0" applyFont="1" applyBorder="1"/>
    <xf numFmtId="0" fontId="10" fillId="0" borderId="0" xfId="0" applyFont="1"/>
    <xf numFmtId="165" fontId="5" fillId="0" borderId="0" xfId="5" applyNumberFormat="1" applyFont="1" applyBorder="1" applyAlignment="1"/>
    <xf numFmtId="44" fontId="5" fillId="0" borderId="0" xfId="6" applyFont="1" applyBorder="1" applyAlignment="1"/>
    <xf numFmtId="44" fontId="22" fillId="0" borderId="0" xfId="0" applyNumberFormat="1" applyFont="1"/>
    <xf numFmtId="43" fontId="5" fillId="0" borderId="0" xfId="5" applyFont="1" applyBorder="1" applyAlignment="1"/>
    <xf numFmtId="43" fontId="22" fillId="0" borderId="0" xfId="5" applyFont="1" applyAlignment="1"/>
    <xf numFmtId="165" fontId="5" fillId="0" borderId="1" xfId="5" applyNumberFormat="1" applyFont="1" applyBorder="1" applyAlignment="1"/>
    <xf numFmtId="165" fontId="22" fillId="0" borderId="0" xfId="5" applyNumberFormat="1" applyFont="1" applyAlignment="1"/>
    <xf numFmtId="0" fontId="8" fillId="0" borderId="0" xfId="0" applyFont="1" applyAlignment="1">
      <alignment horizontal="center"/>
    </xf>
    <xf numFmtId="165" fontId="5" fillId="0" borderId="0" xfId="5" applyNumberFormat="1" applyFont="1" applyAlignment="1"/>
    <xf numFmtId="166" fontId="5" fillId="0" borderId="0" xfId="7" applyNumberFormat="1" applyFont="1" applyAlignment="1"/>
    <xf numFmtId="43" fontId="5" fillId="0" borderId="0" xfId="5" applyFont="1" applyAlignment="1"/>
    <xf numFmtId="165" fontId="24" fillId="0" borderId="0" xfId="1" applyNumberFormat="1" applyFont="1"/>
    <xf numFmtId="165" fontId="24" fillId="0" borderId="0" xfId="0" applyNumberFormat="1" applyFont="1"/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5" fontId="12" fillId="0" borderId="0" xfId="5" applyNumberFormat="1" applyFont="1"/>
    <xf numFmtId="165" fontId="11" fillId="0" borderId="0" xfId="5" applyNumberFormat="1" applyFont="1" applyAlignment="1">
      <alignment horizontal="center"/>
    </xf>
    <xf numFmtId="10" fontId="5" fillId="0" borderId="0" xfId="7" applyNumberFormat="1" applyFont="1" applyFill="1"/>
    <xf numFmtId="10" fontId="5" fillId="0" borderId="0" xfId="7" applyNumberFormat="1" applyFont="1"/>
    <xf numFmtId="43" fontId="5" fillId="0" borderId="0" xfId="5" applyFont="1" applyAlignment="1">
      <alignment vertical="center"/>
    </xf>
    <xf numFmtId="165" fontId="11" fillId="0" borderId="0" xfId="5" applyNumberFormat="1" applyFont="1" applyFill="1"/>
    <xf numFmtId="165" fontId="11" fillId="0" borderId="0" xfId="5" applyNumberFormat="1" applyFont="1"/>
    <xf numFmtId="165" fontId="25" fillId="0" borderId="0" xfId="5" applyNumberFormat="1" applyFont="1"/>
    <xf numFmtId="10" fontId="5" fillId="0" borderId="0" xfId="3" applyNumberFormat="1" applyFont="1" applyFill="1"/>
    <xf numFmtId="0" fontId="26" fillId="0" borderId="0" xfId="0" applyFont="1"/>
    <xf numFmtId="43" fontId="26" fillId="0" borderId="0" xfId="1" applyFont="1"/>
    <xf numFmtId="43" fontId="5" fillId="0" borderId="0" xfId="0" applyNumberFormat="1" applyFont="1" applyAlignment="1">
      <alignment horizontal="right"/>
    </xf>
    <xf numFmtId="10" fontId="8" fillId="0" borderId="0" xfId="7" applyNumberFormat="1" applyFont="1"/>
    <xf numFmtId="0" fontId="27" fillId="0" borderId="0" xfId="0" applyFont="1"/>
    <xf numFmtId="0" fontId="28" fillId="0" borderId="0" xfId="0" applyFont="1"/>
    <xf numFmtId="165" fontId="13" fillId="0" borderId="0" xfId="5" applyNumberFormat="1" applyFont="1" applyBorder="1" applyAlignment="1">
      <alignment horizontal="center" vertical="center"/>
    </xf>
    <xf numFmtId="165" fontId="5" fillId="0" borderId="5" xfId="5" applyNumberFormat="1" applyFont="1" applyBorder="1"/>
    <xf numFmtId="165" fontId="13" fillId="0" borderId="1" xfId="5" applyNumberFormat="1" applyFont="1" applyBorder="1" applyAlignment="1">
      <alignment horizontal="center" vertical="center"/>
    </xf>
    <xf numFmtId="165" fontId="13" fillId="0" borderId="0" xfId="5" applyNumberFormat="1" applyFont="1" applyAlignment="1">
      <alignment horizontal="center" vertical="center"/>
    </xf>
    <xf numFmtId="165" fontId="8" fillId="0" borderId="0" xfId="5" applyNumberFormat="1" applyFont="1" applyBorder="1" applyAlignment="1">
      <alignment horizontal="center"/>
    </xf>
    <xf numFmtId="165" fontId="11" fillId="0" borderId="0" xfId="5" applyNumberFormat="1" applyFont="1" applyBorder="1"/>
    <xf numFmtId="10" fontId="5" fillId="0" borderId="0" xfId="7" applyNumberFormat="1" applyFont="1" applyBorder="1"/>
    <xf numFmtId="171" fontId="5" fillId="0" borderId="0" xfId="5" applyNumberFormat="1" applyFont="1"/>
    <xf numFmtId="3" fontId="6" fillId="0" borderId="8" xfId="0" applyNumberFormat="1" applyFont="1" applyBorder="1" applyAlignment="1">
      <alignment horizontal="center"/>
    </xf>
    <xf numFmtId="165" fontId="13" fillId="0" borderId="8" xfId="5" applyNumberFormat="1" applyFont="1" applyBorder="1" applyAlignment="1">
      <alignment horizontal="center" vertical="center"/>
    </xf>
    <xf numFmtId="165" fontId="6" fillId="0" borderId="0" xfId="5" applyNumberFormat="1" applyFont="1" applyBorder="1" applyAlignment="1">
      <alignment horizontal="center" vertical="center"/>
    </xf>
    <xf numFmtId="165" fontId="13" fillId="0" borderId="6" xfId="5" applyNumberFormat="1" applyFont="1" applyBorder="1" applyAlignment="1">
      <alignment horizontal="center" vertical="center"/>
    </xf>
    <xf numFmtId="165" fontId="6" fillId="0" borderId="8" xfId="5" applyNumberFormat="1" applyFont="1" applyBorder="1" applyAlignment="1">
      <alignment horizontal="center" vertical="center"/>
    </xf>
    <xf numFmtId="165" fontId="8" fillId="0" borderId="8" xfId="5" applyNumberFormat="1" applyFont="1" applyBorder="1" applyAlignment="1">
      <alignment horizontal="center"/>
    </xf>
    <xf numFmtId="165" fontId="11" fillId="0" borderId="8" xfId="5" applyNumberFormat="1" applyFont="1" applyBorder="1"/>
    <xf numFmtId="166" fontId="5" fillId="0" borderId="0" xfId="7" applyNumberFormat="1" applyFont="1" applyBorder="1"/>
    <xf numFmtId="0" fontId="5" fillId="0" borderId="0" xfId="0" applyFont="1" applyAlignment="1">
      <alignment horizontal="left" vertical="top"/>
    </xf>
    <xf numFmtId="165" fontId="24" fillId="0" borderId="0" xfId="5" applyNumberFormat="1" applyFont="1"/>
    <xf numFmtId="165" fontId="24" fillId="0" borderId="3" xfId="5" applyNumberFormat="1" applyFont="1" applyBorder="1"/>
    <xf numFmtId="165" fontId="24" fillId="0" borderId="2" xfId="5" applyNumberFormat="1" applyFont="1" applyBorder="1"/>
    <xf numFmtId="165" fontId="24" fillId="0" borderId="4" xfId="5" applyNumberFormat="1" applyFont="1" applyBorder="1"/>
    <xf numFmtId="165" fontId="24" fillId="0" borderId="7" xfId="5" applyNumberFormat="1" applyFont="1" applyBorder="1"/>
    <xf numFmtId="165" fontId="13" fillId="0" borderId="8" xfId="5" applyNumberFormat="1" applyFont="1" applyBorder="1" applyAlignment="1">
      <alignment horizontal="center"/>
    </xf>
    <xf numFmtId="165" fontId="13" fillId="0" borderId="0" xfId="5" applyNumberFormat="1" applyFont="1" applyBorder="1" applyAlignment="1">
      <alignment horizontal="center"/>
    </xf>
    <xf numFmtId="165" fontId="24" fillId="0" borderId="5" xfId="5" applyNumberFormat="1" applyFont="1" applyBorder="1"/>
    <xf numFmtId="165" fontId="13" fillId="0" borderId="1" xfId="5" applyNumberFormat="1" applyFont="1" applyBorder="1" applyAlignment="1">
      <alignment horizontal="center"/>
    </xf>
    <xf numFmtId="165" fontId="13" fillId="0" borderId="6" xfId="5" applyNumberFormat="1" applyFont="1" applyBorder="1" applyAlignment="1">
      <alignment horizontal="center"/>
    </xf>
    <xf numFmtId="165" fontId="24" fillId="0" borderId="0" xfId="5" applyNumberFormat="1" applyFont="1" applyBorder="1"/>
    <xf numFmtId="165" fontId="24" fillId="0" borderId="8" xfId="5" applyNumberFormat="1" applyFont="1" applyBorder="1"/>
    <xf numFmtId="165" fontId="29" fillId="0" borderId="0" xfId="5" applyNumberFormat="1" applyFont="1" applyBorder="1" applyAlignment="1">
      <alignment horizontal="center"/>
    </xf>
    <xf numFmtId="165" fontId="30" fillId="0" borderId="0" xfId="5" applyNumberFormat="1" applyFont="1" applyBorder="1" applyAlignment="1">
      <alignment horizontal="center"/>
    </xf>
    <xf numFmtId="165" fontId="31" fillId="0" borderId="0" xfId="5" applyNumberFormat="1" applyFont="1" applyBorder="1"/>
    <xf numFmtId="165" fontId="32" fillId="0" borderId="1" xfId="5" applyNumberFormat="1" applyFont="1" applyBorder="1"/>
    <xf numFmtId="165" fontId="24" fillId="0" borderId="1" xfId="5" applyNumberFormat="1" applyFont="1" applyBorder="1"/>
    <xf numFmtId="165" fontId="24" fillId="0" borderId="0" xfId="5" quotePrefix="1" applyNumberFormat="1" applyFont="1" applyBorder="1"/>
    <xf numFmtId="165" fontId="29" fillId="0" borderId="0" xfId="5" applyNumberFormat="1" applyFont="1" applyBorder="1"/>
    <xf numFmtId="165" fontId="24" fillId="0" borderId="0" xfId="5" quotePrefix="1" applyNumberFormat="1" applyFont="1" applyBorder="1" applyAlignment="1">
      <alignment horizontal="right"/>
    </xf>
    <xf numFmtId="43" fontId="24" fillId="0" borderId="0" xfId="5" applyFont="1" applyBorder="1"/>
    <xf numFmtId="165" fontId="24" fillId="0" borderId="0" xfId="5" applyNumberFormat="1" applyFont="1" applyBorder="1" applyAlignment="1">
      <alignment horizontal="right"/>
    </xf>
    <xf numFmtId="165" fontId="24" fillId="0" borderId="6" xfId="5" applyNumberFormat="1" applyFont="1" applyBorder="1"/>
    <xf numFmtId="165" fontId="6" fillId="0" borderId="1" xfId="5" applyNumberFormat="1" applyFont="1" applyBorder="1" applyAlignment="1">
      <alignment horizontal="center" vertical="center"/>
    </xf>
    <xf numFmtId="165" fontId="6" fillId="0" borderId="6" xfId="5" applyNumberFormat="1" applyFont="1" applyBorder="1" applyAlignment="1">
      <alignment horizontal="center" vertical="center"/>
    </xf>
    <xf numFmtId="165" fontId="5" fillId="0" borderId="2" xfId="5" applyNumberFormat="1" applyFont="1" applyBorder="1" applyAlignment="1">
      <alignment horizontal="center"/>
    </xf>
    <xf numFmtId="165" fontId="5" fillId="0" borderId="4" xfId="5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11" fillId="0" borderId="0" xfId="5" quotePrefix="1" applyNumberFormat="1" applyFont="1" applyBorder="1" applyAlignment="1">
      <alignment horizontal="center"/>
    </xf>
    <xf numFmtId="165" fontId="11" fillId="0" borderId="8" xfId="5" quotePrefix="1" applyNumberFormat="1" applyFont="1" applyBorder="1" applyAlignment="1">
      <alignment horizontal="center"/>
    </xf>
    <xf numFmtId="10" fontId="5" fillId="0" borderId="8" xfId="7" applyNumberFormat="1" applyFont="1" applyBorder="1"/>
    <xf numFmtId="10" fontId="5" fillId="0" borderId="0" xfId="7" quotePrefix="1" applyNumberFormat="1" applyFont="1"/>
    <xf numFmtId="172" fontId="5" fillId="0" borderId="0" xfId="6" applyNumberFormat="1" applyFont="1" applyBorder="1"/>
    <xf numFmtId="165" fontId="13" fillId="2" borderId="12" xfId="5" applyNumberFormat="1" applyFont="1" applyFill="1" applyBorder="1"/>
    <xf numFmtId="172" fontId="5" fillId="2" borderId="13" xfId="6" applyNumberFormat="1" applyFont="1" applyFill="1" applyBorder="1"/>
    <xf numFmtId="172" fontId="5" fillId="2" borderId="14" xfId="6" applyNumberFormat="1" applyFont="1" applyFill="1" applyBorder="1"/>
    <xf numFmtId="165" fontId="33" fillId="0" borderId="0" xfId="5" applyNumberFormat="1" applyFont="1" applyBorder="1" applyAlignment="1">
      <alignment horizontal="left" vertical="center"/>
    </xf>
    <xf numFmtId="172" fontId="9" fillId="0" borderId="0" xfId="5" applyNumberFormat="1" applyFont="1" applyBorder="1"/>
    <xf numFmtId="172" fontId="5" fillId="0" borderId="0" xfId="5" applyNumberFormat="1" applyFont="1" applyBorder="1"/>
    <xf numFmtId="172" fontId="9" fillId="2" borderId="9" xfId="5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172" fontId="9" fillId="0" borderId="0" xfId="6" applyNumberFormat="1" applyFont="1" applyBorder="1" applyAlignment="1">
      <alignment horizontal="center"/>
    </xf>
    <xf numFmtId="172" fontId="9" fillId="0" borderId="0" xfId="5" applyNumberFormat="1" applyFont="1" applyBorder="1" applyAlignment="1">
      <alignment horizontal="center"/>
    </xf>
    <xf numFmtId="172" fontId="9" fillId="2" borderId="10" xfId="5" applyNumberFormat="1" applyFont="1" applyFill="1" applyBorder="1" applyAlignment="1">
      <alignment horizontal="center"/>
    </xf>
    <xf numFmtId="172" fontId="10" fillId="0" borderId="0" xfId="6" applyNumberFormat="1" applyFont="1" applyBorder="1" applyAlignment="1">
      <alignment horizontal="right"/>
    </xf>
    <xf numFmtId="165" fontId="12" fillId="0" borderId="0" xfId="5" applyNumberFormat="1" applyFont="1" applyBorder="1" applyAlignment="1">
      <alignment horizontal="center"/>
    </xf>
    <xf numFmtId="165" fontId="12" fillId="2" borderId="10" xfId="5" applyNumberFormat="1" applyFont="1" applyFill="1" applyBorder="1" applyAlignment="1">
      <alignment horizontal="center"/>
    </xf>
    <xf numFmtId="43" fontId="5" fillId="0" borderId="0" xfId="5" applyFont="1" applyBorder="1"/>
    <xf numFmtId="44" fontId="5" fillId="2" borderId="10" xfId="6" applyFont="1" applyFill="1" applyBorder="1"/>
    <xf numFmtId="43" fontId="5" fillId="2" borderId="10" xfId="5" applyFont="1" applyFill="1" applyBorder="1"/>
    <xf numFmtId="172" fontId="5" fillId="0" borderId="8" xfId="5" applyNumberFormat="1" applyFont="1" applyBorder="1"/>
    <xf numFmtId="43" fontId="5" fillId="2" borderId="11" xfId="5" applyFont="1" applyFill="1" applyBorder="1"/>
    <xf numFmtId="172" fontId="5" fillId="0" borderId="6" xfId="5" applyNumberFormat="1" applyFont="1" applyBorder="1"/>
    <xf numFmtId="165" fontId="5" fillId="0" borderId="3" xfId="5" applyNumberFormat="1" applyFont="1" applyFill="1" applyBorder="1"/>
    <xf numFmtId="165" fontId="5" fillId="0" borderId="4" xfId="5" applyNumberFormat="1" applyFont="1" applyFill="1" applyBorder="1"/>
    <xf numFmtId="10" fontId="5" fillId="0" borderId="5" xfId="3" applyNumberFormat="1" applyFont="1" applyFill="1" applyBorder="1"/>
    <xf numFmtId="10" fontId="5" fillId="0" borderId="6" xfId="3" applyNumberFormat="1" applyFont="1" applyFill="1" applyBorder="1"/>
    <xf numFmtId="41" fontId="5" fillId="0" borderId="0" xfId="0" applyNumberFormat="1" applyFont="1"/>
    <xf numFmtId="165" fontId="11" fillId="0" borderId="0" xfId="5" applyNumberFormat="1" applyFont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10" fillId="0" borderId="0" xfId="5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5" fillId="0" borderId="2" xfId="0" applyFont="1" applyBorder="1"/>
    <xf numFmtId="0" fontId="5" fillId="0" borderId="4" xfId="0" applyFont="1" applyBorder="1"/>
    <xf numFmtId="165" fontId="9" fillId="0" borderId="8" xfId="5" applyNumberFormat="1" applyFont="1" applyBorder="1"/>
    <xf numFmtId="165" fontId="9" fillId="0" borderId="0" xfId="1" applyNumberFormat="1" applyFont="1" applyBorder="1" applyAlignment="1">
      <alignment horizontal="center"/>
    </xf>
    <xf numFmtId="165" fontId="9" fillId="0" borderId="0" xfId="5" applyNumberFormat="1" applyFont="1" applyBorder="1" applyAlignment="1">
      <alignment horizontal="center"/>
    </xf>
    <xf numFmtId="165" fontId="10" fillId="0" borderId="8" xfId="5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43" fontId="12" fillId="0" borderId="8" xfId="1" applyFont="1" applyBorder="1" applyAlignment="1">
      <alignment horizontal="center"/>
    </xf>
    <xf numFmtId="165" fontId="5" fillId="0" borderId="8" xfId="0" applyNumberFormat="1" applyFont="1" applyBorder="1"/>
    <xf numFmtId="165" fontId="11" fillId="0" borderId="0" xfId="1" applyNumberFormat="1" applyFont="1" applyBorder="1" applyAlignment="1">
      <alignment horizontal="right"/>
    </xf>
    <xf numFmtId="165" fontId="11" fillId="0" borderId="0" xfId="1" applyNumberFormat="1" applyFont="1" applyBorder="1"/>
    <xf numFmtId="165" fontId="11" fillId="0" borderId="8" xfId="1" applyNumberFormat="1" applyFont="1" applyBorder="1"/>
    <xf numFmtId="165" fontId="9" fillId="0" borderId="0" xfId="1" applyNumberFormat="1" applyFont="1" applyBorder="1" applyAlignment="1">
      <alignment horizontal="right"/>
    </xf>
    <xf numFmtId="10" fontId="9" fillId="0" borderId="0" xfId="3" applyNumberFormat="1" applyFont="1" applyBorder="1"/>
    <xf numFmtId="10" fontId="9" fillId="0" borderId="8" xfId="3" applyNumberFormat="1" applyFont="1" applyBorder="1"/>
    <xf numFmtId="164" fontId="9" fillId="0" borderId="0" xfId="2" applyNumberFormat="1" applyFont="1" applyBorder="1" applyAlignment="1">
      <alignment horizontal="right"/>
    </xf>
    <xf numFmtId="165" fontId="9" fillId="0" borderId="0" xfId="1" applyNumberFormat="1" applyFont="1" applyBorder="1"/>
    <xf numFmtId="3" fontId="9" fillId="0" borderId="1" xfId="0" applyNumberFormat="1" applyFont="1" applyBorder="1"/>
    <xf numFmtId="165" fontId="9" fillId="0" borderId="1" xfId="1" applyNumberFormat="1" applyFont="1" applyBorder="1" applyAlignment="1">
      <alignment horizontal="right"/>
    </xf>
    <xf numFmtId="43" fontId="9" fillId="0" borderId="0" xfId="5" applyFont="1" applyBorder="1" applyAlignment="1"/>
    <xf numFmtId="165" fontId="0" fillId="0" borderId="0" xfId="0" applyNumberFormat="1"/>
    <xf numFmtId="3" fontId="13" fillId="0" borderId="0" xfId="0" applyNumberFormat="1" applyFont="1" applyAlignment="1">
      <alignment horizontal="center" vertical="center"/>
    </xf>
    <xf numFmtId="43" fontId="5" fillId="0" borderId="0" xfId="1" applyFont="1" applyBorder="1" applyAlignment="1"/>
    <xf numFmtId="43" fontId="32" fillId="0" borderId="0" xfId="1" applyFont="1" applyBorder="1" applyAlignment="1">
      <alignment horizontal="left"/>
    </xf>
    <xf numFmtId="0" fontId="22" fillId="0" borderId="10" xfId="0" applyFont="1" applyBorder="1"/>
    <xf numFmtId="0" fontId="23" fillId="0" borderId="0" xfId="0" applyFont="1" applyAlignment="1">
      <alignment horizontal="right"/>
    </xf>
    <xf numFmtId="0" fontId="22" fillId="0" borderId="3" xfId="0" applyFont="1" applyBorder="1"/>
    <xf numFmtId="0" fontId="22" fillId="0" borderId="2" xfId="0" applyFont="1" applyBorder="1"/>
    <xf numFmtId="0" fontId="22" fillId="0" borderId="4" xfId="0" applyFont="1" applyBorder="1"/>
    <xf numFmtId="0" fontId="22" fillId="0" borderId="7" xfId="0" applyFont="1" applyBorder="1"/>
    <xf numFmtId="0" fontId="22" fillId="0" borderId="8" xfId="0" applyFont="1" applyBorder="1"/>
    <xf numFmtId="0" fontId="22" fillId="0" borderId="5" xfId="0" applyFont="1" applyBorder="1"/>
    <xf numFmtId="0" fontId="22" fillId="0" borderId="1" xfId="0" applyFont="1" applyBorder="1"/>
    <xf numFmtId="0" fontId="22" fillId="0" borderId="6" xfId="0" applyFont="1" applyBorder="1"/>
    <xf numFmtId="165" fontId="11" fillId="0" borderId="8" xfId="5" applyNumberFormat="1" applyFont="1" applyBorder="1" applyAlignment="1">
      <alignment horizontal="center"/>
    </xf>
    <xf numFmtId="43" fontId="33" fillId="0" borderId="0" xfId="5" quotePrefix="1" applyFont="1" applyAlignment="1">
      <alignment horizontal="center"/>
    </xf>
    <xf numFmtId="44" fontId="5" fillId="0" borderId="0" xfId="6" applyFont="1" applyBorder="1"/>
    <xf numFmtId="166" fontId="5" fillId="0" borderId="8" xfId="7" applyNumberFormat="1" applyFont="1" applyBorder="1"/>
    <xf numFmtId="165" fontId="5" fillId="2" borderId="8" xfId="5" applyNumberFormat="1" applyFont="1" applyFill="1" applyBorder="1"/>
    <xf numFmtId="43" fontId="5" fillId="2" borderId="0" xfId="5" applyFont="1" applyFill="1" applyBorder="1"/>
    <xf numFmtId="166" fontId="5" fillId="2" borderId="0" xfId="7" applyNumberFormat="1" applyFont="1" applyFill="1" applyBorder="1"/>
    <xf numFmtId="43" fontId="5" fillId="0" borderId="0" xfId="5" applyFont="1" applyFill="1" applyBorder="1"/>
    <xf numFmtId="43" fontId="5" fillId="0" borderId="5" xfId="5" applyFont="1" applyFill="1" applyBorder="1"/>
    <xf numFmtId="43" fontId="5" fillId="0" borderId="1" xfId="5" applyFont="1" applyFill="1" applyBorder="1"/>
    <xf numFmtId="43" fontId="5" fillId="0" borderId="1" xfId="5" applyFont="1" applyBorder="1"/>
    <xf numFmtId="166" fontId="5" fillId="0" borderId="1" xfId="7" applyNumberFormat="1" applyFont="1" applyBorder="1"/>
    <xf numFmtId="165" fontId="9" fillId="0" borderId="8" xfId="5" applyNumberFormat="1" applyFont="1" applyBorder="1" applyAlignment="1">
      <alignment horizontal="center"/>
    </xf>
    <xf numFmtId="165" fontId="12" fillId="0" borderId="8" xfId="5" applyNumberFormat="1" applyFont="1" applyBorder="1" applyAlignment="1">
      <alignment horizontal="center"/>
    </xf>
    <xf numFmtId="165" fontId="5" fillId="0" borderId="8" xfId="5" applyNumberFormat="1" applyFont="1" applyBorder="1" applyAlignment="1">
      <alignment horizontal="right"/>
    </xf>
    <xf numFmtId="166" fontId="5" fillId="0" borderId="0" xfId="3" applyNumberFormat="1" applyFont="1"/>
    <xf numFmtId="0" fontId="23" fillId="0" borderId="0" xfId="0" quotePrefix="1" applyFont="1"/>
    <xf numFmtId="0" fontId="22" fillId="0" borderId="0" xfId="0" quotePrefix="1" applyFont="1"/>
    <xf numFmtId="0" fontId="23" fillId="0" borderId="0" xfId="0" applyFont="1" applyAlignment="1">
      <alignment horizontal="left"/>
    </xf>
    <xf numFmtId="44" fontId="5" fillId="0" borderId="0" xfId="6" applyFont="1" applyBorder="1" applyAlignment="1">
      <alignment vertical="center"/>
    </xf>
    <xf numFmtId="43" fontId="5" fillId="0" borderId="0" xfId="5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166" fontId="22" fillId="0" borderId="0" xfId="7" applyNumberFormat="1" applyFont="1" applyAlignment="1"/>
    <xf numFmtId="0" fontId="5" fillId="0" borderId="0" xfId="0" applyFont="1" applyAlignment="1">
      <alignment horizontal="left"/>
    </xf>
    <xf numFmtId="10" fontId="28" fillId="0" borderId="0" xfId="0" applyNumberFormat="1" applyFont="1"/>
    <xf numFmtId="3" fontId="13" fillId="0" borderId="1" xfId="0" applyNumberFormat="1" applyFont="1" applyBorder="1" applyAlignment="1">
      <alignment horizontal="center" vertical="center"/>
    </xf>
    <xf numFmtId="165" fontId="5" fillId="0" borderId="3" xfId="1" applyNumberFormat="1" applyFont="1" applyBorder="1"/>
    <xf numFmtId="165" fontId="5" fillId="0" borderId="4" xfId="1" applyNumberFormat="1" applyFont="1" applyBorder="1"/>
    <xf numFmtId="165" fontId="5" fillId="0" borderId="8" xfId="1" applyNumberFormat="1" applyFont="1" applyBorder="1" applyAlignment="1">
      <alignment vertical="center"/>
    </xf>
    <xf numFmtId="165" fontId="13" fillId="0" borderId="7" xfId="1" applyNumberFormat="1" applyFont="1" applyBorder="1" applyAlignment="1">
      <alignment horizontal="centerContinuous" vertical="center"/>
    </xf>
    <xf numFmtId="165" fontId="5" fillId="0" borderId="0" xfId="1" applyNumberFormat="1" applyFont="1" applyBorder="1" applyAlignment="1">
      <alignment horizontal="centerContinuous" vertical="center"/>
    </xf>
    <xf numFmtId="165" fontId="15" fillId="0" borderId="7" xfId="1" applyNumberFormat="1" applyFont="1" applyBorder="1"/>
    <xf numFmtId="165" fontId="5" fillId="0" borderId="7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/>
    </xf>
    <xf numFmtId="165" fontId="14" fillId="0" borderId="8" xfId="1" applyNumberFormat="1" applyFont="1" applyBorder="1" applyAlignment="1">
      <alignment vertical="center"/>
    </xf>
    <xf numFmtId="165" fontId="18" fillId="0" borderId="8" xfId="1" applyNumberFormat="1" applyFont="1" applyBorder="1" applyAlignment="1">
      <alignment vertical="center"/>
    </xf>
    <xf numFmtId="165" fontId="16" fillId="0" borderId="8" xfId="1" applyNumberFormat="1" applyFont="1" applyBorder="1" applyAlignment="1">
      <alignment vertical="center"/>
    </xf>
    <xf numFmtId="165" fontId="9" fillId="0" borderId="7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horizontal="center"/>
    </xf>
    <xf numFmtId="165" fontId="14" fillId="0" borderId="8" xfId="1" applyNumberFormat="1" applyFont="1" applyBorder="1" applyAlignment="1">
      <alignment horizontal="left"/>
    </xf>
    <xf numFmtId="165" fontId="14" fillId="0" borderId="8" xfId="1" applyNumberFormat="1" applyFont="1" applyBorder="1" applyAlignment="1">
      <alignment horizontal="center"/>
    </xf>
    <xf numFmtId="165" fontId="5" fillId="0" borderId="0" xfId="1" applyNumberFormat="1" applyFont="1" applyBorder="1" applyAlignment="1"/>
    <xf numFmtId="165" fontId="8" fillId="0" borderId="0" xfId="1" applyNumberFormat="1" applyFont="1" applyBorder="1"/>
    <xf numFmtId="164" fontId="9" fillId="0" borderId="0" xfId="2" applyNumberFormat="1" applyFont="1" applyBorder="1" applyAlignment="1">
      <alignment vertical="center"/>
    </xf>
    <xf numFmtId="10" fontId="9" fillId="0" borderId="0" xfId="3" applyNumberFormat="1" applyFont="1" applyBorder="1" applyAlignment="1">
      <alignment vertical="center"/>
    </xf>
    <xf numFmtId="165" fontId="5" fillId="0" borderId="5" xfId="1" applyNumberFormat="1" applyFont="1" applyBorder="1"/>
    <xf numFmtId="165" fontId="13" fillId="0" borderId="5" xfId="1" applyNumberFormat="1" applyFont="1" applyBorder="1" applyAlignment="1">
      <alignment horizontal="centerContinuous" vertical="center"/>
    </xf>
    <xf numFmtId="165" fontId="5" fillId="0" borderId="1" xfId="1" applyNumberFormat="1" applyFont="1" applyBorder="1" applyAlignment="1">
      <alignment horizontal="centerContinuous" vertical="center"/>
    </xf>
    <xf numFmtId="165" fontId="5" fillId="0" borderId="6" xfId="1" applyNumberFormat="1" applyFont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171" fontId="5" fillId="0" borderId="1" xfId="1" applyNumberFormat="1" applyFont="1" applyBorder="1"/>
    <xf numFmtId="165" fontId="24" fillId="0" borderId="0" xfId="1" applyNumberFormat="1" applyFont="1" applyFill="1"/>
    <xf numFmtId="44" fontId="5" fillId="0" borderId="0" xfId="2" applyFont="1" applyBorder="1" applyAlignment="1"/>
    <xf numFmtId="164" fontId="11" fillId="0" borderId="0" xfId="0" applyNumberFormat="1" applyFont="1"/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165" fontId="12" fillId="0" borderId="0" xfId="1" applyNumberFormat="1" applyFont="1" applyAlignment="1">
      <alignment vertical="center"/>
    </xf>
    <xf numFmtId="44" fontId="9" fillId="0" borderId="0" xfId="2" applyFont="1"/>
    <xf numFmtId="165" fontId="11" fillId="0" borderId="1" xfId="1" applyNumberFormat="1" applyFont="1" applyBorder="1"/>
    <xf numFmtId="44" fontId="9" fillId="0" borderId="0" xfId="2" applyFont="1" applyBorder="1"/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44" fontId="5" fillId="0" borderId="7" xfId="0" applyNumberFormat="1" applyFont="1" applyBorder="1"/>
    <xf numFmtId="10" fontId="5" fillId="0" borderId="8" xfId="7" applyNumberFormat="1" applyFont="1" applyBorder="1" applyAlignment="1"/>
    <xf numFmtId="10" fontId="5" fillId="0" borderId="8" xfId="0" applyNumberFormat="1" applyFont="1" applyBorder="1"/>
    <xf numFmtId="3" fontId="6" fillId="0" borderId="7" xfId="0" applyNumberFormat="1" applyFont="1" applyBorder="1" applyAlignment="1">
      <alignment horizontal="center" vertical="center"/>
    </xf>
    <xf numFmtId="165" fontId="12" fillId="0" borderId="7" xfId="5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0" fontId="5" fillId="0" borderId="0" xfId="7" applyNumberFormat="1" applyFont="1" applyBorder="1" applyAlignment="1"/>
    <xf numFmtId="9" fontId="5" fillId="0" borderId="0" xfId="3" applyFont="1" applyBorder="1"/>
    <xf numFmtId="165" fontId="24" fillId="0" borderId="3" xfId="1" applyNumberFormat="1" applyFont="1" applyBorder="1"/>
    <xf numFmtId="165" fontId="24" fillId="0" borderId="4" xfId="1" applyNumberFormat="1" applyFont="1" applyBorder="1"/>
    <xf numFmtId="165" fontId="9" fillId="0" borderId="7" xfId="5" applyNumberFormat="1" applyFont="1" applyBorder="1" applyAlignment="1">
      <alignment horizontal="center" vertical="center"/>
    </xf>
    <xf numFmtId="165" fontId="24" fillId="0" borderId="7" xfId="5" applyNumberFormat="1" applyFont="1" applyFill="1" applyBorder="1"/>
    <xf numFmtId="165" fontId="24" fillId="0" borderId="8" xfId="5" applyNumberFormat="1" applyFont="1" applyFill="1" applyBorder="1"/>
    <xf numFmtId="165" fontId="24" fillId="0" borderId="5" xfId="1" applyNumberFormat="1" applyFont="1" applyFill="1" applyBorder="1"/>
    <xf numFmtId="165" fontId="24" fillId="0" borderId="6" xfId="1" applyNumberFormat="1" applyFont="1" applyFill="1" applyBorder="1"/>
    <xf numFmtId="165" fontId="29" fillId="0" borderId="7" xfId="5" applyNumberFormat="1" applyFont="1" applyBorder="1"/>
    <xf numFmtId="165" fontId="29" fillId="0" borderId="8" xfId="5" applyNumberFormat="1" applyFont="1" applyBorder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166" fontId="22" fillId="0" borderId="0" xfId="3" quotePrefix="1" applyNumberFormat="1" applyFont="1" applyAlignment="1">
      <alignment horizontal="center"/>
    </xf>
    <xf numFmtId="166" fontId="22" fillId="2" borderId="0" xfId="3" quotePrefix="1" applyNumberFormat="1" applyFont="1" applyFill="1" applyAlignment="1">
      <alignment horizontal="center"/>
    </xf>
    <xf numFmtId="166" fontId="5" fillId="2" borderId="8" xfId="7" applyNumberFormat="1" applyFont="1" applyFill="1" applyBorder="1"/>
    <xf numFmtId="44" fontId="5" fillId="0" borderId="0" xfId="2" applyFont="1" applyFill="1" applyBorder="1"/>
    <xf numFmtId="0" fontId="0" fillId="0" borderId="8" xfId="0" applyBorder="1"/>
    <xf numFmtId="165" fontId="5" fillId="2" borderId="7" xfId="5" applyNumberFormat="1" applyFont="1" applyFill="1" applyBorder="1"/>
    <xf numFmtId="43" fontId="5" fillId="2" borderId="0" xfId="5" applyFont="1" applyFill="1" applyBorder="1" applyAlignment="1">
      <alignment vertical="center"/>
    </xf>
    <xf numFmtId="41" fontId="5" fillId="2" borderId="8" xfId="0" applyNumberFormat="1" applyFont="1" applyFill="1" applyBorder="1"/>
    <xf numFmtId="44" fontId="5" fillId="2" borderId="0" xfId="2" applyFont="1" applyFill="1" applyBorder="1"/>
    <xf numFmtId="44" fontId="5" fillId="2" borderId="0" xfId="2" applyFont="1" applyFill="1" applyBorder="1" applyAlignment="1">
      <alignment vertical="center"/>
    </xf>
    <xf numFmtId="10" fontId="22" fillId="2" borderId="0" xfId="3" quotePrefix="1" applyNumberFormat="1" applyFont="1" applyFill="1" applyAlignment="1">
      <alignment horizontal="center"/>
    </xf>
    <xf numFmtId="165" fontId="5" fillId="0" borderId="7" xfId="5" applyNumberFormat="1" applyFont="1" applyFill="1" applyBorder="1"/>
    <xf numFmtId="165" fontId="5" fillId="0" borderId="8" xfId="5" applyNumberFormat="1" applyFont="1" applyFill="1" applyBorder="1"/>
    <xf numFmtId="166" fontId="5" fillId="0" borderId="0" xfId="7" applyNumberFormat="1" applyFont="1" applyFill="1" applyBorder="1"/>
    <xf numFmtId="166" fontId="5" fillId="0" borderId="8" xfId="7" applyNumberFormat="1" applyFont="1" applyFill="1" applyBorder="1"/>
    <xf numFmtId="41" fontId="5" fillId="0" borderId="8" xfId="0" applyNumberFormat="1" applyFont="1" applyBorder="1"/>
    <xf numFmtId="44" fontId="5" fillId="0" borderId="0" xfId="2" applyFont="1" applyFill="1" applyBorder="1" applyAlignment="1">
      <alignment vertical="center"/>
    </xf>
    <xf numFmtId="10" fontId="22" fillId="0" borderId="0" xfId="3" quotePrefix="1" applyNumberFormat="1" applyFont="1" applyFill="1" applyAlignment="1">
      <alignment horizontal="center"/>
    </xf>
    <xf numFmtId="10" fontId="22" fillId="0" borderId="0" xfId="3" quotePrefix="1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44" fontId="5" fillId="0" borderId="0" xfId="2" applyFont="1" applyBorder="1"/>
    <xf numFmtId="165" fontId="22" fillId="0" borderId="1" xfId="5" applyNumberFormat="1" applyFont="1" applyBorder="1" applyAlignment="1"/>
    <xf numFmtId="9" fontId="5" fillId="0" borderId="8" xfId="3" applyFont="1" applyBorder="1"/>
    <xf numFmtId="0" fontId="0" fillId="0" borderId="2" xfId="0" applyBorder="1"/>
    <xf numFmtId="165" fontId="6" fillId="0" borderId="7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167" fontId="10" fillId="0" borderId="0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65" fontId="5" fillId="0" borderId="0" xfId="5" quotePrefix="1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43" fontId="33" fillId="0" borderId="7" xfId="5" quotePrefix="1" applyFont="1" applyBorder="1" applyAlignment="1">
      <alignment horizontal="center"/>
    </xf>
    <xf numFmtId="43" fontId="33" fillId="0" borderId="0" xfId="5" quotePrefix="1" applyFont="1" applyAlignment="1">
      <alignment horizontal="center"/>
    </xf>
    <xf numFmtId="0" fontId="6" fillId="0" borderId="7" xfId="0" applyFont="1" applyBorder="1" applyAlignment="1">
      <alignment horizontal="center"/>
    </xf>
    <xf numFmtId="43" fontId="33" fillId="0" borderId="7" xfId="5" applyFont="1" applyFill="1" applyBorder="1" applyAlignment="1">
      <alignment horizontal="center"/>
    </xf>
    <xf numFmtId="43" fontId="33" fillId="0" borderId="0" xfId="5" applyFont="1" applyFill="1" applyBorder="1" applyAlignment="1">
      <alignment horizontal="center"/>
    </xf>
    <xf numFmtId="165" fontId="13" fillId="0" borderId="0" xfId="5" applyNumberFormat="1" applyFont="1" applyBorder="1" applyAlignment="1">
      <alignment horizontal="center" vertical="center"/>
    </xf>
    <xf numFmtId="43" fontId="12" fillId="0" borderId="0" xfId="5" applyFont="1" applyBorder="1" applyAlignment="1">
      <alignment horizontal="center"/>
    </xf>
    <xf numFmtId="165" fontId="13" fillId="0" borderId="8" xfId="5" applyNumberFormat="1" applyFont="1" applyBorder="1" applyAlignment="1">
      <alignment horizontal="center" vertical="center"/>
    </xf>
    <xf numFmtId="43" fontId="11" fillId="0" borderId="0" xfId="5" applyFont="1" applyBorder="1" applyAlignment="1">
      <alignment horizontal="center"/>
    </xf>
    <xf numFmtId="43" fontId="11" fillId="0" borderId="0" xfId="5" applyFont="1" applyBorder="1" applyAlignment="1">
      <alignment horizontal="center" vertical="center"/>
    </xf>
    <xf numFmtId="165" fontId="13" fillId="0" borderId="0" xfId="5" applyNumberFormat="1" applyFont="1" applyAlignment="1">
      <alignment horizontal="center" vertical="center"/>
    </xf>
    <xf numFmtId="165" fontId="33" fillId="0" borderId="0" xfId="5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24" fillId="0" borderId="0" xfId="5" quotePrefix="1" applyNumberFormat="1" applyFont="1" applyBorder="1" applyAlignment="1">
      <alignment horizontal="center"/>
    </xf>
    <xf numFmtId="165" fontId="24" fillId="0" borderId="0" xfId="5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Allen%20County%20WD/Estimated%20Amortization%20Schedule.xlsx" TargetMode="External"/><Relationship Id="rId1" Type="http://schemas.openxmlformats.org/officeDocument/2006/relationships/externalLinkPath" Target="Estimated%20Amortization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9">
          <cell r="C19">
            <v>540951.82304090005</v>
          </cell>
          <cell r="D19">
            <v>33012.37495425182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59"/>
  <sheetViews>
    <sheetView tabSelected="1" topLeftCell="A6" workbookViewId="0">
      <selection sqref="A1:J56"/>
    </sheetView>
  </sheetViews>
  <sheetFormatPr defaultColWidth="8.77734375" defaultRowHeight="14.25" x14ac:dyDescent="0.45"/>
  <cols>
    <col min="1" max="1" width="2.609375" style="6" customWidth="1"/>
    <col min="2" max="2" width="2.44140625" style="6" customWidth="1"/>
    <col min="3" max="3" width="2.6640625" style="6" customWidth="1"/>
    <col min="4" max="4" width="29.44140625" style="6" customWidth="1"/>
    <col min="5" max="5" width="10.5546875" style="6" customWidth="1"/>
    <col min="6" max="6" width="11.5546875" style="6" customWidth="1"/>
    <col min="7" max="7" width="5.33203125" style="6" customWidth="1"/>
    <col min="8" max="8" width="10.77734375" style="6" customWidth="1"/>
    <col min="9" max="9" width="1" style="6" customWidth="1"/>
    <col min="10" max="10" width="2.609375" style="6" customWidth="1"/>
    <col min="11" max="11" width="52.6640625" style="6" customWidth="1"/>
    <col min="12" max="12" width="10.88671875" style="6" customWidth="1"/>
    <col min="13" max="16384" width="8.77734375" style="6"/>
  </cols>
  <sheetData>
    <row r="2" spans="2:12" x14ac:dyDescent="0.45">
      <c r="B2" s="379"/>
      <c r="C2" s="7"/>
      <c r="D2" s="7"/>
      <c r="E2" s="7"/>
      <c r="F2" s="7"/>
      <c r="G2" s="7"/>
      <c r="H2" s="7"/>
      <c r="I2" s="380"/>
    </row>
    <row r="3" spans="2:12" ht="18" x14ac:dyDescent="0.45">
      <c r="B3" s="466" t="s">
        <v>30</v>
      </c>
      <c r="C3" s="467"/>
      <c r="D3" s="467"/>
      <c r="E3" s="467"/>
      <c r="F3" s="467"/>
      <c r="G3" s="467"/>
      <c r="H3" s="467"/>
      <c r="I3" s="381"/>
      <c r="J3" s="27"/>
      <c r="K3" s="27"/>
    </row>
    <row r="4" spans="2:12" ht="15.75" x14ac:dyDescent="0.45">
      <c r="B4" s="382" t="s">
        <v>179</v>
      </c>
      <c r="C4" s="383"/>
      <c r="D4" s="383"/>
      <c r="E4" s="383"/>
      <c r="F4" s="383"/>
      <c r="G4" s="383"/>
      <c r="H4" s="383"/>
      <c r="I4" s="381"/>
      <c r="J4" s="27"/>
      <c r="K4" s="27"/>
      <c r="L4" s="27"/>
    </row>
    <row r="5" spans="2:12" ht="15.75" x14ac:dyDescent="0.45">
      <c r="B5" s="401"/>
      <c r="C5" s="402"/>
      <c r="D5" s="402"/>
      <c r="E5" s="402"/>
      <c r="F5" s="402"/>
      <c r="G5" s="402"/>
      <c r="H5" s="402"/>
      <c r="I5" s="403"/>
      <c r="J5" s="27"/>
      <c r="K5" s="27"/>
      <c r="L5" s="27"/>
    </row>
    <row r="6" spans="2:12" x14ac:dyDescent="0.45">
      <c r="B6" s="384"/>
      <c r="C6" s="383"/>
      <c r="D6" s="383"/>
      <c r="E6" s="383"/>
      <c r="F6" s="383"/>
      <c r="G6" s="383"/>
      <c r="H6" s="383"/>
      <c r="I6" s="381"/>
      <c r="J6" s="27"/>
      <c r="K6" s="27"/>
    </row>
    <row r="7" spans="2:12" ht="16.5" x14ac:dyDescent="0.45">
      <c r="B7" s="385"/>
      <c r="C7" s="35"/>
      <c r="D7" s="35"/>
      <c r="E7" s="386" t="s">
        <v>31</v>
      </c>
      <c r="F7" s="386" t="s">
        <v>32</v>
      </c>
      <c r="G7" s="386" t="s">
        <v>33</v>
      </c>
      <c r="H7" s="386" t="s">
        <v>34</v>
      </c>
      <c r="I7" s="381"/>
      <c r="J7" s="27"/>
      <c r="K7" s="415" t="s">
        <v>428</v>
      </c>
    </row>
    <row r="8" spans="2:12" x14ac:dyDescent="0.45">
      <c r="B8" s="387" t="s">
        <v>15</v>
      </c>
      <c r="C8" s="35"/>
      <c r="D8" s="35"/>
      <c r="E8" s="35"/>
      <c r="F8" s="5"/>
      <c r="G8" s="35"/>
      <c r="H8" s="35"/>
      <c r="I8" s="381"/>
      <c r="J8" s="27"/>
      <c r="K8" s="27"/>
    </row>
    <row r="9" spans="2:12" x14ac:dyDescent="0.45">
      <c r="B9" s="385"/>
      <c r="C9" s="35" t="s">
        <v>42</v>
      </c>
      <c r="D9" s="35"/>
      <c r="E9" s="125">
        <v>3071545</v>
      </c>
      <c r="F9" s="392">
        <f>ExBA!G19</f>
        <v>31358.737999999619</v>
      </c>
      <c r="G9" s="37" t="s">
        <v>409</v>
      </c>
      <c r="H9" s="5"/>
      <c r="I9" s="388"/>
      <c r="K9" s="27" t="s">
        <v>435</v>
      </c>
    </row>
    <row r="10" spans="2:12" x14ac:dyDescent="0.45">
      <c r="B10" s="385"/>
      <c r="C10" s="35"/>
      <c r="D10" s="35"/>
      <c r="E10" s="125"/>
      <c r="F10" s="35">
        <f>-ExBA!F93</f>
        <v>-70235.55</v>
      </c>
      <c r="G10" s="37" t="s">
        <v>408</v>
      </c>
      <c r="H10" s="125">
        <f>ExBA!G12</f>
        <v>3032668.1879999996</v>
      </c>
      <c r="I10" s="388"/>
      <c r="J10" s="27"/>
      <c r="K10" s="27" t="s">
        <v>429</v>
      </c>
    </row>
    <row r="11" spans="2:12" x14ac:dyDescent="0.45">
      <c r="B11" s="385"/>
      <c r="C11" s="35" t="s">
        <v>16</v>
      </c>
      <c r="D11" s="35"/>
      <c r="E11" s="35"/>
      <c r="F11" s="35">
        <f>-F10</f>
        <v>70235.55</v>
      </c>
      <c r="G11" s="413" t="s">
        <v>408</v>
      </c>
      <c r="H11" s="35">
        <f>F11</f>
        <v>70235.55</v>
      </c>
      <c r="I11" s="388"/>
      <c r="J11" s="27"/>
      <c r="K11" s="6" t="s">
        <v>430</v>
      </c>
    </row>
    <row r="12" spans="2:12" x14ac:dyDescent="0.45">
      <c r="B12" s="385"/>
      <c r="C12" s="35" t="s">
        <v>17</v>
      </c>
      <c r="D12" s="35"/>
      <c r="E12" s="35"/>
      <c r="F12" s="35"/>
      <c r="G12" s="413"/>
      <c r="H12" s="35"/>
      <c r="I12" s="389"/>
      <c r="J12" s="27"/>
      <c r="K12" s="27"/>
    </row>
    <row r="13" spans="2:12" x14ac:dyDescent="0.45">
      <c r="B13" s="385"/>
      <c r="C13" s="35"/>
      <c r="D13" s="35" t="s">
        <v>41</v>
      </c>
      <c r="E13" s="35">
        <v>40497</v>
      </c>
      <c r="F13" s="35">
        <v>0</v>
      </c>
      <c r="G13" s="413"/>
      <c r="H13" s="35">
        <f>E13+F13</f>
        <v>40497</v>
      </c>
      <c r="I13" s="388"/>
      <c r="J13" s="27"/>
      <c r="K13" s="27"/>
    </row>
    <row r="14" spans="2:12" x14ac:dyDescent="0.45">
      <c r="B14" s="385"/>
      <c r="C14" s="5"/>
      <c r="D14" s="35" t="s">
        <v>18</v>
      </c>
      <c r="E14" s="35">
        <v>34441</v>
      </c>
      <c r="F14" s="35">
        <v>0</v>
      </c>
      <c r="G14" s="413"/>
      <c r="H14" s="35">
        <f>E14+F14</f>
        <v>34441</v>
      </c>
      <c r="I14" s="388"/>
      <c r="J14" s="27"/>
      <c r="K14" s="27"/>
    </row>
    <row r="15" spans="2:12" ht="16.5" x14ac:dyDescent="0.45">
      <c r="B15" s="385"/>
      <c r="C15" s="5"/>
      <c r="D15" s="35" t="s">
        <v>51</v>
      </c>
      <c r="E15" s="36">
        <v>58483</v>
      </c>
      <c r="F15" s="36">
        <v>0</v>
      </c>
      <c r="G15" s="413"/>
      <c r="H15" s="36">
        <f>E15+F15</f>
        <v>58483</v>
      </c>
      <c r="I15" s="390"/>
      <c r="J15" s="27"/>
      <c r="K15" s="27"/>
    </row>
    <row r="16" spans="2:12" x14ac:dyDescent="0.45">
      <c r="B16" s="391" t="s">
        <v>19</v>
      </c>
      <c r="C16" s="35"/>
      <c r="D16" s="35"/>
      <c r="E16" s="125">
        <f>SUM(E9:E15)</f>
        <v>3204966</v>
      </c>
      <c r="F16" s="125">
        <f>SUM(F9:F15)</f>
        <v>31358.737999999619</v>
      </c>
      <c r="G16" s="413"/>
      <c r="H16" s="125">
        <f>SUM(H10:H15)</f>
        <v>3236324.7379999994</v>
      </c>
      <c r="I16" s="389"/>
      <c r="J16" s="27"/>
      <c r="K16" s="27"/>
    </row>
    <row r="17" spans="2:11" x14ac:dyDescent="0.45">
      <c r="B17" s="385"/>
      <c r="C17" s="35"/>
      <c r="D17" s="35"/>
      <c r="E17" s="35"/>
      <c r="F17" s="35"/>
      <c r="G17" s="413"/>
      <c r="H17" s="35"/>
      <c r="I17" s="389"/>
      <c r="J17" s="27"/>
      <c r="K17" s="27"/>
    </row>
    <row r="18" spans="2:11" x14ac:dyDescent="0.45">
      <c r="B18" s="387" t="s">
        <v>20</v>
      </c>
      <c r="C18" s="35"/>
      <c r="D18" s="35"/>
      <c r="E18" s="35"/>
      <c r="F18" s="35"/>
      <c r="G18" s="413"/>
      <c r="H18" s="35"/>
      <c r="I18" s="389"/>
      <c r="J18" s="27"/>
      <c r="K18" s="27"/>
    </row>
    <row r="19" spans="2:11" x14ac:dyDescent="0.45">
      <c r="B19" s="385"/>
      <c r="C19" s="35" t="s">
        <v>35</v>
      </c>
      <c r="D19" s="35"/>
      <c r="E19" s="35"/>
      <c r="F19" s="35"/>
      <c r="G19" s="413"/>
      <c r="H19" s="35"/>
      <c r="I19" s="389"/>
      <c r="J19" s="27"/>
      <c r="K19" s="27"/>
    </row>
    <row r="20" spans="2:11" x14ac:dyDescent="0.45">
      <c r="B20" s="385"/>
      <c r="C20" s="35"/>
      <c r="D20" s="35" t="s">
        <v>2</v>
      </c>
      <c r="E20" s="125">
        <v>755457</v>
      </c>
      <c r="F20" s="392">
        <f>Wages!J32</f>
        <v>-627.48124999995343</v>
      </c>
      <c r="G20" s="414" t="s">
        <v>410</v>
      </c>
      <c r="H20" s="125">
        <f>SUM(E20:F20)</f>
        <v>754829.51875000005</v>
      </c>
      <c r="I20" s="388"/>
      <c r="J20" s="27"/>
      <c r="K20" s="27" t="s">
        <v>431</v>
      </c>
    </row>
    <row r="21" spans="2:11" x14ac:dyDescent="0.45">
      <c r="B21" s="385"/>
      <c r="C21" s="35"/>
      <c r="D21" s="35" t="s">
        <v>3</v>
      </c>
      <c r="E21" s="35">
        <v>30000</v>
      </c>
      <c r="F21" s="392">
        <v>0</v>
      </c>
      <c r="G21" s="413"/>
      <c r="H21" s="35">
        <f t="shared" ref="H21:H33" si="0">E21+F21</f>
        <v>30000</v>
      </c>
      <c r="I21" s="388"/>
    </row>
    <row r="22" spans="2:11" x14ac:dyDescent="0.45">
      <c r="B22" s="385"/>
      <c r="C22" s="35"/>
      <c r="D22" s="35" t="s">
        <v>4</v>
      </c>
      <c r="E22" s="35">
        <v>217704</v>
      </c>
      <c r="F22" s="392">
        <f>Med!C13</f>
        <v>-33827.500799999994</v>
      </c>
      <c r="G22" s="414" t="s">
        <v>411</v>
      </c>
      <c r="H22" s="35">
        <f t="shared" si="0"/>
        <v>183876.49920000002</v>
      </c>
      <c r="I22" s="388"/>
      <c r="J22" s="27"/>
      <c r="K22" s="27" t="s">
        <v>432</v>
      </c>
    </row>
    <row r="23" spans="2:11" x14ac:dyDescent="0.45">
      <c r="B23" s="385"/>
      <c r="C23" s="35"/>
      <c r="D23" s="35" t="s">
        <v>5</v>
      </c>
      <c r="E23" s="35">
        <v>817674</v>
      </c>
      <c r="F23" s="392">
        <f>-Purchase!D36</f>
        <v>-48445.474541251802</v>
      </c>
      <c r="G23" s="414" t="s">
        <v>412</v>
      </c>
      <c r="H23" s="35"/>
      <c r="I23" s="394"/>
      <c r="K23" s="6" t="s">
        <v>433</v>
      </c>
    </row>
    <row r="24" spans="2:11" x14ac:dyDescent="0.45">
      <c r="B24" s="385"/>
      <c r="C24" s="35"/>
      <c r="D24" s="35"/>
      <c r="E24" s="35"/>
      <c r="F24" s="392">
        <f>Purchase!D48</f>
        <v>26811.119999999999</v>
      </c>
      <c r="G24" s="414" t="s">
        <v>413</v>
      </c>
      <c r="H24" s="35">
        <f>E23+F23+F24</f>
        <v>796039.64545874821</v>
      </c>
      <c r="I24" s="394"/>
      <c r="K24" s="6" t="s">
        <v>434</v>
      </c>
    </row>
    <row r="25" spans="2:11" x14ac:dyDescent="0.45">
      <c r="B25" s="385"/>
      <c r="C25" s="35"/>
      <c r="D25" s="35" t="s">
        <v>6</v>
      </c>
      <c r="E25" s="35">
        <v>71700</v>
      </c>
      <c r="F25" s="392">
        <f>-Purchase!D37</f>
        <v>-4248.0750575507527</v>
      </c>
      <c r="G25" s="414" t="s">
        <v>414</v>
      </c>
      <c r="H25" s="35">
        <f t="shared" si="0"/>
        <v>67451.924942449245</v>
      </c>
      <c r="I25" s="395"/>
      <c r="J25" s="27"/>
      <c r="K25" s="27" t="s">
        <v>433</v>
      </c>
    </row>
    <row r="26" spans="2:11" x14ac:dyDescent="0.45">
      <c r="B26" s="385"/>
      <c r="C26" s="35"/>
      <c r="D26" s="35" t="s">
        <v>7</v>
      </c>
      <c r="E26" s="35">
        <v>95609</v>
      </c>
      <c r="F26" s="35">
        <v>0</v>
      </c>
      <c r="G26" s="414"/>
      <c r="H26" s="35">
        <f t="shared" si="0"/>
        <v>95609</v>
      </c>
      <c r="I26" s="388"/>
      <c r="J26" s="27"/>
      <c r="K26" s="27"/>
    </row>
    <row r="27" spans="2:11" x14ac:dyDescent="0.45">
      <c r="B27" s="385"/>
      <c r="C27" s="35"/>
      <c r="D27" s="35" t="s">
        <v>8</v>
      </c>
      <c r="E27" s="35">
        <f>18880+23050+25827+128626+11240</f>
        <v>207623</v>
      </c>
      <c r="F27" s="35">
        <v>0</v>
      </c>
      <c r="G27" s="414"/>
      <c r="H27" s="35">
        <f t="shared" si="0"/>
        <v>207623</v>
      </c>
      <c r="I27" s="388"/>
      <c r="J27" s="27"/>
      <c r="K27" s="27"/>
    </row>
    <row r="28" spans="2:11" x14ac:dyDescent="0.45">
      <c r="B28" s="385"/>
      <c r="C28" s="35"/>
      <c r="D28" s="35" t="s">
        <v>10</v>
      </c>
      <c r="E28" s="35">
        <v>106837</v>
      </c>
      <c r="F28" s="35">
        <v>0</v>
      </c>
      <c r="G28" s="414"/>
      <c r="H28" s="35">
        <f t="shared" si="0"/>
        <v>106837</v>
      </c>
      <c r="I28" s="389"/>
      <c r="J28" s="27"/>
      <c r="K28" s="27"/>
    </row>
    <row r="29" spans="2:11" x14ac:dyDescent="0.45">
      <c r="B29" s="385"/>
      <c r="C29" s="35"/>
      <c r="D29" s="35" t="s">
        <v>36</v>
      </c>
      <c r="E29" s="35">
        <f>15828+11681</f>
        <v>27509</v>
      </c>
      <c r="F29" s="35">
        <v>0</v>
      </c>
      <c r="G29" s="414"/>
      <c r="H29" s="35">
        <f t="shared" si="0"/>
        <v>27509</v>
      </c>
      <c r="I29" s="389"/>
      <c r="J29" s="27"/>
      <c r="K29" s="27"/>
    </row>
    <row r="30" spans="2:11" x14ac:dyDescent="0.45">
      <c r="B30" s="385"/>
      <c r="C30" s="35"/>
      <c r="D30" s="35" t="s">
        <v>52</v>
      </c>
      <c r="E30" s="35">
        <v>14052</v>
      </c>
      <c r="F30" s="35">
        <v>0</v>
      </c>
      <c r="G30" s="414"/>
      <c r="H30" s="35">
        <f t="shared" si="0"/>
        <v>14052</v>
      </c>
      <c r="I30" s="389"/>
      <c r="J30" s="27"/>
      <c r="K30" s="27"/>
    </row>
    <row r="31" spans="2:11" x14ac:dyDescent="0.45">
      <c r="B31" s="385"/>
      <c r="C31" s="35"/>
      <c r="D31" s="35" t="s">
        <v>151</v>
      </c>
      <c r="E31" s="35">
        <v>2035</v>
      </c>
      <c r="F31" s="35">
        <v>0</v>
      </c>
      <c r="G31" s="414"/>
      <c r="H31" s="35">
        <f>SUM(E31:F31)</f>
        <v>2035</v>
      </c>
      <c r="I31" s="389"/>
      <c r="J31" s="27"/>
      <c r="K31" s="27"/>
    </row>
    <row r="32" spans="2:11" x14ac:dyDescent="0.45">
      <c r="B32" s="385"/>
      <c r="C32" s="35"/>
      <c r="D32" s="35" t="s">
        <v>53</v>
      </c>
      <c r="E32" s="35">
        <v>0</v>
      </c>
      <c r="F32" s="35">
        <v>0</v>
      </c>
      <c r="G32" s="413"/>
      <c r="H32" s="35">
        <f t="shared" si="0"/>
        <v>0</v>
      </c>
      <c r="I32" s="389"/>
      <c r="J32" s="27"/>
      <c r="K32" s="27"/>
    </row>
    <row r="33" spans="2:11" ht="16.5" x14ac:dyDescent="0.45">
      <c r="B33" s="385"/>
      <c r="C33" s="35"/>
      <c r="D33" s="35" t="s">
        <v>9</v>
      </c>
      <c r="E33" s="36">
        <v>16409</v>
      </c>
      <c r="F33" s="36">
        <v>0</v>
      </c>
      <c r="G33" s="414"/>
      <c r="H33" s="36">
        <f t="shared" si="0"/>
        <v>16409</v>
      </c>
      <c r="I33" s="389"/>
      <c r="J33" s="27"/>
      <c r="K33" s="27"/>
    </row>
    <row r="34" spans="2:11" x14ac:dyDescent="0.45">
      <c r="B34" s="385"/>
      <c r="C34" s="35" t="s">
        <v>37</v>
      </c>
      <c r="D34" s="35"/>
      <c r="E34" s="125">
        <f>SUM(E20:E33)</f>
        <v>2362609</v>
      </c>
      <c r="F34" s="125">
        <f>SUM(F20:F33)</f>
        <v>-60337.411648802503</v>
      </c>
      <c r="G34" s="413"/>
      <c r="H34" s="125">
        <f>SUM(H20:H33)</f>
        <v>2302271.5883511975</v>
      </c>
      <c r="I34" s="389"/>
      <c r="J34" s="27"/>
      <c r="K34" s="27"/>
    </row>
    <row r="35" spans="2:11" ht="4.1500000000000004" customHeight="1" x14ac:dyDescent="0.45">
      <c r="B35" s="385"/>
      <c r="C35" s="35"/>
      <c r="D35" s="35"/>
      <c r="E35" s="35"/>
      <c r="F35" s="35"/>
      <c r="G35" s="413"/>
      <c r="H35" s="35"/>
      <c r="I35" s="389"/>
      <c r="J35" s="27"/>
      <c r="K35" s="27"/>
    </row>
    <row r="36" spans="2:11" x14ac:dyDescent="0.45">
      <c r="B36" s="385"/>
      <c r="C36" s="35" t="s">
        <v>21</v>
      </c>
      <c r="D36" s="35"/>
      <c r="E36" s="35">
        <v>680676</v>
      </c>
      <c r="F36" s="35">
        <f>Depr!F47</f>
        <v>-24665.000365079264</v>
      </c>
      <c r="G36" s="413" t="s">
        <v>415</v>
      </c>
      <c r="H36" s="35">
        <f>E36+F36</f>
        <v>656010.99963492074</v>
      </c>
      <c r="I36" s="389"/>
      <c r="J36" s="27"/>
      <c r="K36" s="6" t="s">
        <v>436</v>
      </c>
    </row>
    <row r="37" spans="2:11" ht="16.5" x14ac:dyDescent="0.45">
      <c r="B37" s="385"/>
      <c r="C37" s="35" t="s">
        <v>1</v>
      </c>
      <c r="D37" s="35"/>
      <c r="E37" s="36">
        <v>25865</v>
      </c>
      <c r="F37" s="36">
        <f>Wages!J38</f>
        <v>31879.458184375006</v>
      </c>
      <c r="G37" s="413" t="s">
        <v>438</v>
      </c>
      <c r="H37" s="36">
        <f>E37+F37</f>
        <v>57744.458184375006</v>
      </c>
      <c r="I37" s="389"/>
      <c r="J37" s="27"/>
      <c r="K37" s="6" t="s">
        <v>437</v>
      </c>
    </row>
    <row r="38" spans="2:11" ht="16.5" x14ac:dyDescent="0.45">
      <c r="B38" s="391" t="s">
        <v>0</v>
      </c>
      <c r="C38" s="35"/>
      <c r="D38" s="35"/>
      <c r="E38" s="36">
        <f>SUM(E34:E37)</f>
        <v>3069150</v>
      </c>
      <c r="F38" s="36">
        <f>SUM(F34:F37)</f>
        <v>-53122.953829506761</v>
      </c>
      <c r="G38" s="37"/>
      <c r="H38" s="36">
        <f>SUM(H34:H37)</f>
        <v>3016027.0461704931</v>
      </c>
      <c r="I38" s="389"/>
      <c r="J38" s="27"/>
      <c r="K38" s="27"/>
    </row>
    <row r="39" spans="2:11" ht="4.1500000000000004" customHeight="1" x14ac:dyDescent="0.45">
      <c r="B39" s="391"/>
      <c r="C39" s="35"/>
      <c r="D39" s="35"/>
      <c r="E39" s="36"/>
      <c r="F39" s="35"/>
      <c r="G39" s="37"/>
      <c r="H39" s="35"/>
      <c r="I39" s="381"/>
      <c r="J39" s="27"/>
      <c r="K39" s="27"/>
    </row>
    <row r="40" spans="2:11" x14ac:dyDescent="0.45">
      <c r="B40" s="391" t="s">
        <v>38</v>
      </c>
      <c r="C40" s="35"/>
      <c r="D40" s="35"/>
      <c r="E40" s="125">
        <f>E16-E38</f>
        <v>135816</v>
      </c>
      <c r="F40" s="125">
        <f>F16-F38</f>
        <v>84481.691829506381</v>
      </c>
      <c r="G40" s="37"/>
      <c r="H40" s="125">
        <f>H16-H38</f>
        <v>220297.69182950631</v>
      </c>
      <c r="I40" s="381"/>
      <c r="K40" s="27"/>
    </row>
    <row r="41" spans="2:11" x14ac:dyDescent="0.45">
      <c r="B41" s="391"/>
      <c r="C41" s="35"/>
      <c r="D41" s="35"/>
      <c r="E41" s="125"/>
      <c r="F41" s="35"/>
      <c r="G41" s="37"/>
      <c r="H41" s="125"/>
      <c r="I41" s="381"/>
      <c r="K41" s="27"/>
    </row>
    <row r="42" spans="2:11" ht="9.9499999999999993" customHeight="1" x14ac:dyDescent="0.45">
      <c r="B42" s="404"/>
      <c r="C42" s="405"/>
      <c r="D42" s="405"/>
      <c r="E42" s="405"/>
      <c r="F42" s="405"/>
      <c r="G42" s="406"/>
      <c r="H42" s="405"/>
      <c r="I42" s="407"/>
      <c r="J42" s="27"/>
      <c r="K42" s="27"/>
    </row>
    <row r="43" spans="2:11" ht="18" x14ac:dyDescent="0.45">
      <c r="B43" s="466" t="s">
        <v>22</v>
      </c>
      <c r="C43" s="467"/>
      <c r="D43" s="467"/>
      <c r="E43" s="467"/>
      <c r="F43" s="467"/>
      <c r="G43" s="467"/>
      <c r="H43" s="467"/>
      <c r="I43" s="381"/>
      <c r="J43" s="30"/>
      <c r="K43" s="27"/>
    </row>
    <row r="44" spans="2:11" x14ac:dyDescent="0.45">
      <c r="B44" s="391" t="s">
        <v>39</v>
      </c>
      <c r="C44" s="35"/>
      <c r="D44" s="35"/>
      <c r="E44" s="396"/>
      <c r="F44" s="35"/>
      <c r="G44" s="393"/>
      <c r="H44" s="125">
        <f>H38</f>
        <v>3016027.0461704931</v>
      </c>
      <c r="I44" s="381"/>
      <c r="J44" s="27"/>
      <c r="K44" s="27"/>
    </row>
    <row r="45" spans="2:11" x14ac:dyDescent="0.45">
      <c r="B45" s="385" t="s">
        <v>23</v>
      </c>
      <c r="C45" s="35"/>
      <c r="D45" s="35" t="s">
        <v>89</v>
      </c>
      <c r="E45" s="396"/>
      <c r="F45" s="35"/>
      <c r="G45" s="393" t="s">
        <v>439</v>
      </c>
      <c r="H45" s="5">
        <f>Debt!M21</f>
        <v>505123.272</v>
      </c>
      <c r="I45" s="381"/>
      <c r="J45" s="27"/>
      <c r="K45" s="27" t="s">
        <v>441</v>
      </c>
    </row>
    <row r="46" spans="2:11" ht="16.5" x14ac:dyDescent="0.75">
      <c r="B46" s="385"/>
      <c r="C46" s="35"/>
      <c r="D46" s="35" t="s">
        <v>90</v>
      </c>
      <c r="E46" s="396"/>
      <c r="F46" s="35"/>
      <c r="G46" s="393" t="s">
        <v>440</v>
      </c>
      <c r="H46" s="329">
        <f>Debt!M23</f>
        <v>101024.6544</v>
      </c>
      <c r="I46" s="381"/>
      <c r="J46" s="27"/>
      <c r="K46" s="27" t="s">
        <v>442</v>
      </c>
    </row>
    <row r="47" spans="2:11" x14ac:dyDescent="0.45">
      <c r="B47" s="391" t="s">
        <v>56</v>
      </c>
      <c r="C47" s="35"/>
      <c r="D47" s="35"/>
      <c r="E47" s="396"/>
      <c r="F47" s="35"/>
      <c r="G47" s="393"/>
      <c r="H47" s="335">
        <f>H44+H45+H46</f>
        <v>3622174.9725704929</v>
      </c>
      <c r="I47" s="381"/>
      <c r="J47" s="27"/>
      <c r="K47" s="27"/>
    </row>
    <row r="48" spans="2:11" x14ac:dyDescent="0.45">
      <c r="B48" s="385" t="s">
        <v>24</v>
      </c>
      <c r="C48" s="35"/>
      <c r="D48" s="35" t="s">
        <v>25</v>
      </c>
      <c r="E48" s="396"/>
      <c r="F48" s="35"/>
      <c r="G48" s="393"/>
      <c r="H48" s="5">
        <f>-SUM(H13:H15)</f>
        <v>-133421</v>
      </c>
      <c r="I48" s="381"/>
      <c r="J48" s="27"/>
      <c r="K48" s="27"/>
    </row>
    <row r="49" spans="2:11" x14ac:dyDescent="0.45">
      <c r="B49" s="385"/>
      <c r="C49" s="35"/>
      <c r="D49" s="35" t="s">
        <v>12</v>
      </c>
      <c r="E49" s="396"/>
      <c r="F49" s="35"/>
      <c r="G49" s="393"/>
      <c r="H49" s="397">
        <v>-2605</v>
      </c>
      <c r="I49" s="381"/>
      <c r="J49" s="27"/>
      <c r="K49" s="27"/>
    </row>
    <row r="50" spans="2:11" x14ac:dyDescent="0.45">
      <c r="B50" s="391" t="s">
        <v>54</v>
      </c>
      <c r="C50" s="35"/>
      <c r="D50" s="35"/>
      <c r="E50" s="396"/>
      <c r="F50" s="35"/>
      <c r="G50" s="393"/>
      <c r="H50" s="335">
        <f>SUM(H47:H49)</f>
        <v>3486148.9725704929</v>
      </c>
      <c r="I50" s="381"/>
      <c r="J50" s="27"/>
      <c r="K50" s="27"/>
    </row>
    <row r="51" spans="2:11" ht="16.5" x14ac:dyDescent="0.75">
      <c r="B51" s="385" t="s">
        <v>24</v>
      </c>
      <c r="C51" s="35"/>
      <c r="D51" s="35" t="s">
        <v>55</v>
      </c>
      <c r="E51" s="396"/>
      <c r="F51" s="35"/>
      <c r="G51" s="393"/>
      <c r="H51" s="329">
        <f>H10+H11</f>
        <v>3102903.7379999994</v>
      </c>
      <c r="I51" s="381"/>
      <c r="J51" s="27"/>
      <c r="K51" s="27"/>
    </row>
    <row r="52" spans="2:11" x14ac:dyDescent="0.45">
      <c r="B52" s="391" t="s">
        <v>57</v>
      </c>
      <c r="C52" s="35"/>
      <c r="D52" s="35"/>
      <c r="E52" s="396"/>
      <c r="F52" s="35"/>
      <c r="G52" s="393"/>
      <c r="H52" s="398">
        <f>H50-H51</f>
        <v>383245.23457049346</v>
      </c>
      <c r="I52" s="381"/>
      <c r="J52" s="27"/>
      <c r="K52" s="27"/>
    </row>
    <row r="53" spans="2:11" ht="4.1500000000000004" customHeight="1" x14ac:dyDescent="0.45">
      <c r="B53" s="385"/>
      <c r="C53" s="35"/>
      <c r="D53" s="35"/>
      <c r="E53" s="396"/>
      <c r="F53" s="35"/>
      <c r="G53" s="393"/>
      <c r="H53" s="35"/>
      <c r="I53" s="381"/>
      <c r="J53" s="27"/>
      <c r="K53" s="27"/>
    </row>
    <row r="54" spans="2:11" x14ac:dyDescent="0.45">
      <c r="B54" s="391" t="s">
        <v>58</v>
      </c>
      <c r="C54" s="35"/>
      <c r="D54" s="35"/>
      <c r="E54" s="396"/>
      <c r="F54" s="35"/>
      <c r="G54" s="393"/>
      <c r="H54" s="399">
        <f>IF(H52&lt;0,0,H52/H51)</f>
        <v>0.1235118027920251</v>
      </c>
      <c r="I54" s="381"/>
      <c r="J54" s="27"/>
      <c r="K54" s="27"/>
    </row>
    <row r="55" spans="2:11" ht="9.9499999999999993" customHeight="1" x14ac:dyDescent="0.45">
      <c r="B55" s="400"/>
      <c r="C55" s="4"/>
      <c r="D55" s="4"/>
      <c r="E55" s="4"/>
      <c r="F55" s="4"/>
      <c r="G55" s="4"/>
      <c r="H55" s="4"/>
      <c r="I55" s="9"/>
    </row>
    <row r="57" spans="2:11" x14ac:dyDescent="0.45">
      <c r="B57" s="28"/>
      <c r="C57" s="27"/>
      <c r="D57" s="27"/>
      <c r="E57" s="31"/>
      <c r="F57" s="27"/>
      <c r="G57" s="29"/>
      <c r="H57" s="27"/>
    </row>
    <row r="58" spans="2:11" x14ac:dyDescent="0.45">
      <c r="B58" s="27"/>
      <c r="C58" s="27"/>
      <c r="D58" s="27"/>
      <c r="E58" s="31"/>
      <c r="F58" s="27"/>
      <c r="G58" s="29"/>
      <c r="H58" s="27"/>
    </row>
    <row r="59" spans="2:11" x14ac:dyDescent="0.45">
      <c r="B59" s="28"/>
      <c r="C59" s="27"/>
      <c r="D59" s="27"/>
      <c r="E59" s="31"/>
      <c r="F59" s="27"/>
      <c r="G59" s="29"/>
      <c r="H59" s="27"/>
    </row>
  </sheetData>
  <mergeCells count="2">
    <mergeCell ref="B43:H43"/>
    <mergeCell ref="B3:H3"/>
  </mergeCells>
  <printOptions horizontalCentered="1"/>
  <pageMargins left="0.45" right="0.25" top="0.5" bottom="0.5" header="0.3" footer="0.3"/>
  <pageSetup scale="93" orientation="portrait" horizontalDpi="4294967293" r:id="rId1"/>
  <rowBreaks count="2" manualBreakCount="2">
    <brk id="41" max="16383" man="1"/>
    <brk id="42" max="16383" man="1"/>
  </rowBreaks>
  <ignoredErrors>
    <ignoredError sqref="H3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C4D3-A1B0-4DF0-86A7-2F5A1E1AD6BB}">
  <dimension ref="A2:Q55"/>
  <sheetViews>
    <sheetView topLeftCell="A28" workbookViewId="0">
      <selection activeCell="H53" sqref="H53"/>
    </sheetView>
  </sheetViews>
  <sheetFormatPr defaultRowHeight="15" x14ac:dyDescent="0.4"/>
  <cols>
    <col min="2" max="2" width="19.44140625" customWidth="1"/>
    <col min="3" max="7" width="9.77734375" customWidth="1"/>
    <col min="8" max="8" width="10.88671875" customWidth="1"/>
    <col min="9" max="9" width="9.77734375" customWidth="1"/>
    <col min="10" max="10" width="9.6640625" customWidth="1"/>
    <col min="11" max="11" width="9.109375" bestFit="1" customWidth="1"/>
  </cols>
  <sheetData>
    <row r="2" spans="1:14" ht="18" x14ac:dyDescent="0.55000000000000004">
      <c r="B2" s="484" t="s">
        <v>459</v>
      </c>
      <c r="C2" s="484"/>
      <c r="D2" s="484"/>
      <c r="E2" s="484"/>
      <c r="F2" s="484"/>
      <c r="G2" s="484"/>
      <c r="H2" s="484"/>
    </row>
    <row r="3" spans="1:14" ht="15.75" x14ac:dyDescent="0.4">
      <c r="B3" s="491" t="s">
        <v>179</v>
      </c>
      <c r="C3" s="491"/>
      <c r="D3" s="491"/>
      <c r="E3" s="491"/>
      <c r="F3" s="491"/>
      <c r="G3" s="491"/>
      <c r="H3" s="491"/>
    </row>
    <row r="4" spans="1:14" ht="15.4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ht="17.649999999999999" x14ac:dyDescent="0.75">
      <c r="A5" s="12"/>
      <c r="B5" s="223" t="s">
        <v>458</v>
      </c>
      <c r="C5" s="12"/>
      <c r="D5" s="12"/>
      <c r="E5" s="12"/>
      <c r="F5" s="12"/>
      <c r="G5" s="12"/>
      <c r="H5" s="12"/>
      <c r="I5" s="12"/>
      <c r="J5" s="12"/>
      <c r="K5" s="12"/>
    </row>
    <row r="6" spans="1:14" ht="17.649999999999999" x14ac:dyDescent="0.75">
      <c r="A6" s="12"/>
      <c r="B6" s="12"/>
      <c r="C6" s="224" t="s">
        <v>13</v>
      </c>
      <c r="D6" s="224" t="s">
        <v>253</v>
      </c>
      <c r="E6" s="224" t="s">
        <v>254</v>
      </c>
      <c r="F6" s="224" t="s">
        <v>255</v>
      </c>
      <c r="G6" s="224" t="s">
        <v>256</v>
      </c>
      <c r="H6" s="224" t="s">
        <v>257</v>
      </c>
      <c r="I6" s="224"/>
      <c r="J6" s="12"/>
      <c r="K6" s="12"/>
    </row>
    <row r="7" spans="1:14" ht="15.4" x14ac:dyDescent="0.45">
      <c r="A7" s="12"/>
      <c r="B7" s="12" t="s">
        <v>258</v>
      </c>
      <c r="C7" s="145">
        <v>755457</v>
      </c>
      <c r="D7" s="145">
        <v>0</v>
      </c>
      <c r="E7" s="145">
        <v>0</v>
      </c>
      <c r="F7" s="145">
        <v>463841</v>
      </c>
      <c r="G7" s="145">
        <v>0</v>
      </c>
      <c r="H7" s="145">
        <v>291616</v>
      </c>
      <c r="I7" s="145"/>
      <c r="J7" s="12">
        <f>SUM(D7:H7)</f>
        <v>755457</v>
      </c>
      <c r="K7" s="12"/>
    </row>
    <row r="8" spans="1:14" ht="15.4" x14ac:dyDescent="0.45">
      <c r="A8" s="12"/>
      <c r="B8" s="82" t="s">
        <v>259</v>
      </c>
      <c r="C8" s="145"/>
      <c r="D8" s="225">
        <f>D7/$C7</f>
        <v>0</v>
      </c>
      <c r="E8" s="225">
        <f>E7/$C7</f>
        <v>0</v>
      </c>
      <c r="F8" s="225">
        <f>F7/$C7</f>
        <v>0.61398729510746475</v>
      </c>
      <c r="G8" s="225">
        <f>G7/$C7</f>
        <v>0</v>
      </c>
      <c r="H8" s="225">
        <f>H7/$C7</f>
        <v>0.38601270489253525</v>
      </c>
      <c r="I8" s="145"/>
      <c r="J8" s="226">
        <f>SUM(D8:H8)</f>
        <v>1</v>
      </c>
      <c r="K8" s="12"/>
    </row>
    <row r="9" spans="1:14" ht="15.4" x14ac:dyDescent="0.45">
      <c r="A9" s="12"/>
      <c r="B9" s="12" t="s">
        <v>260</v>
      </c>
      <c r="C9" s="145">
        <v>30000</v>
      </c>
      <c r="D9" s="145"/>
      <c r="E9" s="145"/>
      <c r="F9" s="145"/>
      <c r="G9" s="145"/>
      <c r="H9" s="145">
        <f>C9</f>
        <v>30000</v>
      </c>
      <c r="I9" s="145"/>
      <c r="J9" s="12">
        <f>SUM(D9:H9)</f>
        <v>30000</v>
      </c>
      <c r="K9" s="12"/>
    </row>
    <row r="10" spans="1:14" ht="15.4" x14ac:dyDescent="0.45">
      <c r="A10" s="12"/>
      <c r="B10" s="12" t="s">
        <v>261</v>
      </c>
      <c r="C10" s="145">
        <f>217704+SAO!E37</f>
        <v>243569</v>
      </c>
      <c r="D10" s="145">
        <v>0</v>
      </c>
      <c r="E10" s="145">
        <v>0</v>
      </c>
      <c r="F10" s="145">
        <f>119738+(25865*L10)</f>
        <v>133963.84504648513</v>
      </c>
      <c r="G10" s="145">
        <f>2177+(25865*M10)</f>
        <v>2435.6452476757431</v>
      </c>
      <c r="H10" s="145">
        <f>95789+(25865*N10)</f>
        <v>107169.50970583913</v>
      </c>
      <c r="I10" s="12"/>
      <c r="J10" s="12">
        <f>SUM(D10:H10)</f>
        <v>243569</v>
      </c>
      <c r="K10" s="12"/>
      <c r="L10" s="231">
        <v>0.55000367471429101</v>
      </c>
      <c r="M10" s="231">
        <v>9.9998162642854511E-3</v>
      </c>
      <c r="N10" s="231">
        <v>0.43999650902142357</v>
      </c>
    </row>
    <row r="11" spans="1:14" ht="15.4" x14ac:dyDescent="0.45">
      <c r="A11" s="12"/>
      <c r="B11" s="12" t="s">
        <v>262</v>
      </c>
      <c r="C11" s="145">
        <v>817674</v>
      </c>
      <c r="D11" s="145">
        <f>C11</f>
        <v>817674</v>
      </c>
      <c r="E11" s="145"/>
      <c r="F11" s="145"/>
      <c r="G11" s="145"/>
      <c r="H11" s="145"/>
      <c r="I11" s="145"/>
      <c r="J11" s="12">
        <f t="shared" ref="J11:J27" si="0">SUM(D11:H11)</f>
        <v>817674</v>
      </c>
      <c r="K11" s="12"/>
    </row>
    <row r="12" spans="1:14" ht="15.4" x14ac:dyDescent="0.45">
      <c r="A12" s="12"/>
      <c r="B12" s="12" t="s">
        <v>263</v>
      </c>
      <c r="C12" s="145">
        <v>71700</v>
      </c>
      <c r="D12" s="145">
        <v>0</v>
      </c>
      <c r="E12" s="145">
        <v>0</v>
      </c>
      <c r="F12" s="145">
        <v>66738</v>
      </c>
      <c r="G12" s="145">
        <v>0</v>
      </c>
      <c r="H12" s="145">
        <v>4962</v>
      </c>
      <c r="I12" s="145"/>
      <c r="J12" s="12">
        <f t="shared" si="0"/>
        <v>71700</v>
      </c>
      <c r="K12" s="12"/>
    </row>
    <row r="13" spans="1:14" ht="15.4" x14ac:dyDescent="0.45">
      <c r="A13" s="12"/>
      <c r="B13" s="12" t="s">
        <v>264</v>
      </c>
      <c r="C13" s="145">
        <v>0</v>
      </c>
      <c r="D13" s="145"/>
      <c r="E13" s="145">
        <f>C13</f>
        <v>0</v>
      </c>
      <c r="F13" s="145"/>
      <c r="G13" s="145"/>
      <c r="H13" s="145"/>
      <c r="I13" s="145"/>
      <c r="J13" s="12">
        <f t="shared" si="0"/>
        <v>0</v>
      </c>
      <c r="K13" s="12"/>
    </row>
    <row r="14" spans="1:14" ht="15.4" x14ac:dyDescent="0.45">
      <c r="A14" s="12"/>
      <c r="B14" s="12" t="s">
        <v>265</v>
      </c>
      <c r="C14" s="145">
        <v>95609</v>
      </c>
      <c r="D14" s="145">
        <v>0</v>
      </c>
      <c r="E14" s="145">
        <v>0</v>
      </c>
      <c r="F14" s="145">
        <v>44318</v>
      </c>
      <c r="G14" s="145">
        <v>11885</v>
      </c>
      <c r="H14" s="145">
        <v>39406</v>
      </c>
      <c r="I14" s="145"/>
      <c r="J14" s="12">
        <f t="shared" si="0"/>
        <v>95609</v>
      </c>
      <c r="K14" s="12"/>
    </row>
    <row r="15" spans="1:14" ht="15.4" x14ac:dyDescent="0.45">
      <c r="A15" s="12"/>
      <c r="B15" s="12" t="s">
        <v>279</v>
      </c>
      <c r="C15" s="145">
        <v>18880</v>
      </c>
      <c r="D15" s="145"/>
      <c r="E15" s="145"/>
      <c r="F15" s="145">
        <f>C15</f>
        <v>18880</v>
      </c>
      <c r="G15" s="145"/>
      <c r="H15" s="145"/>
      <c r="I15" s="145"/>
      <c r="J15" s="12"/>
      <c r="K15" s="12"/>
    </row>
    <row r="16" spans="1:14" ht="15.4" x14ac:dyDescent="0.45">
      <c r="A16" s="12"/>
      <c r="B16" s="12" t="s">
        <v>266</v>
      </c>
      <c r="C16" s="145">
        <v>23050</v>
      </c>
      <c r="D16" s="145"/>
      <c r="E16" s="145"/>
      <c r="F16" s="145">
        <v>0</v>
      </c>
      <c r="G16" s="145"/>
      <c r="H16" s="145">
        <f>C16</f>
        <v>23050</v>
      </c>
      <c r="I16" s="145"/>
      <c r="J16" s="12">
        <f t="shared" si="0"/>
        <v>23050</v>
      </c>
      <c r="K16" s="12"/>
    </row>
    <row r="17" spans="1:14" ht="15.4" x14ac:dyDescent="0.45">
      <c r="A17" s="12"/>
      <c r="B17" s="12" t="s">
        <v>267</v>
      </c>
      <c r="C17" s="145">
        <v>25827</v>
      </c>
      <c r="D17" s="145"/>
      <c r="E17" s="145"/>
      <c r="F17" s="145"/>
      <c r="G17" s="145"/>
      <c r="H17" s="145">
        <f>C17</f>
        <v>25827</v>
      </c>
      <c r="I17" s="145"/>
      <c r="J17" s="12">
        <f t="shared" si="0"/>
        <v>25827</v>
      </c>
      <c r="K17" s="12"/>
    </row>
    <row r="18" spans="1:14" ht="15.4" x14ac:dyDescent="0.45">
      <c r="A18" s="12"/>
      <c r="B18" s="12" t="s">
        <v>280</v>
      </c>
      <c r="C18" s="145">
        <v>128626</v>
      </c>
      <c r="D18" s="145"/>
      <c r="E18" s="145"/>
      <c r="F18" s="145">
        <v>16940</v>
      </c>
      <c r="G18" s="145"/>
      <c r="H18" s="145">
        <v>111686</v>
      </c>
      <c r="I18" s="145"/>
      <c r="J18" s="12">
        <f t="shared" si="0"/>
        <v>128626</v>
      </c>
      <c r="K18" s="12"/>
    </row>
    <row r="19" spans="1:14" ht="15.4" x14ac:dyDescent="0.45">
      <c r="A19" s="12"/>
      <c r="B19" s="12" t="s">
        <v>268</v>
      </c>
      <c r="C19" s="145">
        <v>11240</v>
      </c>
      <c r="D19" s="145">
        <v>0</v>
      </c>
      <c r="E19" s="145">
        <v>0</v>
      </c>
      <c r="F19" s="145">
        <f>C19</f>
        <v>11240</v>
      </c>
      <c r="G19" s="145">
        <v>0</v>
      </c>
      <c r="H19" s="145">
        <v>0</v>
      </c>
      <c r="I19" s="145"/>
      <c r="J19" s="12">
        <f t="shared" si="0"/>
        <v>11240</v>
      </c>
      <c r="K19" s="12"/>
    </row>
    <row r="20" spans="1:14" ht="15.4" x14ac:dyDescent="0.45">
      <c r="A20" s="12"/>
      <c r="B20" s="12" t="s">
        <v>269</v>
      </c>
      <c r="C20" s="145">
        <v>106837</v>
      </c>
      <c r="D20" s="145"/>
      <c r="E20" s="145"/>
      <c r="F20" s="145">
        <v>104857</v>
      </c>
      <c r="G20" s="145">
        <v>1980</v>
      </c>
      <c r="H20" s="145">
        <v>0</v>
      </c>
      <c r="I20" s="145"/>
      <c r="J20" s="12">
        <f t="shared" si="0"/>
        <v>106837</v>
      </c>
      <c r="K20" s="12"/>
    </row>
    <row r="21" spans="1:14" ht="15.4" x14ac:dyDescent="0.45">
      <c r="A21" s="12"/>
      <c r="B21" s="12" t="s">
        <v>270</v>
      </c>
      <c r="C21" s="145">
        <v>0</v>
      </c>
      <c r="D21" s="145">
        <v>0</v>
      </c>
      <c r="E21" s="145"/>
      <c r="F21" s="145">
        <v>0</v>
      </c>
      <c r="G21" s="145">
        <v>0</v>
      </c>
      <c r="H21" s="145">
        <v>0</v>
      </c>
      <c r="I21" s="145"/>
      <c r="J21" s="12">
        <f t="shared" si="0"/>
        <v>0</v>
      </c>
      <c r="K21" s="12"/>
    </row>
    <row r="22" spans="1:14" ht="15.4" x14ac:dyDescent="0.45">
      <c r="A22" s="12"/>
      <c r="B22" s="12" t="s">
        <v>271</v>
      </c>
      <c r="C22" s="145">
        <v>15828</v>
      </c>
      <c r="D22" s="145">
        <v>0</v>
      </c>
      <c r="E22" s="145"/>
      <c r="F22" s="145">
        <v>0</v>
      </c>
      <c r="G22" s="145">
        <v>0</v>
      </c>
      <c r="H22" s="145">
        <v>15828</v>
      </c>
      <c r="I22" s="145"/>
      <c r="J22" s="12">
        <f t="shared" si="0"/>
        <v>15828</v>
      </c>
      <c r="K22" s="12"/>
    </row>
    <row r="23" spans="1:14" ht="15.4" x14ac:dyDescent="0.45">
      <c r="A23" s="12"/>
      <c r="B23" s="12" t="s">
        <v>272</v>
      </c>
      <c r="C23" s="145">
        <v>11681</v>
      </c>
      <c r="D23" s="145">
        <v>0</v>
      </c>
      <c r="E23" s="145">
        <v>0</v>
      </c>
      <c r="F23" s="145">
        <v>0</v>
      </c>
      <c r="G23" s="145">
        <v>0</v>
      </c>
      <c r="H23" s="145">
        <v>11681</v>
      </c>
      <c r="I23" s="145"/>
      <c r="J23" s="12">
        <f t="shared" si="0"/>
        <v>11681</v>
      </c>
      <c r="K23" s="12"/>
    </row>
    <row r="24" spans="1:14" ht="15.4" x14ac:dyDescent="0.45">
      <c r="A24" s="12"/>
      <c r="B24" s="12" t="s">
        <v>273</v>
      </c>
      <c r="C24" s="145">
        <v>14052</v>
      </c>
      <c r="D24" s="145"/>
      <c r="E24" s="145"/>
      <c r="F24" s="145"/>
      <c r="G24" s="145"/>
      <c r="H24" s="145">
        <f>C24</f>
        <v>14052</v>
      </c>
      <c r="I24" s="145"/>
      <c r="J24" s="12">
        <f t="shared" si="0"/>
        <v>14052</v>
      </c>
      <c r="K24" s="12"/>
    </row>
    <row r="25" spans="1:14" ht="15.4" x14ac:dyDescent="0.45">
      <c r="A25" s="12"/>
      <c r="B25" s="12" t="s">
        <v>281</v>
      </c>
      <c r="C25" s="145">
        <v>2035</v>
      </c>
      <c r="D25" s="145"/>
      <c r="E25" s="145"/>
      <c r="F25" s="145"/>
      <c r="G25" s="145"/>
      <c r="H25" s="145">
        <v>2035</v>
      </c>
      <c r="I25" s="145"/>
      <c r="J25" s="12">
        <f t="shared" si="0"/>
        <v>2035</v>
      </c>
      <c r="K25" s="12"/>
    </row>
    <row r="26" spans="1:14" ht="17.649999999999999" x14ac:dyDescent="0.75">
      <c r="A26" s="12"/>
      <c r="B26" s="12" t="s">
        <v>274</v>
      </c>
      <c r="C26" s="228">
        <v>16409</v>
      </c>
      <c r="D26" s="228">
        <v>0</v>
      </c>
      <c r="E26" s="228">
        <v>0</v>
      </c>
      <c r="F26" s="228">
        <v>0</v>
      </c>
      <c r="G26" s="228">
        <v>0</v>
      </c>
      <c r="H26" s="228">
        <v>16409</v>
      </c>
      <c r="I26" s="145"/>
      <c r="J26" s="12">
        <f t="shared" si="0"/>
        <v>16409</v>
      </c>
      <c r="K26" s="12"/>
    </row>
    <row r="27" spans="1:14" ht="15.4" x14ac:dyDescent="0.45">
      <c r="A27" s="12"/>
      <c r="B27" s="12" t="s">
        <v>48</v>
      </c>
      <c r="C27" s="145">
        <f t="shared" ref="C27:H27" si="1">SUM(C7:C26)</f>
        <v>2388474</v>
      </c>
      <c r="D27" s="145">
        <f t="shared" si="1"/>
        <v>817674</v>
      </c>
      <c r="E27" s="145">
        <f t="shared" si="1"/>
        <v>0</v>
      </c>
      <c r="F27" s="145">
        <f t="shared" si="1"/>
        <v>860778.45903378027</v>
      </c>
      <c r="G27" s="145">
        <f t="shared" si="1"/>
        <v>16300.645247675744</v>
      </c>
      <c r="H27" s="145">
        <f t="shared" si="1"/>
        <v>693721.89571854402</v>
      </c>
      <c r="I27" s="145">
        <f>SUM(D27:H27)</f>
        <v>2388475</v>
      </c>
      <c r="J27" s="12">
        <f t="shared" si="0"/>
        <v>2388475</v>
      </c>
      <c r="K27" s="12"/>
    </row>
    <row r="28" spans="1:14" ht="15.4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4" ht="17.649999999999999" x14ac:dyDescent="0.75">
      <c r="A29" s="12"/>
      <c r="B29" s="223" t="s">
        <v>275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1:14" ht="17.649999999999999" x14ac:dyDescent="0.75">
      <c r="A30" s="12"/>
      <c r="B30" s="12"/>
      <c r="C30" s="224" t="s">
        <v>13</v>
      </c>
      <c r="D30" s="224" t="s">
        <v>253</v>
      </c>
      <c r="E30" s="224" t="s">
        <v>254</v>
      </c>
      <c r="F30" s="224" t="s">
        <v>255</v>
      </c>
      <c r="G30" s="224" t="s">
        <v>256</v>
      </c>
      <c r="H30" s="224" t="s">
        <v>257</v>
      </c>
      <c r="I30" s="224"/>
      <c r="J30" s="12"/>
      <c r="K30" s="12"/>
      <c r="M30" s="308">
        <f>F31+G31</f>
        <v>609021.52</v>
      </c>
      <c r="N30" s="309"/>
    </row>
    <row r="31" spans="1:14" ht="15.4" x14ac:dyDescent="0.45">
      <c r="A31" s="12"/>
      <c r="B31" s="12" t="s">
        <v>258</v>
      </c>
      <c r="C31" s="12">
        <f>SAO!H20</f>
        <v>754829.51875000005</v>
      </c>
      <c r="D31" s="145">
        <f>$C31*D$8</f>
        <v>0</v>
      </c>
      <c r="E31" s="145">
        <f t="shared" ref="E31" si="2">$C31*E$8</f>
        <v>0</v>
      </c>
      <c r="F31" s="145">
        <f>(463841-627.48)*0.9</f>
        <v>416892.16800000001</v>
      </c>
      <c r="G31" s="145">
        <f>((463841-627.48)*0.1)+(291616*0.5)</f>
        <v>192129.35200000001</v>
      </c>
      <c r="H31" s="145">
        <f>291616*0.5</f>
        <v>145808</v>
      </c>
      <c r="I31" s="145"/>
      <c r="J31" s="12">
        <f t="shared" ref="J31" si="3">SUM(D31:H31)</f>
        <v>754829.52</v>
      </c>
      <c r="K31" s="12"/>
      <c r="M31" s="310">
        <f>F31/M30</f>
        <v>0.68452781110263561</v>
      </c>
      <c r="N31" s="311">
        <f>G31/M30</f>
        <v>0.31547218889736445</v>
      </c>
    </row>
    <row r="32" spans="1:14" ht="15.4" x14ac:dyDescent="0.45">
      <c r="A32" s="12"/>
      <c r="B32" s="12"/>
      <c r="C32" s="12"/>
      <c r="D32" s="145"/>
      <c r="E32" s="145"/>
      <c r="F32" s="231">
        <f>F31/$C$31</f>
        <v>0.55229976788715773</v>
      </c>
      <c r="G32" s="231">
        <f t="shared" ref="G32:H32" si="4">G31/$C$31</f>
        <v>0.25453343732259809</v>
      </c>
      <c r="H32" s="231">
        <f t="shared" si="4"/>
        <v>0.19316679644624721</v>
      </c>
      <c r="J32" s="231"/>
      <c r="K32" s="12"/>
    </row>
    <row r="33" spans="1:17" ht="15.4" x14ac:dyDescent="0.45">
      <c r="A33" s="12"/>
      <c r="B33" s="12" t="s">
        <v>260</v>
      </c>
      <c r="C33" s="12">
        <f>SAO!H21</f>
        <v>30000</v>
      </c>
      <c r="D33" s="145"/>
      <c r="E33" s="145"/>
      <c r="F33" s="145"/>
      <c r="G33" s="145"/>
      <c r="H33" s="145">
        <f>C33</f>
        <v>30000</v>
      </c>
      <c r="I33" s="145"/>
      <c r="J33" s="12">
        <f>SUM(D33:H33)</f>
        <v>30000</v>
      </c>
      <c r="K33" s="12"/>
      <c r="M33" s="1"/>
      <c r="N33" s="1"/>
      <c r="O33" s="1"/>
      <c r="P33" s="1"/>
      <c r="Q33" s="1"/>
    </row>
    <row r="34" spans="1:17" ht="15.4" x14ac:dyDescent="0.45">
      <c r="A34" s="12"/>
      <c r="B34" s="12" t="s">
        <v>276</v>
      </c>
      <c r="C34" s="12">
        <f>SAO!H22+SAO!H37</f>
        <v>241620.95738437504</v>
      </c>
      <c r="D34" s="145"/>
      <c r="E34" s="145"/>
      <c r="F34" s="145">
        <f>F32*$C$34</f>
        <v>133447.19868006316</v>
      </c>
      <c r="G34" s="145">
        <f t="shared" ref="G34:H34" si="5">G32*$C$34</f>
        <v>61500.612812221967</v>
      </c>
      <c r="H34" s="145">
        <f t="shared" si="5"/>
        <v>46673.146292214944</v>
      </c>
      <c r="I34" s="145"/>
      <c r="J34" s="12">
        <f t="shared" ref="J34" si="6">SUM(D34:H34)</f>
        <v>241620.95778450006</v>
      </c>
      <c r="K34" s="12"/>
      <c r="M34" s="1" t="s">
        <v>282</v>
      </c>
      <c r="O34" s="1">
        <v>780</v>
      </c>
      <c r="P34" s="1" t="s">
        <v>283</v>
      </c>
      <c r="Q34" s="1"/>
    </row>
    <row r="35" spans="1:17" ht="15.4" x14ac:dyDescent="0.45">
      <c r="A35" s="12"/>
      <c r="B35" s="12" t="s">
        <v>262</v>
      </c>
      <c r="C35" s="12">
        <f>SAO!H24</f>
        <v>796039.64545874821</v>
      </c>
      <c r="D35" s="145">
        <f>C35</f>
        <v>796039.64545874821</v>
      </c>
      <c r="E35" s="145">
        <f>E11</f>
        <v>0</v>
      </c>
      <c r="F35" s="145">
        <f>F11</f>
        <v>0</v>
      </c>
      <c r="G35" s="145">
        <f>G11</f>
        <v>0</v>
      </c>
      <c r="H35" s="145">
        <f>H11</f>
        <v>0</v>
      </c>
      <c r="I35" s="145"/>
      <c r="J35" s="12">
        <f>SUM(D35:H35)</f>
        <v>796039.64545874821</v>
      </c>
      <c r="K35" s="12"/>
      <c r="M35" s="1" t="s">
        <v>284</v>
      </c>
      <c r="N35" s="1">
        <v>26</v>
      </c>
      <c r="O35" s="226">
        <v>1.8181818181818181E-2</v>
      </c>
      <c r="P35" s="1"/>
      <c r="Q35" s="1"/>
    </row>
    <row r="36" spans="1:17" ht="15.4" x14ac:dyDescent="0.45">
      <c r="A36" s="12"/>
      <c r="B36" s="12" t="s">
        <v>263</v>
      </c>
      <c r="C36" s="12">
        <f>SAO!H25</f>
        <v>67451.924942449245</v>
      </c>
      <c r="D36" s="145">
        <f>C36-H36</f>
        <v>62489.924942449245</v>
      </c>
      <c r="E36" s="145">
        <f>E12</f>
        <v>0</v>
      </c>
      <c r="F36" s="145"/>
      <c r="G36" s="145">
        <f t="shared" ref="G36:H38" si="7">G12</f>
        <v>0</v>
      </c>
      <c r="H36" s="145">
        <f t="shared" si="7"/>
        <v>4962</v>
      </c>
      <c r="I36" s="145"/>
      <c r="J36" s="12">
        <f t="shared" ref="J36:J49" si="8">SUM(D36:H36)</f>
        <v>67451.924942449245</v>
      </c>
      <c r="K36" s="12"/>
      <c r="M36" s="1" t="s">
        <v>285</v>
      </c>
      <c r="N36" s="1">
        <v>84</v>
      </c>
      <c r="O36" s="226">
        <v>5.8741258741258739E-2</v>
      </c>
      <c r="P36" s="1"/>
      <c r="Q36" s="1"/>
    </row>
    <row r="37" spans="1:17" ht="15.4" x14ac:dyDescent="0.45">
      <c r="A37" s="12"/>
      <c r="B37" s="12" t="s">
        <v>264</v>
      </c>
      <c r="C37" s="12">
        <v>0</v>
      </c>
      <c r="D37" s="145">
        <f>D13</f>
        <v>0</v>
      </c>
      <c r="E37" s="145">
        <v>0</v>
      </c>
      <c r="F37" s="145">
        <f>F13</f>
        <v>0</v>
      </c>
      <c r="G37" s="145">
        <f t="shared" si="7"/>
        <v>0</v>
      </c>
      <c r="H37" s="145">
        <f t="shared" si="7"/>
        <v>0</v>
      </c>
      <c r="I37" s="145"/>
      <c r="J37" s="12">
        <f t="shared" si="8"/>
        <v>0</v>
      </c>
      <c r="K37" s="12"/>
      <c r="M37" s="1" t="s">
        <v>286</v>
      </c>
      <c r="N37" s="1">
        <v>670</v>
      </c>
      <c r="O37" s="226">
        <v>0.46853146853146854</v>
      </c>
      <c r="P37" s="1"/>
      <c r="Q37" s="1"/>
    </row>
    <row r="38" spans="1:17" ht="15.4" x14ac:dyDescent="0.45">
      <c r="A38" s="12"/>
      <c r="B38" s="12" t="s">
        <v>265</v>
      </c>
      <c r="C38" s="12">
        <f t="shared" ref="C38:C44" si="9">C14</f>
        <v>95609</v>
      </c>
      <c r="D38" s="145">
        <f>D14</f>
        <v>0</v>
      </c>
      <c r="E38" s="145">
        <f>E14</f>
        <v>0</v>
      </c>
      <c r="F38" s="145">
        <f>F14</f>
        <v>44318</v>
      </c>
      <c r="G38" s="145">
        <f t="shared" si="7"/>
        <v>11885</v>
      </c>
      <c r="H38" s="145">
        <f t="shared" si="7"/>
        <v>39406</v>
      </c>
      <c r="I38" s="145"/>
      <c r="J38" s="12">
        <f t="shared" si="8"/>
        <v>95609</v>
      </c>
      <c r="K38" s="12"/>
      <c r="M38" s="1"/>
      <c r="N38" s="1"/>
      <c r="O38" s="1"/>
      <c r="P38" s="1"/>
      <c r="Q38" s="1"/>
    </row>
    <row r="39" spans="1:17" ht="15.4" x14ac:dyDescent="0.45">
      <c r="A39" s="12"/>
      <c r="B39" s="12" t="s">
        <v>279</v>
      </c>
      <c r="C39" s="12">
        <f t="shared" si="9"/>
        <v>18880</v>
      </c>
      <c r="D39" s="145"/>
      <c r="E39" s="145"/>
      <c r="F39" s="145">
        <f>C39</f>
        <v>18880</v>
      </c>
      <c r="G39" s="145"/>
      <c r="H39" s="145"/>
      <c r="I39" s="145"/>
      <c r="J39" s="12">
        <f t="shared" si="8"/>
        <v>18880</v>
      </c>
      <c r="K39" s="12"/>
      <c r="M39" s="1" t="s">
        <v>287</v>
      </c>
      <c r="O39" s="1">
        <v>650</v>
      </c>
      <c r="P39" s="1" t="s">
        <v>288</v>
      </c>
      <c r="Q39" s="1"/>
    </row>
    <row r="40" spans="1:17" ht="15.4" x14ac:dyDescent="0.45">
      <c r="A40" s="12"/>
      <c r="B40" s="12" t="s">
        <v>266</v>
      </c>
      <c r="C40" s="12">
        <f t="shared" si="9"/>
        <v>23050</v>
      </c>
      <c r="D40" s="145">
        <f t="shared" ref="D40:H41" si="10">D16</f>
        <v>0</v>
      </c>
      <c r="E40" s="145">
        <f t="shared" si="10"/>
        <v>0</v>
      </c>
      <c r="F40" s="145">
        <f t="shared" si="10"/>
        <v>0</v>
      </c>
      <c r="G40" s="145">
        <f t="shared" si="10"/>
        <v>0</v>
      </c>
      <c r="H40" s="145">
        <f t="shared" si="10"/>
        <v>23050</v>
      </c>
      <c r="I40" s="145"/>
      <c r="J40" s="12">
        <f t="shared" si="8"/>
        <v>23050</v>
      </c>
      <c r="K40" s="12"/>
      <c r="M40" s="1" t="s">
        <v>289</v>
      </c>
      <c r="N40" s="1">
        <v>325</v>
      </c>
      <c r="O40" s="226">
        <v>0.22727272727272727</v>
      </c>
      <c r="P40" s="1"/>
      <c r="Q40" s="1"/>
    </row>
    <row r="41" spans="1:17" ht="15.4" x14ac:dyDescent="0.45">
      <c r="A41" s="12"/>
      <c r="B41" s="12" t="s">
        <v>267</v>
      </c>
      <c r="C41" s="12">
        <f t="shared" si="9"/>
        <v>25827</v>
      </c>
      <c r="D41" s="145">
        <f t="shared" si="10"/>
        <v>0</v>
      </c>
      <c r="E41" s="145">
        <f t="shared" si="10"/>
        <v>0</v>
      </c>
      <c r="F41" s="145">
        <f t="shared" si="10"/>
        <v>0</v>
      </c>
      <c r="G41" s="145">
        <f t="shared" si="10"/>
        <v>0</v>
      </c>
      <c r="H41" s="145">
        <f t="shared" si="10"/>
        <v>25827</v>
      </c>
      <c r="I41" s="145"/>
      <c r="J41" s="12">
        <f t="shared" si="8"/>
        <v>25827</v>
      </c>
      <c r="K41" s="12"/>
      <c r="M41" s="1" t="s">
        <v>284</v>
      </c>
      <c r="N41" s="1">
        <v>325</v>
      </c>
      <c r="O41" s="226">
        <v>0.22727272727272727</v>
      </c>
      <c r="P41" s="1"/>
      <c r="Q41" s="1"/>
    </row>
    <row r="42" spans="1:17" ht="15.4" x14ac:dyDescent="0.45">
      <c r="A42" s="12"/>
      <c r="B42" s="12" t="s">
        <v>280</v>
      </c>
      <c r="C42" s="12">
        <f t="shared" si="9"/>
        <v>128626</v>
      </c>
      <c r="D42" s="145"/>
      <c r="E42" s="145"/>
      <c r="F42" s="145">
        <v>16940</v>
      </c>
      <c r="G42" s="145"/>
      <c r="H42" s="145">
        <v>111686</v>
      </c>
      <c r="I42" s="145"/>
      <c r="J42" s="12">
        <f t="shared" si="8"/>
        <v>128626</v>
      </c>
      <c r="K42" s="12"/>
      <c r="M42" s="1"/>
      <c r="N42" s="1"/>
      <c r="O42" s="1"/>
      <c r="P42" s="1"/>
      <c r="Q42" s="1"/>
    </row>
    <row r="43" spans="1:17" ht="15.4" x14ac:dyDescent="0.45">
      <c r="A43" s="12"/>
      <c r="B43" s="12" t="s">
        <v>268</v>
      </c>
      <c r="C43" s="12">
        <f t="shared" si="9"/>
        <v>11240</v>
      </c>
      <c r="D43" s="145">
        <f>D19</f>
        <v>0</v>
      </c>
      <c r="E43" s="145">
        <f>E19</f>
        <v>0</v>
      </c>
      <c r="F43" s="145">
        <f>F19</f>
        <v>11240</v>
      </c>
      <c r="G43" s="145">
        <f>G19</f>
        <v>0</v>
      </c>
      <c r="H43" s="145">
        <v>0</v>
      </c>
      <c r="I43" s="145"/>
      <c r="J43" s="12">
        <f t="shared" si="8"/>
        <v>11240</v>
      </c>
      <c r="K43" s="12"/>
      <c r="M43" s="1"/>
      <c r="N43" s="1"/>
      <c r="O43" s="1">
        <v>1430</v>
      </c>
      <c r="P43" s="1" t="s">
        <v>290</v>
      </c>
      <c r="Q43" s="1"/>
    </row>
    <row r="44" spans="1:17" ht="15.4" x14ac:dyDescent="0.45">
      <c r="A44" s="12"/>
      <c r="B44" s="12" t="s">
        <v>269</v>
      </c>
      <c r="C44" s="12">
        <f t="shared" si="9"/>
        <v>106837</v>
      </c>
      <c r="D44" s="145">
        <v>0</v>
      </c>
      <c r="E44" s="145">
        <v>0</v>
      </c>
      <c r="F44" s="145">
        <f>C44*0.9</f>
        <v>96153.3</v>
      </c>
      <c r="G44" s="145">
        <f>C44*0.1</f>
        <v>10683.7</v>
      </c>
      <c r="H44" s="145">
        <v>0</v>
      </c>
      <c r="I44" s="145"/>
      <c r="J44" s="12">
        <f t="shared" si="8"/>
        <v>106837</v>
      </c>
      <c r="K44" s="12"/>
      <c r="M44" s="1"/>
      <c r="N44" s="1"/>
      <c r="O44" s="1"/>
      <c r="P44" s="1"/>
      <c r="Q44" s="1"/>
    </row>
    <row r="45" spans="1:17" ht="15.4" x14ac:dyDescent="0.45">
      <c r="A45" s="12"/>
      <c r="B45" s="12" t="s">
        <v>270</v>
      </c>
      <c r="C45" s="12">
        <f t="shared" ref="C45:H48" si="11">C21</f>
        <v>0</v>
      </c>
      <c r="D45" s="145">
        <f t="shared" si="11"/>
        <v>0</v>
      </c>
      <c r="E45" s="145">
        <f t="shared" si="11"/>
        <v>0</v>
      </c>
      <c r="F45" s="145">
        <f t="shared" si="11"/>
        <v>0</v>
      </c>
      <c r="G45" s="145">
        <f t="shared" si="11"/>
        <v>0</v>
      </c>
      <c r="H45" s="145">
        <f t="shared" si="11"/>
        <v>0</v>
      </c>
      <c r="I45" s="145"/>
      <c r="J45" s="12">
        <f t="shared" si="8"/>
        <v>0</v>
      </c>
      <c r="K45" s="12"/>
      <c r="M45" s="1" t="s">
        <v>291</v>
      </c>
      <c r="N45" s="226">
        <v>0</v>
      </c>
      <c r="O45" s="1"/>
      <c r="P45" s="1"/>
      <c r="Q45" s="1"/>
    </row>
    <row r="46" spans="1:17" ht="15.4" x14ac:dyDescent="0.45">
      <c r="A46" s="12"/>
      <c r="B46" s="12" t="s">
        <v>271</v>
      </c>
      <c r="C46" s="12">
        <f t="shared" si="11"/>
        <v>15828</v>
      </c>
      <c r="D46" s="145">
        <f t="shared" si="11"/>
        <v>0</v>
      </c>
      <c r="E46" s="145">
        <f t="shared" si="11"/>
        <v>0</v>
      </c>
      <c r="F46" s="145">
        <f t="shared" si="11"/>
        <v>0</v>
      </c>
      <c r="G46" s="145">
        <f t="shared" si="11"/>
        <v>0</v>
      </c>
      <c r="H46" s="145">
        <f t="shared" si="11"/>
        <v>15828</v>
      </c>
      <c r="I46" s="145"/>
      <c r="J46" s="12">
        <f t="shared" si="8"/>
        <v>15828</v>
      </c>
      <c r="K46" s="12"/>
      <c r="M46" s="1" t="s">
        <v>292</v>
      </c>
      <c r="N46" s="226">
        <v>0.46853146853146854</v>
      </c>
      <c r="O46" s="1"/>
      <c r="P46" s="1"/>
      <c r="Q46" s="1"/>
    </row>
    <row r="47" spans="1:17" ht="15.4" x14ac:dyDescent="0.45">
      <c r="A47" s="12"/>
      <c r="B47" s="12" t="s">
        <v>272</v>
      </c>
      <c r="C47" s="12">
        <f t="shared" si="11"/>
        <v>11681</v>
      </c>
      <c r="D47" s="145">
        <f t="shared" si="11"/>
        <v>0</v>
      </c>
      <c r="E47" s="145">
        <f t="shared" si="11"/>
        <v>0</v>
      </c>
      <c r="F47" s="145">
        <f t="shared" si="11"/>
        <v>0</v>
      </c>
      <c r="G47" s="145">
        <f t="shared" si="11"/>
        <v>0</v>
      </c>
      <c r="H47" s="145">
        <f t="shared" si="11"/>
        <v>11681</v>
      </c>
      <c r="I47" s="145"/>
      <c r="J47" s="12">
        <f t="shared" si="8"/>
        <v>11681</v>
      </c>
      <c r="K47" s="12"/>
      <c r="M47" s="1" t="s">
        <v>289</v>
      </c>
      <c r="N47" s="226">
        <v>0.28601398601398598</v>
      </c>
      <c r="O47" s="1"/>
      <c r="P47" s="1"/>
      <c r="Q47" s="1"/>
    </row>
    <row r="48" spans="1:17" ht="15.4" x14ac:dyDescent="0.45">
      <c r="A48" s="12"/>
      <c r="B48" s="12" t="s">
        <v>273</v>
      </c>
      <c r="C48" s="12">
        <f t="shared" si="11"/>
        <v>14052</v>
      </c>
      <c r="D48" s="145">
        <f t="shared" si="11"/>
        <v>0</v>
      </c>
      <c r="E48" s="145">
        <f t="shared" si="11"/>
        <v>0</v>
      </c>
      <c r="F48" s="145">
        <f t="shared" si="11"/>
        <v>0</v>
      </c>
      <c r="G48" s="145">
        <f t="shared" si="11"/>
        <v>0</v>
      </c>
      <c r="H48" s="145">
        <f t="shared" si="11"/>
        <v>14052</v>
      </c>
      <c r="I48" s="145"/>
      <c r="J48" s="12">
        <f t="shared" si="8"/>
        <v>14052</v>
      </c>
      <c r="K48" s="12"/>
      <c r="M48" s="1" t="s">
        <v>257</v>
      </c>
      <c r="N48" s="235">
        <v>0.24545454545454545</v>
      </c>
      <c r="O48" s="1"/>
      <c r="P48" s="1"/>
      <c r="Q48" s="1"/>
    </row>
    <row r="49" spans="1:17" ht="15.4" x14ac:dyDescent="0.45">
      <c r="A49" s="12"/>
      <c r="B49" s="227" t="s">
        <v>281</v>
      </c>
      <c r="C49" s="12">
        <f>C25</f>
        <v>2035</v>
      </c>
      <c r="D49" s="145">
        <v>0</v>
      </c>
      <c r="E49" s="145">
        <v>0</v>
      </c>
      <c r="F49" s="145">
        <v>0</v>
      </c>
      <c r="G49" s="145">
        <v>0</v>
      </c>
      <c r="H49" s="145">
        <f>C49</f>
        <v>2035</v>
      </c>
      <c r="I49" s="145"/>
      <c r="J49" s="12">
        <f t="shared" si="8"/>
        <v>2035</v>
      </c>
      <c r="K49" s="12"/>
      <c r="M49" s="1"/>
      <c r="N49" s="226">
        <v>1</v>
      </c>
      <c r="O49" s="1"/>
      <c r="P49" s="1"/>
      <c r="Q49" s="1"/>
    </row>
    <row r="50" spans="1:17" ht="17.649999999999999" x14ac:dyDescent="0.75">
      <c r="A50" s="12"/>
      <c r="B50" s="12" t="s">
        <v>274</v>
      </c>
      <c r="C50" s="229">
        <f>C26</f>
        <v>16409</v>
      </c>
      <c r="D50" s="228">
        <f>D26</f>
        <v>0</v>
      </c>
      <c r="E50" s="228">
        <f>E26</f>
        <v>0</v>
      </c>
      <c r="F50" s="228">
        <f>F26</f>
        <v>0</v>
      </c>
      <c r="G50" s="228">
        <f>G26</f>
        <v>0</v>
      </c>
      <c r="H50" s="228">
        <f>H26</f>
        <v>16409</v>
      </c>
      <c r="I50" s="145"/>
      <c r="J50" s="229">
        <f t="shared" ref="J50" si="12">SUM(D50:H50)</f>
        <v>16409</v>
      </c>
      <c r="K50" s="12"/>
    </row>
    <row r="51" spans="1:17" ht="15.4" x14ac:dyDescent="0.45">
      <c r="A51" s="12"/>
      <c r="B51" s="12" t="s">
        <v>48</v>
      </c>
      <c r="C51" s="12">
        <f t="shared" ref="C51:H51" si="13">SUM(C31:C50)</f>
        <v>2360016.0465355725</v>
      </c>
      <c r="D51" s="12">
        <f t="shared" si="13"/>
        <v>858529.57040119742</v>
      </c>
      <c r="E51" s="12">
        <f t="shared" si="13"/>
        <v>0</v>
      </c>
      <c r="F51" s="12">
        <f t="shared" si="13"/>
        <v>737871.21897983109</v>
      </c>
      <c r="G51" s="12">
        <f t="shared" si="13"/>
        <v>276198.91934565932</v>
      </c>
      <c r="H51" s="12">
        <f t="shared" si="13"/>
        <v>487417.33945901139</v>
      </c>
      <c r="I51" s="12">
        <f>SUM(D51:H51)</f>
        <v>2360017.0481856992</v>
      </c>
      <c r="J51" s="12">
        <f>SUM(J31:J50)</f>
        <v>2360016.0481856978</v>
      </c>
      <c r="K51" s="12"/>
      <c r="M51" s="237" t="s">
        <v>294</v>
      </c>
    </row>
    <row r="52" spans="1:17" ht="17.649999999999999" x14ac:dyDescent="0.75">
      <c r="A52" s="12"/>
      <c r="B52" s="143" t="s">
        <v>277</v>
      </c>
      <c r="C52" s="230">
        <f>SAO!H36</f>
        <v>656010.99963492074</v>
      </c>
      <c r="D52" s="12"/>
      <c r="E52" s="12"/>
      <c r="F52" s="12"/>
      <c r="G52" s="12"/>
      <c r="H52" s="12"/>
      <c r="I52" s="12"/>
      <c r="J52" s="12"/>
      <c r="K52" s="12"/>
      <c r="M52" s="236" t="s">
        <v>293</v>
      </c>
    </row>
    <row r="53" spans="1:17" ht="15.4" x14ac:dyDescent="0.45">
      <c r="A53" s="12"/>
      <c r="B53" s="12" t="s">
        <v>278</v>
      </c>
      <c r="C53" s="12">
        <f>SUM(C51:C52)</f>
        <v>3016027.0461704931</v>
      </c>
      <c r="D53" s="12"/>
      <c r="E53" s="12"/>
      <c r="F53" s="12"/>
      <c r="G53" s="12"/>
      <c r="H53" s="12"/>
      <c r="I53" s="12"/>
      <c r="J53" s="12"/>
      <c r="K53" s="12"/>
    </row>
    <row r="54" spans="1:17" ht="15.4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7" ht="15.4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</sheetData>
  <mergeCells count="2">
    <mergeCell ref="B2:H2"/>
    <mergeCell ref="B3:H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74F4-D8F7-4C4C-98EB-C4FF45BCE4FC}">
  <dimension ref="B2:L44"/>
  <sheetViews>
    <sheetView topLeftCell="A24" workbookViewId="0">
      <selection activeCell="K41" sqref="A1:K41"/>
    </sheetView>
  </sheetViews>
  <sheetFormatPr defaultRowHeight="14.25" x14ac:dyDescent="0.45"/>
  <cols>
    <col min="1" max="1" width="2" style="1" customWidth="1"/>
    <col min="2" max="2" width="1" style="1" customWidth="1"/>
    <col min="3" max="3" width="1.88671875" style="1" customWidth="1"/>
    <col min="4" max="4" width="27.44140625" style="1" customWidth="1"/>
    <col min="5" max="5" width="10.6640625" style="6" customWidth="1"/>
    <col min="6" max="6" width="10.109375" style="1" customWidth="1"/>
    <col min="7" max="7" width="9" style="1" bestFit="1" customWidth="1"/>
    <col min="8" max="8" width="9" style="1" customWidth="1"/>
    <col min="9" max="9" width="9" style="1" bestFit="1" customWidth="1"/>
    <col min="10" max="11" width="1" style="1" customWidth="1"/>
    <col min="12" max="16384" width="8.88671875" style="1"/>
  </cols>
  <sheetData>
    <row r="2" spans="2:11" x14ac:dyDescent="0.45">
      <c r="B2" s="163"/>
      <c r="C2" s="319"/>
      <c r="D2" s="319"/>
      <c r="E2" s="7"/>
      <c r="F2" s="319"/>
      <c r="G2" s="319"/>
      <c r="H2" s="319"/>
      <c r="I2" s="319"/>
      <c r="J2" s="320"/>
    </row>
    <row r="3" spans="2:11" ht="18" x14ac:dyDescent="0.55000000000000004">
      <c r="B3" s="170"/>
      <c r="C3" s="468" t="s">
        <v>397</v>
      </c>
      <c r="D3" s="468"/>
      <c r="E3" s="468"/>
      <c r="F3" s="468"/>
      <c r="G3" s="468"/>
      <c r="H3" s="468"/>
      <c r="I3" s="468"/>
      <c r="J3" s="205"/>
    </row>
    <row r="4" spans="2:11" ht="18" x14ac:dyDescent="0.55000000000000004">
      <c r="B4" s="170"/>
      <c r="C4" s="318" t="s">
        <v>362</v>
      </c>
      <c r="D4" s="19"/>
      <c r="E4" s="19"/>
      <c r="F4" s="19"/>
      <c r="G4" s="19"/>
      <c r="H4" s="19"/>
      <c r="I4" s="19"/>
      <c r="J4" s="205"/>
    </row>
    <row r="5" spans="2:11" ht="15.75" x14ac:dyDescent="0.45">
      <c r="B5" s="170"/>
      <c r="C5" s="491" t="s">
        <v>179</v>
      </c>
      <c r="D5" s="491"/>
      <c r="E5" s="491"/>
      <c r="F5" s="491"/>
      <c r="G5" s="491"/>
      <c r="H5" s="491"/>
      <c r="I5" s="491"/>
      <c r="J5" s="205"/>
    </row>
    <row r="6" spans="2:11" ht="15.75" x14ac:dyDescent="0.45">
      <c r="B6" s="193"/>
      <c r="C6" s="240"/>
      <c r="D6" s="240"/>
      <c r="E6" s="240"/>
      <c r="F6" s="240"/>
      <c r="G6" s="240"/>
      <c r="H6" s="240"/>
      <c r="I6" s="240"/>
      <c r="J6" s="204"/>
    </row>
    <row r="7" spans="2:11" x14ac:dyDescent="0.45">
      <c r="B7" s="170"/>
      <c r="E7" s="5"/>
      <c r="J7" s="205"/>
    </row>
    <row r="8" spans="2:11" ht="16.5" x14ac:dyDescent="0.75">
      <c r="B8" s="170"/>
      <c r="E8" s="5"/>
      <c r="F8" s="83"/>
      <c r="G8" s="492" t="s">
        <v>256</v>
      </c>
      <c r="H8" s="492"/>
      <c r="I8" s="83"/>
      <c r="J8" s="321"/>
      <c r="K8" s="83"/>
    </row>
    <row r="9" spans="2:11" x14ac:dyDescent="0.45">
      <c r="B9" s="170"/>
      <c r="C9" s="174"/>
      <c r="D9" s="174"/>
      <c r="E9" s="322" t="s">
        <v>207</v>
      </c>
      <c r="F9" s="316"/>
      <c r="G9" s="323" t="s">
        <v>296</v>
      </c>
      <c r="H9" s="323" t="s">
        <v>297</v>
      </c>
      <c r="I9" s="316" t="s">
        <v>298</v>
      </c>
      <c r="J9" s="324"/>
      <c r="K9" s="316"/>
    </row>
    <row r="10" spans="2:11" ht="16.5" x14ac:dyDescent="0.75">
      <c r="B10" s="170"/>
      <c r="C10" s="173"/>
      <c r="D10" s="177" t="s">
        <v>210</v>
      </c>
      <c r="E10" s="325" t="s">
        <v>359</v>
      </c>
      <c r="F10" s="316" t="s">
        <v>300</v>
      </c>
      <c r="G10" s="300" t="s">
        <v>301</v>
      </c>
      <c r="H10" s="300" t="s">
        <v>234</v>
      </c>
      <c r="I10" s="317" t="s">
        <v>302</v>
      </c>
      <c r="J10" s="326"/>
      <c r="K10" s="317"/>
    </row>
    <row r="11" spans="2:11" ht="6.95" customHeight="1" x14ac:dyDescent="0.75">
      <c r="B11" s="170"/>
      <c r="C11" s="173"/>
      <c r="D11" s="177"/>
      <c r="E11" s="325"/>
      <c r="F11" s="316"/>
      <c r="G11" s="300"/>
      <c r="H11" s="300"/>
      <c r="I11" s="317"/>
      <c r="J11" s="326"/>
      <c r="K11" s="317"/>
    </row>
    <row r="12" spans="2:11" x14ac:dyDescent="0.45">
      <c r="B12" s="170"/>
      <c r="C12" s="179" t="s">
        <v>215</v>
      </c>
      <c r="D12" s="3"/>
      <c r="E12" s="315"/>
      <c r="J12" s="205"/>
    </row>
    <row r="13" spans="2:11" x14ac:dyDescent="0.45">
      <c r="B13" s="170"/>
      <c r="C13" s="179"/>
      <c r="D13" s="3" t="s">
        <v>216</v>
      </c>
      <c r="E13" s="314">
        <v>573878</v>
      </c>
      <c r="I13" s="2">
        <f>E13</f>
        <v>573878</v>
      </c>
      <c r="J13" s="327"/>
      <c r="K13" s="2"/>
    </row>
    <row r="14" spans="2:11" x14ac:dyDescent="0.45">
      <c r="B14" s="170"/>
      <c r="C14" s="179"/>
      <c r="D14" s="3" t="s">
        <v>218</v>
      </c>
      <c r="E14" s="315">
        <f>22523+11688+26547</f>
        <v>60758</v>
      </c>
      <c r="I14" s="2">
        <f t="shared" ref="I14:I17" si="0">E14</f>
        <v>60758</v>
      </c>
      <c r="J14" s="327"/>
      <c r="K14" s="2"/>
    </row>
    <row r="15" spans="2:11" x14ac:dyDescent="0.45">
      <c r="B15" s="170"/>
      <c r="C15" s="3"/>
      <c r="D15" s="3" t="s">
        <v>219</v>
      </c>
      <c r="E15" s="315">
        <f>2677+3422+3990+338+900</f>
        <v>11327</v>
      </c>
      <c r="I15" s="2">
        <f t="shared" si="0"/>
        <v>11327</v>
      </c>
      <c r="J15" s="327"/>
      <c r="K15" s="2"/>
    </row>
    <row r="16" spans="2:11" x14ac:dyDescent="0.45">
      <c r="B16" s="170"/>
      <c r="C16" s="3"/>
      <c r="D16" s="3" t="s">
        <v>220</v>
      </c>
      <c r="E16" s="315">
        <f>3008+53096+54186+1321+344</f>
        <v>111955</v>
      </c>
      <c r="I16" s="2">
        <f t="shared" si="0"/>
        <v>111955</v>
      </c>
      <c r="J16" s="327"/>
      <c r="K16" s="2"/>
    </row>
    <row r="17" spans="2:12" x14ac:dyDescent="0.45">
      <c r="B17" s="170"/>
      <c r="C17" s="3"/>
      <c r="D17" s="3" t="s">
        <v>221</v>
      </c>
      <c r="E17" s="315">
        <f>6017+11079+12500+8000+4147+1956+6699+3555+1236+274+390+740</f>
        <v>56593</v>
      </c>
      <c r="I17" s="2">
        <f t="shared" si="0"/>
        <v>56593</v>
      </c>
      <c r="J17" s="327"/>
      <c r="K17" s="2"/>
    </row>
    <row r="18" spans="2:12" ht="6.95" customHeight="1" x14ac:dyDescent="0.45">
      <c r="B18" s="170"/>
      <c r="C18" s="3"/>
      <c r="D18" s="3"/>
      <c r="E18" s="315"/>
      <c r="J18" s="205"/>
    </row>
    <row r="19" spans="2:12" x14ac:dyDescent="0.45">
      <c r="B19" s="170"/>
      <c r="C19" s="179" t="s">
        <v>225</v>
      </c>
      <c r="D19" s="3"/>
      <c r="E19" s="315"/>
      <c r="J19" s="205"/>
    </row>
    <row r="20" spans="2:12" x14ac:dyDescent="0.45">
      <c r="B20" s="170"/>
      <c r="C20" s="179"/>
      <c r="D20" s="3" t="s">
        <v>216</v>
      </c>
      <c r="E20" s="315">
        <v>1458075</v>
      </c>
      <c r="F20" s="2">
        <f>E20</f>
        <v>1458075</v>
      </c>
      <c r="J20" s="205"/>
    </row>
    <row r="21" spans="2:12" x14ac:dyDescent="0.45">
      <c r="B21" s="170"/>
      <c r="C21" s="3"/>
      <c r="D21" s="3" t="s">
        <v>227</v>
      </c>
      <c r="E21" s="315">
        <v>737360</v>
      </c>
      <c r="F21" s="2">
        <f>E21</f>
        <v>737360</v>
      </c>
      <c r="J21" s="205"/>
    </row>
    <row r="22" spans="2:12" ht="6.95" customHeight="1" x14ac:dyDescent="0.45">
      <c r="B22" s="170"/>
      <c r="C22" s="173"/>
      <c r="D22" s="173"/>
      <c r="E22" s="315"/>
      <c r="J22" s="205"/>
    </row>
    <row r="23" spans="2:12" x14ac:dyDescent="0.45">
      <c r="B23" s="170"/>
      <c r="C23" s="179" t="s">
        <v>228</v>
      </c>
      <c r="D23" s="3"/>
      <c r="E23" s="315"/>
      <c r="J23" s="205"/>
    </row>
    <row r="24" spans="2:12" x14ac:dyDescent="0.45">
      <c r="B24" s="170"/>
      <c r="C24" s="179"/>
      <c r="D24" s="3" t="s">
        <v>229</v>
      </c>
      <c r="E24" s="315">
        <v>43860</v>
      </c>
      <c r="F24" s="2">
        <f>E24</f>
        <v>43860</v>
      </c>
      <c r="J24" s="205"/>
    </row>
    <row r="25" spans="2:12" x14ac:dyDescent="0.45">
      <c r="B25" s="170"/>
      <c r="C25" s="179"/>
      <c r="D25" s="3" t="s">
        <v>230</v>
      </c>
      <c r="E25" s="314">
        <v>13053989</v>
      </c>
      <c r="F25" s="2">
        <f>E25</f>
        <v>13053989</v>
      </c>
      <c r="J25" s="205"/>
    </row>
    <row r="26" spans="2:12" x14ac:dyDescent="0.45">
      <c r="B26" s="170"/>
      <c r="C26" s="179"/>
      <c r="D26" s="3" t="s">
        <v>231</v>
      </c>
      <c r="E26" s="315">
        <v>3028410</v>
      </c>
      <c r="H26" s="2">
        <f>E26</f>
        <v>3028410</v>
      </c>
      <c r="J26" s="205"/>
    </row>
    <row r="27" spans="2:12" x14ac:dyDescent="0.45">
      <c r="B27" s="170"/>
      <c r="C27" s="179"/>
      <c r="D27" s="3" t="s">
        <v>234</v>
      </c>
      <c r="E27" s="315">
        <v>454991</v>
      </c>
      <c r="H27" s="2">
        <f>E27</f>
        <v>454991</v>
      </c>
      <c r="J27" s="205"/>
    </row>
    <row r="28" spans="2:12" x14ac:dyDescent="0.45">
      <c r="B28" s="170"/>
      <c r="C28" s="179"/>
      <c r="D28" s="3" t="s">
        <v>235</v>
      </c>
      <c r="E28" s="314">
        <v>3472273</v>
      </c>
      <c r="F28" s="2">
        <f>E28</f>
        <v>3472273</v>
      </c>
      <c r="J28" s="205"/>
    </row>
    <row r="29" spans="2:12" ht="6.95" customHeight="1" x14ac:dyDescent="0.45">
      <c r="B29" s="170"/>
      <c r="C29" s="179"/>
      <c r="E29" s="315"/>
      <c r="J29" s="205"/>
    </row>
    <row r="30" spans="2:12" x14ac:dyDescent="0.45">
      <c r="B30" s="170"/>
      <c r="C30" s="179" t="s">
        <v>236</v>
      </c>
      <c r="E30" s="315"/>
      <c r="J30" s="205"/>
    </row>
    <row r="31" spans="2:12" ht="16.5" x14ac:dyDescent="0.75">
      <c r="B31" s="170"/>
      <c r="C31" s="3"/>
      <c r="D31" s="1" t="s">
        <v>237</v>
      </c>
      <c r="E31" s="328">
        <f>29154+6786+16990+39503+130000+99685</f>
        <v>322118</v>
      </c>
      <c r="F31" s="329">
        <f>$E$31*Mtrx!F32</f>
        <v>177905.69663227547</v>
      </c>
      <c r="G31" s="329">
        <f>81948.5*0.85</f>
        <v>69656.224999999991</v>
      </c>
      <c r="H31" s="329">
        <f>81948.5*0.15</f>
        <v>12292.275</v>
      </c>
      <c r="I31" s="329">
        <f>$E$31*Mtrx!H32</f>
        <v>62222.502137672258</v>
      </c>
      <c r="J31" s="330"/>
      <c r="K31" s="329"/>
      <c r="L31" s="144"/>
    </row>
    <row r="32" spans="2:12" ht="6.95" customHeight="1" x14ac:dyDescent="0.45">
      <c r="B32" s="170"/>
      <c r="C32" s="3"/>
      <c r="D32" s="3"/>
      <c r="E32" s="315"/>
      <c r="J32" s="205"/>
    </row>
    <row r="33" spans="2:12" x14ac:dyDescent="0.45">
      <c r="B33" s="170"/>
      <c r="C33" s="3" t="s">
        <v>64</v>
      </c>
      <c r="E33" s="315">
        <f>SUM(E13:E32)</f>
        <v>23385587</v>
      </c>
      <c r="F33" s="5">
        <f>SUM(F13:F31)</f>
        <v>18943462.696632277</v>
      </c>
      <c r="G33" s="5">
        <f t="shared" ref="G33:I33" si="1">SUM(G13:G31)</f>
        <v>69656.224999999991</v>
      </c>
      <c r="H33" s="5">
        <f t="shared" si="1"/>
        <v>3495693.2749999999</v>
      </c>
      <c r="I33" s="5">
        <f t="shared" si="1"/>
        <v>876733.50213767227</v>
      </c>
      <c r="J33" s="8"/>
      <c r="K33" s="5"/>
      <c r="L33" s="2"/>
    </row>
    <row r="34" spans="2:12" ht="16.5" x14ac:dyDescent="0.75">
      <c r="B34" s="170"/>
      <c r="C34" s="18" t="s">
        <v>314</v>
      </c>
      <c r="E34" s="124">
        <f>I33</f>
        <v>876733.50213767227</v>
      </c>
      <c r="J34" s="333"/>
      <c r="K34" s="332"/>
      <c r="L34" s="202">
        <f>SUM(F38:I38)</f>
        <v>0</v>
      </c>
    </row>
    <row r="35" spans="2:12" x14ac:dyDescent="0.45">
      <c r="B35" s="170"/>
      <c r="C35" s="18" t="s">
        <v>315</v>
      </c>
      <c r="E35" s="331">
        <f>E33-E34</f>
        <v>22508853.497862328</v>
      </c>
      <c r="F35" s="332"/>
      <c r="G35" s="332"/>
      <c r="H35" s="332"/>
      <c r="I35" s="332"/>
      <c r="J35" s="333"/>
      <c r="K35" s="332"/>
      <c r="L35" s="202"/>
    </row>
    <row r="36" spans="2:12" x14ac:dyDescent="0.45">
      <c r="B36" s="170"/>
      <c r="E36" s="331"/>
      <c r="F36" s="332"/>
      <c r="G36" s="332"/>
      <c r="H36" s="332"/>
      <c r="I36" s="332"/>
      <c r="J36" s="333"/>
      <c r="K36" s="332"/>
      <c r="L36" s="202"/>
    </row>
    <row r="37" spans="2:12" x14ac:dyDescent="0.45">
      <c r="B37" s="170"/>
      <c r="C37" s="126" t="s">
        <v>367</v>
      </c>
      <c r="D37" s="126"/>
      <c r="E37" s="331"/>
      <c r="F37" s="332">
        <f>F33/E35</f>
        <v>0.84160051503428834</v>
      </c>
      <c r="G37" s="332">
        <f>G33/E35</f>
        <v>3.0946145260848253E-3</v>
      </c>
      <c r="H37" s="332">
        <f>H33/E35</f>
        <v>0.15530303555141034</v>
      </c>
      <c r="I37" s="332"/>
      <c r="J37" s="333"/>
      <c r="K37" s="332"/>
      <c r="L37" s="202"/>
    </row>
    <row r="38" spans="2:12" x14ac:dyDescent="0.45">
      <c r="B38" s="170"/>
      <c r="C38" s="189"/>
      <c r="E38" s="331"/>
      <c r="F38" s="332"/>
      <c r="G38" s="332"/>
      <c r="H38" s="332"/>
      <c r="I38" s="332"/>
      <c r="J38" s="333"/>
      <c r="K38" s="332"/>
      <c r="L38" s="202"/>
    </row>
    <row r="39" spans="2:12" x14ac:dyDescent="0.45">
      <c r="B39" s="170"/>
      <c r="C39" s="338" t="s">
        <v>360</v>
      </c>
      <c r="E39" s="334">
        <f>Debt!M21+Debt!M23</f>
        <v>606147.9264</v>
      </c>
      <c r="F39" s="335">
        <f>F37*$E$39</f>
        <v>510134.40704520588</v>
      </c>
      <c r="G39" s="335">
        <f t="shared" ref="G39:H39" si="2">G37*$E$39</f>
        <v>1875.7941779936355</v>
      </c>
      <c r="H39" s="335">
        <f t="shared" si="2"/>
        <v>94136.612963112857</v>
      </c>
      <c r="I39" s="335"/>
      <c r="J39" s="8"/>
      <c r="K39" s="5"/>
      <c r="L39" s="6">
        <f>SUM(F39:I39)</f>
        <v>606146.81418631237</v>
      </c>
    </row>
    <row r="40" spans="2:12" x14ac:dyDescent="0.45">
      <c r="B40" s="193"/>
      <c r="C40" s="336"/>
      <c r="D40" s="154"/>
      <c r="E40" s="337"/>
      <c r="F40" s="4"/>
      <c r="G40" s="4"/>
      <c r="H40" s="4"/>
      <c r="I40" s="4"/>
      <c r="J40" s="9"/>
      <c r="K40" s="5"/>
      <c r="L40" s="2"/>
    </row>
    <row r="41" spans="2:12" x14ac:dyDescent="0.45">
      <c r="C41" s="189"/>
      <c r="E41" s="331"/>
      <c r="F41" s="5"/>
      <c r="G41" s="6"/>
      <c r="H41" s="6"/>
      <c r="I41" s="6"/>
      <c r="J41" s="6"/>
      <c r="K41" s="6"/>
      <c r="L41" s="2"/>
    </row>
    <row r="42" spans="2:12" x14ac:dyDescent="0.45">
      <c r="C42" s="189"/>
      <c r="E42" s="331"/>
      <c r="F42" s="5"/>
      <c r="G42" s="6"/>
      <c r="H42" s="6"/>
      <c r="I42" s="6"/>
      <c r="J42" s="6"/>
      <c r="K42" s="6"/>
      <c r="L42" s="2"/>
    </row>
    <row r="43" spans="2:12" x14ac:dyDescent="0.45">
      <c r="C43" s="3"/>
      <c r="D43" s="3"/>
      <c r="E43" s="315"/>
    </row>
    <row r="44" spans="2:12" x14ac:dyDescent="0.45">
      <c r="C44" s="3"/>
      <c r="D44" s="3"/>
      <c r="E44" s="315"/>
    </row>
  </sheetData>
  <mergeCells count="3">
    <mergeCell ref="G8:H8"/>
    <mergeCell ref="C3:I3"/>
    <mergeCell ref="C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E0CF-A783-49F0-A7EC-36A58059A84F}">
  <dimension ref="A1:M40"/>
  <sheetViews>
    <sheetView topLeftCell="A22" workbookViewId="0">
      <selection activeCell="I39" sqref="A1:I39"/>
    </sheetView>
  </sheetViews>
  <sheetFormatPr defaultRowHeight="15" x14ac:dyDescent="0.4"/>
  <cols>
    <col min="1" max="1" width="4.109375" customWidth="1"/>
    <col min="2" max="2" width="1.77734375" customWidth="1"/>
    <col min="3" max="3" width="26.109375" customWidth="1"/>
    <col min="4" max="4" width="11" bestFit="1" customWidth="1"/>
    <col min="6" max="6" width="9" bestFit="1" customWidth="1"/>
    <col min="7" max="7" width="9" customWidth="1"/>
    <col min="8" max="8" width="9" bestFit="1" customWidth="1"/>
    <col min="9" max="9" width="1.77734375" customWidth="1"/>
  </cols>
  <sheetData>
    <row r="1" spans="1:13" ht="15.4" x14ac:dyDescent="0.45">
      <c r="A1" s="12"/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</row>
    <row r="2" spans="1:13" ht="15.4" x14ac:dyDescent="0.45">
      <c r="A2" s="12"/>
      <c r="B2" s="38"/>
      <c r="C2" s="39"/>
      <c r="D2" s="39"/>
      <c r="E2" s="39"/>
      <c r="F2" s="39"/>
      <c r="G2" s="39"/>
      <c r="H2" s="40"/>
      <c r="I2" s="18"/>
      <c r="K2" s="12"/>
      <c r="L2" s="12"/>
      <c r="M2" s="12"/>
    </row>
    <row r="3" spans="1:13" ht="18" x14ac:dyDescent="0.55000000000000004">
      <c r="A3" s="12"/>
      <c r="B3" s="14"/>
      <c r="C3" s="468" t="s">
        <v>398</v>
      </c>
      <c r="D3" s="468"/>
      <c r="E3" s="468"/>
      <c r="F3" s="468"/>
      <c r="G3" s="468"/>
      <c r="H3" s="476"/>
      <c r="I3" s="18"/>
      <c r="K3" s="12"/>
      <c r="L3" s="12"/>
      <c r="M3" s="12"/>
    </row>
    <row r="4" spans="1:13" ht="18" x14ac:dyDescent="0.55000000000000004">
      <c r="A4" s="12"/>
      <c r="B4" s="14"/>
      <c r="C4" s="484" t="s">
        <v>363</v>
      </c>
      <c r="D4" s="484"/>
      <c r="E4" s="484"/>
      <c r="F4" s="484"/>
      <c r="G4" s="484"/>
      <c r="H4" s="485"/>
      <c r="I4" s="18"/>
      <c r="K4" s="12"/>
      <c r="L4" s="12"/>
      <c r="M4" s="12"/>
    </row>
    <row r="5" spans="1:13" ht="15.75" x14ac:dyDescent="0.45">
      <c r="A5" s="12"/>
      <c r="B5" s="14"/>
      <c r="C5" s="491" t="s">
        <v>179</v>
      </c>
      <c r="D5" s="491"/>
      <c r="E5" s="491"/>
      <c r="F5" s="491"/>
      <c r="G5" s="491"/>
      <c r="H5" s="493"/>
      <c r="I5" s="18"/>
      <c r="K5" s="12"/>
      <c r="L5" s="12"/>
      <c r="M5" s="12"/>
    </row>
    <row r="6" spans="1:13" ht="15.75" x14ac:dyDescent="0.45">
      <c r="A6" s="12"/>
      <c r="B6" s="239"/>
      <c r="C6" s="240"/>
      <c r="D6" s="240"/>
      <c r="E6" s="240"/>
      <c r="F6" s="240"/>
      <c r="G6" s="240"/>
      <c r="H6" s="249"/>
      <c r="I6" s="18"/>
      <c r="K6" s="12"/>
      <c r="L6" s="12"/>
      <c r="M6" s="12"/>
    </row>
    <row r="7" spans="1:13" ht="15.75" x14ac:dyDescent="0.45">
      <c r="A7" s="12"/>
      <c r="B7" s="14"/>
      <c r="C7" s="238"/>
      <c r="D7" s="238"/>
      <c r="E7" s="238"/>
      <c r="F7" s="238"/>
      <c r="G7" s="238"/>
      <c r="H7" s="247"/>
      <c r="I7" s="14"/>
      <c r="K7" s="12"/>
      <c r="L7" s="12"/>
      <c r="M7" s="12"/>
    </row>
    <row r="8" spans="1:13" ht="17.649999999999999" x14ac:dyDescent="0.75">
      <c r="A8" s="12"/>
      <c r="B8" s="14"/>
      <c r="C8" s="18"/>
      <c r="D8" s="18"/>
      <c r="E8" s="18"/>
      <c r="F8" s="494" t="s">
        <v>256</v>
      </c>
      <c r="G8" s="494"/>
      <c r="H8" s="33"/>
      <c r="I8" s="14"/>
      <c r="K8" s="12"/>
      <c r="L8" s="12"/>
      <c r="M8" s="12"/>
    </row>
    <row r="9" spans="1:13" ht="15.4" x14ac:dyDescent="0.45">
      <c r="A9" s="12"/>
      <c r="B9" s="14"/>
      <c r="C9" s="18"/>
      <c r="D9" s="242" t="s">
        <v>13</v>
      </c>
      <c r="E9" s="242"/>
      <c r="F9" s="159" t="s">
        <v>296</v>
      </c>
      <c r="G9" s="159" t="s">
        <v>297</v>
      </c>
      <c r="H9" s="251" t="s">
        <v>298</v>
      </c>
      <c r="I9" s="14"/>
      <c r="K9" s="12"/>
      <c r="L9" s="12"/>
      <c r="M9" s="12"/>
    </row>
    <row r="10" spans="1:13" ht="17.649999999999999" x14ac:dyDescent="0.75">
      <c r="A10" s="12"/>
      <c r="B10" s="14"/>
      <c r="C10" s="18"/>
      <c r="D10" s="242" t="s">
        <v>299</v>
      </c>
      <c r="E10" s="242" t="s">
        <v>300</v>
      </c>
      <c r="F10" s="282" t="s">
        <v>301</v>
      </c>
      <c r="G10" s="282" t="s">
        <v>234</v>
      </c>
      <c r="H10" s="251" t="s">
        <v>302</v>
      </c>
      <c r="I10" s="14"/>
      <c r="K10" s="12"/>
      <c r="L10" s="12"/>
      <c r="M10" s="12"/>
    </row>
    <row r="11" spans="1:13" ht="15.4" x14ac:dyDescent="0.45">
      <c r="A11" s="12"/>
      <c r="B11" s="14"/>
      <c r="C11" s="207" t="s">
        <v>303</v>
      </c>
      <c r="D11" s="18">
        <f>Mtrx!C31</f>
        <v>754829.51875000005</v>
      </c>
      <c r="E11" s="18">
        <f>Mtrx!F31</f>
        <v>416892.16800000001</v>
      </c>
      <c r="F11" s="18">
        <f>0.85*Mtrx!G31</f>
        <v>163309.9492</v>
      </c>
      <c r="G11" s="18">
        <f>0.15*Mtrx!G31</f>
        <v>28819.4028</v>
      </c>
      <c r="H11" s="33">
        <f>Mtrx!H31</f>
        <v>145808</v>
      </c>
      <c r="I11" s="14"/>
      <c r="L11" s="12">
        <f t="shared" ref="L11:L27" si="0">SUM(E11:H11)</f>
        <v>754829.52</v>
      </c>
      <c r="M11" s="12">
        <f>D11-L11</f>
        <v>-1.2499999720603228E-3</v>
      </c>
    </row>
    <row r="12" spans="1:13" ht="15.4" x14ac:dyDescent="0.45">
      <c r="A12" s="12"/>
      <c r="B12" s="14"/>
      <c r="C12" s="207" t="s">
        <v>304</v>
      </c>
      <c r="D12" s="18">
        <f>Mtrx!C34</f>
        <v>241620.95738437504</v>
      </c>
      <c r="E12" s="18">
        <f>Mtrx!F34</f>
        <v>133447.19868006316</v>
      </c>
      <c r="F12" s="18">
        <f>0.85*Mtrx!G34</f>
        <v>52275.520890388674</v>
      </c>
      <c r="G12" s="18">
        <f>0.15*Mtrx!G34</f>
        <v>9225.0919218332947</v>
      </c>
      <c r="H12" s="33">
        <f>Mtrx!H34</f>
        <v>46673.146292214944</v>
      </c>
      <c r="I12" s="14"/>
      <c r="L12" s="12">
        <f t="shared" si="0"/>
        <v>241620.95778450006</v>
      </c>
      <c r="M12" s="12">
        <f t="shared" ref="M12:M29" si="1">D12-L12</f>
        <v>-4.0012501995079219E-4</v>
      </c>
    </row>
    <row r="13" spans="1:13" ht="15.4" x14ac:dyDescent="0.45">
      <c r="A13" s="12"/>
      <c r="B13" s="14"/>
      <c r="C13" s="18" t="s">
        <v>305</v>
      </c>
      <c r="D13" s="18">
        <f>Mtrx!C33</f>
        <v>30000</v>
      </c>
      <c r="E13" s="18"/>
      <c r="F13" s="18"/>
      <c r="G13" s="18"/>
      <c r="H13" s="33">
        <f>D13</f>
        <v>30000</v>
      </c>
      <c r="I13" s="14"/>
      <c r="L13" s="12">
        <f t="shared" si="0"/>
        <v>30000</v>
      </c>
      <c r="M13" s="12">
        <f t="shared" si="1"/>
        <v>0</v>
      </c>
    </row>
    <row r="14" spans="1:13" ht="15.4" x14ac:dyDescent="0.45">
      <c r="A14" s="12"/>
      <c r="B14" s="14"/>
      <c r="C14" s="18" t="s">
        <v>5</v>
      </c>
      <c r="D14" s="18">
        <f>Mtrx!C35</f>
        <v>796039.64545874821</v>
      </c>
      <c r="E14" s="18">
        <f>D14</f>
        <v>796039.64545874821</v>
      </c>
      <c r="F14" s="18"/>
      <c r="G14" s="18"/>
      <c r="H14" s="33"/>
      <c r="I14" s="14"/>
      <c r="L14" s="12">
        <f t="shared" si="0"/>
        <v>796039.64545874821</v>
      </c>
      <c r="M14" s="12">
        <f t="shared" si="1"/>
        <v>0</v>
      </c>
    </row>
    <row r="15" spans="1:13" ht="15.4" x14ac:dyDescent="0.45">
      <c r="A15" s="12"/>
      <c r="B15" s="14"/>
      <c r="C15" s="18" t="s">
        <v>6</v>
      </c>
      <c r="D15" s="18">
        <f>Mtrx!C36</f>
        <v>67451.924942449245</v>
      </c>
      <c r="E15" s="18">
        <f>D15</f>
        <v>67451.924942449245</v>
      </c>
      <c r="F15" s="18"/>
      <c r="G15" s="18"/>
      <c r="H15" s="33"/>
      <c r="I15" s="14"/>
      <c r="L15" s="12">
        <f t="shared" si="0"/>
        <v>67451.924942449245</v>
      </c>
      <c r="M15" s="12">
        <f t="shared" si="1"/>
        <v>0</v>
      </c>
    </row>
    <row r="16" spans="1:13" ht="15.4" x14ac:dyDescent="0.45">
      <c r="A16" s="12"/>
      <c r="B16" s="14"/>
      <c r="C16" s="18" t="s">
        <v>306</v>
      </c>
      <c r="D16" s="18">
        <f>Mtrx!C38</f>
        <v>95609</v>
      </c>
      <c r="E16" s="18">
        <f>Mtrx!F38</f>
        <v>44318</v>
      </c>
      <c r="F16" s="18">
        <f>Mtrx!G38*0.85</f>
        <v>10102.25</v>
      </c>
      <c r="G16" s="18">
        <f>Mtrx!G38*0.15</f>
        <v>1782.75</v>
      </c>
      <c r="H16" s="33">
        <f>Mtrx!H38</f>
        <v>39406</v>
      </c>
      <c r="I16" s="14"/>
      <c r="L16" s="12">
        <f t="shared" si="0"/>
        <v>95609</v>
      </c>
      <c r="M16" s="12">
        <f t="shared" si="1"/>
        <v>0</v>
      </c>
    </row>
    <row r="17" spans="1:13" ht="15.4" x14ac:dyDescent="0.45">
      <c r="A17" s="12"/>
      <c r="B17" s="14"/>
      <c r="C17" s="207" t="s">
        <v>350</v>
      </c>
      <c r="D17" s="18">
        <f>Mtrx!C39</f>
        <v>18880</v>
      </c>
      <c r="E17" s="18">
        <f>D17</f>
        <v>18880</v>
      </c>
      <c r="F17" s="18"/>
      <c r="G17" s="18"/>
      <c r="H17" s="33"/>
      <c r="I17" s="14"/>
      <c r="L17" s="12">
        <f t="shared" si="0"/>
        <v>18880</v>
      </c>
      <c r="M17" s="12">
        <f t="shared" si="1"/>
        <v>0</v>
      </c>
    </row>
    <row r="18" spans="1:13" ht="15.4" x14ac:dyDescent="0.45">
      <c r="A18" s="12"/>
      <c r="B18" s="14"/>
      <c r="C18" s="207" t="s">
        <v>307</v>
      </c>
      <c r="D18" s="18">
        <f>Mtrx!C40+Mtrx!C41</f>
        <v>48877</v>
      </c>
      <c r="E18" s="18"/>
      <c r="F18" s="18"/>
      <c r="G18" s="18"/>
      <c r="H18" s="33">
        <f>D18</f>
        <v>48877</v>
      </c>
      <c r="I18" s="14"/>
      <c r="L18" s="12">
        <f t="shared" si="0"/>
        <v>48877</v>
      </c>
      <c r="M18" s="12">
        <f t="shared" si="1"/>
        <v>0</v>
      </c>
    </row>
    <row r="19" spans="1:13" ht="15.4" x14ac:dyDescent="0.45">
      <c r="A19" s="12"/>
      <c r="B19" s="14"/>
      <c r="C19" s="207" t="s">
        <v>308</v>
      </c>
      <c r="D19" s="18">
        <f>Mtrx!C42</f>
        <v>128626</v>
      </c>
      <c r="E19" s="18">
        <f>Mtrx!F42</f>
        <v>16940</v>
      </c>
      <c r="F19" s="18"/>
      <c r="G19" s="18"/>
      <c r="H19" s="33">
        <f>Mtrx!H42</f>
        <v>111686</v>
      </c>
      <c r="I19" s="14"/>
      <c r="L19" s="12">
        <f t="shared" si="0"/>
        <v>128626</v>
      </c>
      <c r="M19" s="12">
        <f t="shared" si="1"/>
        <v>0</v>
      </c>
    </row>
    <row r="20" spans="1:13" ht="15.4" x14ac:dyDescent="0.45">
      <c r="A20" s="12"/>
      <c r="B20" s="14"/>
      <c r="C20" s="207" t="s">
        <v>309</v>
      </c>
      <c r="D20" s="18">
        <f>Mtrx!C43</f>
        <v>11240</v>
      </c>
      <c r="E20" s="18"/>
      <c r="F20" s="18">
        <f>D20</f>
        <v>11240</v>
      </c>
      <c r="G20" s="18"/>
      <c r="H20" s="33"/>
      <c r="I20" s="14"/>
      <c r="L20" s="12">
        <f t="shared" si="0"/>
        <v>11240</v>
      </c>
      <c r="M20" s="12">
        <f t="shared" si="1"/>
        <v>0</v>
      </c>
    </row>
    <row r="21" spans="1:13" ht="15.4" x14ac:dyDescent="0.45">
      <c r="A21" s="12"/>
      <c r="B21" s="14"/>
      <c r="C21" s="18" t="s">
        <v>310</v>
      </c>
      <c r="D21" s="18">
        <f>Mtrx!C44</f>
        <v>106837</v>
      </c>
      <c r="E21" s="18">
        <f>Mtrx!F44</f>
        <v>96153.3</v>
      </c>
      <c r="F21" s="18">
        <f>Mtrx!G44*0.85</f>
        <v>9081.1450000000004</v>
      </c>
      <c r="G21" s="18">
        <f>Mtrx!G44*0.15</f>
        <v>1602.5550000000001</v>
      </c>
      <c r="H21" s="33"/>
      <c r="I21" s="14"/>
      <c r="L21" s="12">
        <f t="shared" si="0"/>
        <v>106837</v>
      </c>
      <c r="M21" s="12">
        <f t="shared" si="1"/>
        <v>0</v>
      </c>
    </row>
    <row r="22" spans="1:13" ht="15.4" x14ac:dyDescent="0.45">
      <c r="A22" s="12"/>
      <c r="B22" s="14"/>
      <c r="C22" s="18" t="s">
        <v>311</v>
      </c>
      <c r="D22" s="18">
        <f>Mtrx!C46</f>
        <v>15828</v>
      </c>
      <c r="E22" s="18"/>
      <c r="F22" s="18"/>
      <c r="G22" s="18"/>
      <c r="H22" s="33">
        <f>D22</f>
        <v>15828</v>
      </c>
      <c r="I22" s="14"/>
      <c r="L22" s="12">
        <f t="shared" si="0"/>
        <v>15828</v>
      </c>
      <c r="M22" s="12">
        <f t="shared" si="1"/>
        <v>0</v>
      </c>
    </row>
    <row r="23" spans="1:13" ht="15.4" x14ac:dyDescent="0.45">
      <c r="A23" s="12"/>
      <c r="B23" s="14"/>
      <c r="C23" s="18" t="s">
        <v>312</v>
      </c>
      <c r="D23" s="18">
        <f>Mtrx!C47</f>
        <v>11681</v>
      </c>
      <c r="E23" s="18"/>
      <c r="F23" s="18"/>
      <c r="G23" s="18"/>
      <c r="H23" s="33">
        <f t="shared" ref="H23:H26" si="2">D23</f>
        <v>11681</v>
      </c>
      <c r="I23" s="14"/>
      <c r="L23" s="12">
        <f t="shared" si="0"/>
        <v>11681</v>
      </c>
      <c r="M23" s="12">
        <f t="shared" si="1"/>
        <v>0</v>
      </c>
    </row>
    <row r="24" spans="1:13" ht="15.4" x14ac:dyDescent="0.45">
      <c r="A24" s="12"/>
      <c r="B24" s="14"/>
      <c r="C24" s="18" t="s">
        <v>52</v>
      </c>
      <c r="D24" s="18">
        <f>Mtrx!C48</f>
        <v>14052</v>
      </c>
      <c r="E24" s="18"/>
      <c r="F24" s="18"/>
      <c r="G24" s="18"/>
      <c r="H24" s="33">
        <f t="shared" si="2"/>
        <v>14052</v>
      </c>
      <c r="I24" s="14"/>
      <c r="L24" s="12">
        <f t="shared" si="0"/>
        <v>14052</v>
      </c>
      <c r="M24" s="12">
        <f t="shared" si="1"/>
        <v>0</v>
      </c>
    </row>
    <row r="25" spans="1:13" ht="15.4" x14ac:dyDescent="0.45">
      <c r="A25" s="12"/>
      <c r="B25" s="14"/>
      <c r="C25" s="18" t="s">
        <v>281</v>
      </c>
      <c r="D25" s="18">
        <f>Mtrx!C49</f>
        <v>2035</v>
      </c>
      <c r="E25" s="18"/>
      <c r="F25" s="18"/>
      <c r="G25" s="18"/>
      <c r="H25" s="33">
        <f t="shared" si="2"/>
        <v>2035</v>
      </c>
      <c r="I25" s="14"/>
      <c r="L25" s="12">
        <f t="shared" si="0"/>
        <v>2035</v>
      </c>
      <c r="M25" s="12">
        <f t="shared" si="1"/>
        <v>0</v>
      </c>
    </row>
    <row r="26" spans="1:13" ht="15.4" x14ac:dyDescent="0.45">
      <c r="A26" s="12"/>
      <c r="B26" s="14"/>
      <c r="C26" s="18" t="s">
        <v>313</v>
      </c>
      <c r="D26" s="18">
        <f>Mtrx!C50</f>
        <v>16409</v>
      </c>
      <c r="E26" s="18"/>
      <c r="F26" s="18"/>
      <c r="G26" s="18"/>
      <c r="H26" s="33">
        <f t="shared" si="2"/>
        <v>16409</v>
      </c>
      <c r="I26" s="14"/>
      <c r="L26" s="12">
        <f t="shared" si="0"/>
        <v>16409</v>
      </c>
      <c r="M26" s="12">
        <f t="shared" si="1"/>
        <v>0</v>
      </c>
    </row>
    <row r="27" spans="1:13" ht="17.649999999999999" x14ac:dyDescent="0.75">
      <c r="A27" s="12"/>
      <c r="B27" s="14"/>
      <c r="C27" s="18" t="s">
        <v>205</v>
      </c>
      <c r="D27" s="243">
        <f>Mtrx!C52</f>
        <v>656010.99963492074</v>
      </c>
      <c r="E27" s="243">
        <f>(Depr!J37*Mtrx!M31)+SUM(Depr!J23:J34)</f>
        <v>607421.03971604502</v>
      </c>
      <c r="F27" s="243">
        <f>Depr!J37*Mtrx!N31*0.85</f>
        <v>12339.482851679295</v>
      </c>
      <c r="G27" s="243">
        <f>Depr!J37*Mtrx!N31*0.15</f>
        <v>2177.5557973551695</v>
      </c>
      <c r="H27" s="252">
        <f>SUM(Depr!J12:J16)</f>
        <v>34072.921269841274</v>
      </c>
      <c r="I27" s="14"/>
      <c r="L27" s="12">
        <f t="shared" si="0"/>
        <v>656010.99963492074</v>
      </c>
      <c r="M27" s="12">
        <f t="shared" si="1"/>
        <v>0</v>
      </c>
    </row>
    <row r="28" spans="1:13" ht="6.95" customHeight="1" x14ac:dyDescent="0.45">
      <c r="A28" s="12"/>
      <c r="B28" s="14"/>
      <c r="C28" s="18"/>
      <c r="D28" s="18"/>
      <c r="E28" s="18"/>
      <c r="F28" s="18"/>
      <c r="G28" s="18"/>
      <c r="H28" s="33"/>
      <c r="I28" s="14"/>
      <c r="K28" s="12"/>
      <c r="L28" s="12"/>
      <c r="M28" s="12">
        <f t="shared" si="1"/>
        <v>0</v>
      </c>
    </row>
    <row r="29" spans="1:13" ht="15.4" x14ac:dyDescent="0.45">
      <c r="A29" s="12"/>
      <c r="B29" s="14"/>
      <c r="C29" s="18" t="s">
        <v>157</v>
      </c>
      <c r="D29" s="18">
        <f>SUM(D11:D28)</f>
        <v>3016027.0461704931</v>
      </c>
      <c r="E29" s="18">
        <f>SUM(E11:E28)</f>
        <v>2197543.2767973058</v>
      </c>
      <c r="F29" s="18">
        <f>SUM(F11:F28)</f>
        <v>258348.34794206795</v>
      </c>
      <c r="G29" s="18">
        <f>SUM(G11:G28)</f>
        <v>43607.355519188466</v>
      </c>
      <c r="H29" s="33">
        <f>SUM(H11:H28)</f>
        <v>516528.06756205624</v>
      </c>
      <c r="I29" s="14"/>
      <c r="K29" s="12"/>
      <c r="L29" s="12">
        <f>E29+F29+G29+H29</f>
        <v>3016027.0478206184</v>
      </c>
      <c r="M29" s="12">
        <f t="shared" si="1"/>
        <v>-1.6501252539455891E-3</v>
      </c>
    </row>
    <row r="30" spans="1:13" ht="17.649999999999999" x14ac:dyDescent="0.75">
      <c r="A30" s="12"/>
      <c r="B30" s="14"/>
      <c r="C30" s="18" t="s">
        <v>314</v>
      </c>
      <c r="D30" s="243">
        <f>H29</f>
        <v>516528.06756205624</v>
      </c>
      <c r="E30" s="18"/>
      <c r="F30" s="18"/>
      <c r="G30" s="18"/>
      <c r="H30" s="33"/>
      <c r="I30" s="14"/>
      <c r="K30" s="12"/>
      <c r="L30" s="12"/>
      <c r="M30" s="12"/>
    </row>
    <row r="31" spans="1:13" ht="15.4" x14ac:dyDescent="0.45">
      <c r="A31" s="12"/>
      <c r="B31" s="14"/>
      <c r="C31" s="18" t="s">
        <v>315</v>
      </c>
      <c r="D31" s="18">
        <f>+D29-D30</f>
        <v>2499498.9786084369</v>
      </c>
      <c r="E31" s="18"/>
      <c r="F31" s="18"/>
      <c r="G31" s="18"/>
      <c r="H31" s="33"/>
      <c r="I31" s="14"/>
      <c r="K31" s="12"/>
      <c r="L31" s="12">
        <f>F29+G29</f>
        <v>301955.7034612564</v>
      </c>
      <c r="M31" s="12"/>
    </row>
    <row r="32" spans="1:13" ht="6.95" customHeight="1" x14ac:dyDescent="0.45">
      <c r="A32" s="12"/>
      <c r="B32" s="14"/>
      <c r="C32" s="18"/>
      <c r="D32" s="18"/>
      <c r="E32" s="18"/>
      <c r="F32" s="18"/>
      <c r="G32" s="18"/>
      <c r="H32" s="33"/>
      <c r="I32" s="14"/>
      <c r="K32" s="12"/>
      <c r="L32" s="12"/>
      <c r="M32" s="12"/>
    </row>
    <row r="33" spans="1:13" ht="15.4" x14ac:dyDescent="0.45">
      <c r="A33" s="12"/>
      <c r="B33" s="14"/>
      <c r="C33" s="18" t="s">
        <v>316</v>
      </c>
      <c r="D33" s="244">
        <f>SUM(E33:G33)</f>
        <v>1.0000000006601826</v>
      </c>
      <c r="E33" s="244">
        <f>E29/$D$31</f>
        <v>0.87919350862097934</v>
      </c>
      <c r="F33" s="244">
        <f>F29/$D$31</f>
        <v>0.10336005341594498</v>
      </c>
      <c r="G33" s="244">
        <f>G29/$D$31</f>
        <v>1.7446438623258124E-2</v>
      </c>
      <c r="H33" s="33"/>
      <c r="I33" s="14"/>
      <c r="K33" s="245"/>
      <c r="L33" s="12"/>
      <c r="M33" s="12"/>
    </row>
    <row r="34" spans="1:13" ht="6.95" customHeight="1" x14ac:dyDescent="0.45">
      <c r="A34" s="12"/>
      <c r="B34" s="14"/>
      <c r="C34" s="18"/>
      <c r="D34" s="18"/>
      <c r="E34" s="18"/>
      <c r="F34" s="18"/>
      <c r="G34" s="18"/>
      <c r="H34" s="33"/>
      <c r="I34" s="14"/>
      <c r="K34" s="12"/>
      <c r="L34" s="12"/>
      <c r="M34" s="12"/>
    </row>
    <row r="35" spans="1:13" ht="15.4" x14ac:dyDescent="0.45">
      <c r="A35" s="12"/>
      <c r="B35" s="14"/>
      <c r="C35" s="18" t="s">
        <v>317</v>
      </c>
      <c r="D35" s="18">
        <f>SUM(E35:G35)</f>
        <v>516528.06790305901</v>
      </c>
      <c r="E35" s="18">
        <f>E33*$H$29</f>
        <v>454128.12402109848</v>
      </c>
      <c r="F35" s="18">
        <f>F33*$H$29</f>
        <v>53388.368654048973</v>
      </c>
      <c r="G35" s="18">
        <f>G33*$H$29</f>
        <v>9011.5752279115404</v>
      </c>
      <c r="H35" s="33"/>
      <c r="I35" s="14"/>
      <c r="K35" s="12"/>
      <c r="L35" s="12">
        <f>SUM(E35:G35)</f>
        <v>516528.06790305901</v>
      </c>
      <c r="M35" s="12"/>
    </row>
    <row r="36" spans="1:13" ht="6.95" customHeight="1" x14ac:dyDescent="0.45">
      <c r="A36" s="12"/>
      <c r="B36" s="14"/>
      <c r="C36" s="18"/>
      <c r="D36" s="18"/>
      <c r="E36" s="18"/>
      <c r="F36" s="18"/>
      <c r="G36" s="18"/>
      <c r="H36" s="33"/>
      <c r="I36" s="14"/>
      <c r="K36" s="12"/>
      <c r="L36" s="12"/>
      <c r="M36" s="12"/>
    </row>
    <row r="37" spans="1:13" ht="15.4" x14ac:dyDescent="0.45">
      <c r="A37" s="12"/>
      <c r="B37" s="14"/>
      <c r="C37" s="18" t="s">
        <v>318</v>
      </c>
      <c r="D37" s="131">
        <f>D35+D31</f>
        <v>3016027.046511496</v>
      </c>
      <c r="E37" s="83">
        <f>E35+E29</f>
        <v>2651671.4008184043</v>
      </c>
      <c r="F37" s="83">
        <f>F35+F29</f>
        <v>311736.71659611689</v>
      </c>
      <c r="G37" s="83">
        <f>G35+G29</f>
        <v>52618.930747100007</v>
      </c>
      <c r="H37" s="33"/>
      <c r="I37" s="14"/>
      <c r="K37" s="12">
        <f>SUM(E37:G37)</f>
        <v>3016027.0481616212</v>
      </c>
      <c r="L37" s="12"/>
      <c r="M37" s="12"/>
    </row>
    <row r="38" spans="1:13" ht="15.4" x14ac:dyDescent="0.45">
      <c r="A38" s="12"/>
      <c r="B38" s="239"/>
      <c r="C38" s="17"/>
      <c r="D38" s="17"/>
      <c r="E38" s="17"/>
      <c r="F38" s="17"/>
      <c r="G38" s="17"/>
      <c r="H38" s="32"/>
      <c r="I38" s="14"/>
      <c r="K38" s="12"/>
      <c r="L38" s="12"/>
      <c r="M38" s="12"/>
    </row>
    <row r="39" spans="1:13" ht="15.4" x14ac:dyDescent="0.45">
      <c r="A39" s="12"/>
      <c r="B39" s="12"/>
      <c r="C39" s="12"/>
      <c r="D39" s="12"/>
      <c r="E39" s="12"/>
      <c r="F39" s="12"/>
      <c r="G39" s="12"/>
      <c r="H39" s="12"/>
      <c r="I39" s="12"/>
      <c r="K39" s="12"/>
      <c r="L39" s="12"/>
      <c r="M39" s="12"/>
    </row>
    <row r="40" spans="1:13" ht="15.4" x14ac:dyDescent="0.45">
      <c r="A40" s="12"/>
      <c r="B40" s="12"/>
      <c r="C40" s="12"/>
      <c r="D40" s="12"/>
      <c r="E40" s="12"/>
      <c r="F40" s="12"/>
      <c r="G40" s="12"/>
      <c r="H40" s="12"/>
      <c r="I40" s="12"/>
      <c r="K40" s="12"/>
      <c r="L40" s="12"/>
      <c r="M40" s="12"/>
    </row>
  </sheetData>
  <mergeCells count="4">
    <mergeCell ref="C3:H3"/>
    <mergeCell ref="C4:H4"/>
    <mergeCell ref="C5:H5"/>
    <mergeCell ref="F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37B1-1ED9-4972-B312-4E5DA4A5CBB0}">
  <dimension ref="A1:K26"/>
  <sheetViews>
    <sheetView workbookViewId="0">
      <selection activeCell="I26" sqref="A1:I26"/>
    </sheetView>
  </sheetViews>
  <sheetFormatPr defaultRowHeight="15" x14ac:dyDescent="0.4"/>
  <cols>
    <col min="1" max="1" width="2.609375" customWidth="1"/>
    <col min="2" max="2" width="1.77734375" customWidth="1"/>
    <col min="3" max="3" width="27.33203125" customWidth="1"/>
    <col min="4" max="4" width="10.109375" customWidth="1"/>
    <col min="5" max="5" width="9.33203125" customWidth="1"/>
    <col min="8" max="8" width="1.77734375" customWidth="1"/>
    <col min="9" max="9" width="2.609375" customWidth="1"/>
  </cols>
  <sheetData>
    <row r="1" spans="1:11" ht="15.4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4" x14ac:dyDescent="0.45">
      <c r="A2" s="12"/>
      <c r="B2" s="38"/>
      <c r="C2" s="39"/>
      <c r="D2" s="39"/>
      <c r="E2" s="39"/>
      <c r="F2" s="39"/>
      <c r="G2" s="39"/>
      <c r="H2" s="40"/>
      <c r="I2" s="12"/>
      <c r="J2" s="12"/>
      <c r="K2" s="12"/>
    </row>
    <row r="3" spans="1:11" ht="18" x14ac:dyDescent="0.55000000000000004">
      <c r="A3" s="14"/>
      <c r="B3" s="14"/>
      <c r="C3" s="468" t="s">
        <v>399</v>
      </c>
      <c r="D3" s="468"/>
      <c r="E3" s="468"/>
      <c r="F3" s="468"/>
      <c r="G3" s="468"/>
      <c r="H3" s="246"/>
      <c r="I3" s="220"/>
      <c r="J3" s="12"/>
      <c r="K3" s="12"/>
    </row>
    <row r="4" spans="1:11" ht="18" x14ac:dyDescent="0.55000000000000004">
      <c r="A4" s="14"/>
      <c r="B4" s="14"/>
      <c r="C4" s="484" t="s">
        <v>364</v>
      </c>
      <c r="D4" s="484"/>
      <c r="E4" s="484"/>
      <c r="F4" s="484"/>
      <c r="G4" s="484"/>
      <c r="H4" s="222"/>
      <c r="I4" s="221"/>
      <c r="J4" s="12"/>
      <c r="K4" s="12"/>
    </row>
    <row r="5" spans="1:11" ht="18" x14ac:dyDescent="0.45">
      <c r="A5" s="14"/>
      <c r="B5" s="14"/>
      <c r="C5" s="491" t="s">
        <v>179</v>
      </c>
      <c r="D5" s="491"/>
      <c r="E5" s="491"/>
      <c r="F5" s="491"/>
      <c r="G5" s="491"/>
      <c r="H5" s="247"/>
      <c r="I5" s="248"/>
      <c r="J5" s="12"/>
      <c r="K5" s="12"/>
    </row>
    <row r="6" spans="1:11" ht="18" x14ac:dyDescent="0.45">
      <c r="A6" s="18"/>
      <c r="B6" s="239"/>
      <c r="C6" s="240"/>
      <c r="D6" s="240"/>
      <c r="E6" s="240"/>
      <c r="F6" s="240"/>
      <c r="G6" s="240"/>
      <c r="H6" s="249"/>
      <c r="I6" s="248"/>
      <c r="J6" s="12"/>
      <c r="K6" s="12"/>
    </row>
    <row r="7" spans="1:11" ht="18" x14ac:dyDescent="0.45">
      <c r="A7" s="18"/>
      <c r="B7" s="14"/>
      <c r="C7" s="238"/>
      <c r="D7" s="238"/>
      <c r="E7" s="238"/>
      <c r="F7" s="238"/>
      <c r="G7" s="238"/>
      <c r="H7" s="247"/>
      <c r="I7" s="248"/>
      <c r="J7" s="12"/>
      <c r="K7" s="12"/>
    </row>
    <row r="8" spans="1:11" ht="18" x14ac:dyDescent="0.45">
      <c r="A8" s="18"/>
      <c r="B8" s="14"/>
      <c r="C8" s="248"/>
      <c r="D8" s="248"/>
      <c r="E8" s="248"/>
      <c r="F8" s="495" t="s">
        <v>319</v>
      </c>
      <c r="G8" s="495"/>
      <c r="H8" s="250"/>
      <c r="I8" s="248"/>
      <c r="J8" s="12"/>
      <c r="K8" s="12"/>
    </row>
    <row r="9" spans="1:11" ht="17.649999999999999" x14ac:dyDescent="0.75">
      <c r="A9" s="12"/>
      <c r="B9" s="14"/>
      <c r="C9" s="18"/>
      <c r="D9" s="242" t="s">
        <v>13</v>
      </c>
      <c r="E9" s="242" t="s">
        <v>300</v>
      </c>
      <c r="F9" s="224" t="s">
        <v>296</v>
      </c>
      <c r="G9" s="224" t="s">
        <v>297</v>
      </c>
      <c r="H9" s="251"/>
      <c r="I9" s="12"/>
      <c r="J9" s="12"/>
      <c r="K9" s="12"/>
    </row>
    <row r="10" spans="1:11" ht="17.649999999999999" x14ac:dyDescent="0.75">
      <c r="A10" s="12"/>
      <c r="B10" s="14"/>
      <c r="C10" s="18"/>
      <c r="D10" s="242" t="s">
        <v>320</v>
      </c>
      <c r="E10" s="224" t="s">
        <v>321</v>
      </c>
      <c r="F10" s="224" t="s">
        <v>301</v>
      </c>
      <c r="G10" s="224" t="s">
        <v>234</v>
      </c>
      <c r="H10" s="251"/>
      <c r="I10" s="12"/>
      <c r="J10" s="12"/>
      <c r="K10" s="12"/>
    </row>
    <row r="11" spans="1:11" ht="15.4" x14ac:dyDescent="0.45">
      <c r="A11" s="12"/>
      <c r="B11" s="14"/>
      <c r="C11" s="18"/>
      <c r="D11" s="242"/>
      <c r="E11" s="242"/>
      <c r="F11" s="242"/>
      <c r="G11" s="242"/>
      <c r="H11" s="251"/>
      <c r="I11" s="12"/>
      <c r="J11" s="12"/>
      <c r="K11" s="12"/>
    </row>
    <row r="12" spans="1:11" ht="15.4" x14ac:dyDescent="0.45">
      <c r="A12" s="12"/>
      <c r="B12" s="14"/>
      <c r="C12" s="18" t="s">
        <v>322</v>
      </c>
      <c r="D12" s="18">
        <f>AllocOM!D37</f>
        <v>3016027.046511496</v>
      </c>
      <c r="E12" s="18">
        <f>AllocOM!E37</f>
        <v>2651671.4008184043</v>
      </c>
      <c r="F12" s="18">
        <f>AllocOM!F37</f>
        <v>311736.71659611689</v>
      </c>
      <c r="G12" s="18">
        <f>AllocOM!G37</f>
        <v>52618.930747100007</v>
      </c>
      <c r="H12" s="33"/>
      <c r="I12" s="12"/>
      <c r="J12" s="12">
        <f>SUM(E12:G12)</f>
        <v>3016027.0481616212</v>
      </c>
      <c r="K12" s="12"/>
    </row>
    <row r="13" spans="1:11" ht="17.649999999999999" x14ac:dyDescent="0.75">
      <c r="A13" s="12"/>
      <c r="B13" s="14"/>
      <c r="C13" s="18" t="s">
        <v>323</v>
      </c>
      <c r="D13" s="243">
        <f>AllocPlt!E39</f>
        <v>606147.9264</v>
      </c>
      <c r="E13" s="243">
        <f>AllocPlt!F39</f>
        <v>510134.40704520588</v>
      </c>
      <c r="F13" s="243">
        <f>AllocPlt!G39</f>
        <v>1875.7941779936355</v>
      </c>
      <c r="G13" s="243">
        <f>AllocPlt!H39</f>
        <v>94136.612963112857</v>
      </c>
      <c r="H13" s="252"/>
      <c r="I13" s="12"/>
      <c r="J13" s="12">
        <f>SUM(E13:G13)</f>
        <v>606146.81418631237</v>
      </c>
      <c r="K13" s="12"/>
    </row>
    <row r="14" spans="1:11" ht="15.4" x14ac:dyDescent="0.45">
      <c r="A14" s="12"/>
      <c r="B14" s="14"/>
      <c r="C14" s="83" t="s">
        <v>368</v>
      </c>
      <c r="D14" s="18">
        <f>D13+D12</f>
        <v>3622174.9729114957</v>
      </c>
      <c r="E14" s="18">
        <f>E13+E12</f>
        <v>3161805.8078636103</v>
      </c>
      <c r="F14" s="18">
        <f>F13+F12</f>
        <v>313612.5107741105</v>
      </c>
      <c r="G14" s="18">
        <f>G13+G12</f>
        <v>146755.54371021286</v>
      </c>
      <c r="H14" s="33"/>
      <c r="I14" s="12"/>
      <c r="J14" s="12">
        <f>SUM(E14:G14)</f>
        <v>3622173.8623479335</v>
      </c>
      <c r="K14" s="12"/>
    </row>
    <row r="15" spans="1:11" ht="15.4" x14ac:dyDescent="0.45">
      <c r="A15" s="12"/>
      <c r="B15" s="14"/>
      <c r="C15" s="83"/>
      <c r="D15" s="18"/>
      <c r="E15" s="253">
        <f>E14/$D$14</f>
        <v>0.87290256034267677</v>
      </c>
      <c r="F15" s="253">
        <f t="shared" ref="F15:G15" si="0">F14/$D$14</f>
        <v>8.658127040230458E-2</v>
      </c>
      <c r="G15" s="253">
        <f t="shared" si="0"/>
        <v>4.0515862653716893E-2</v>
      </c>
      <c r="H15" s="33"/>
      <c r="I15" s="12"/>
      <c r="J15" s="12"/>
      <c r="K15" s="12"/>
    </row>
    <row r="16" spans="1:11" ht="15.4" x14ac:dyDescent="0.45">
      <c r="A16" s="12"/>
      <c r="B16" s="14"/>
      <c r="C16" s="83" t="s">
        <v>24</v>
      </c>
      <c r="D16" s="18"/>
      <c r="E16" s="18"/>
      <c r="F16" s="18"/>
      <c r="G16" s="18"/>
      <c r="H16" s="33"/>
      <c r="I16" s="12"/>
      <c r="J16" s="12"/>
      <c r="K16" s="12"/>
    </row>
    <row r="17" spans="1:11" ht="15.4" x14ac:dyDescent="0.45">
      <c r="A17" s="12"/>
      <c r="B17" s="14"/>
      <c r="C17" s="254" t="s">
        <v>324</v>
      </c>
      <c r="D17" s="18">
        <f>-SAO!H13</f>
        <v>-40497</v>
      </c>
      <c r="E17" s="18"/>
      <c r="F17" s="18">
        <f>D17</f>
        <v>-40497</v>
      </c>
      <c r="G17" s="18"/>
      <c r="H17" s="33"/>
      <c r="I17" s="12"/>
      <c r="J17" s="12">
        <f t="shared" ref="J17:J22" si="1">SUM(E17:G17)</f>
        <v>-40497</v>
      </c>
      <c r="K17" s="12"/>
    </row>
    <row r="18" spans="1:11" ht="15.4" x14ac:dyDescent="0.45">
      <c r="A18" s="12"/>
      <c r="B18" s="14"/>
      <c r="C18" s="254" t="s">
        <v>325</v>
      </c>
      <c r="D18" s="18">
        <f>-SAO!H14-SAO!H15</f>
        <v>-92924</v>
      </c>
      <c r="E18" s="18">
        <f>E$15*$D$18</f>
        <v>-81113.597517282891</v>
      </c>
      <c r="F18" s="18">
        <f t="shared" ref="F18:G18" si="2">F$15*$D$18</f>
        <v>-8045.4779708637507</v>
      </c>
      <c r="G18" s="18">
        <f t="shared" si="2"/>
        <v>-3764.8960212339884</v>
      </c>
      <c r="H18" s="33"/>
      <c r="I18" s="12"/>
      <c r="J18" s="12">
        <f t="shared" si="1"/>
        <v>-92923.97150938063</v>
      </c>
      <c r="K18" s="12"/>
    </row>
    <row r="19" spans="1:11" ht="17.649999999999999" x14ac:dyDescent="0.75">
      <c r="A19" s="12"/>
      <c r="B19" s="14"/>
      <c r="C19" s="18" t="s">
        <v>366</v>
      </c>
      <c r="D19" s="18">
        <f>SAO!H49</f>
        <v>-2605</v>
      </c>
      <c r="E19" s="18">
        <f>E15*$D$19</f>
        <v>-2273.911169692673</v>
      </c>
      <c r="F19" s="18">
        <f t="shared" ref="F19:G19" si="3">F15*$D$19</f>
        <v>-225.54420939800343</v>
      </c>
      <c r="G19" s="18">
        <f t="shared" si="3"/>
        <v>-105.54382221293251</v>
      </c>
      <c r="H19" s="252"/>
      <c r="I19" s="12"/>
      <c r="J19" s="12">
        <f t="shared" si="1"/>
        <v>-2604.999201303609</v>
      </c>
      <c r="K19" s="12"/>
    </row>
    <row r="20" spans="1:11" ht="17.649999999999999" x14ac:dyDescent="0.75">
      <c r="A20" s="12"/>
      <c r="B20" s="14"/>
      <c r="C20" s="18" t="s">
        <v>365</v>
      </c>
      <c r="D20" s="18">
        <f>-ExBA!G13*(1+SAO!H54)</f>
        <v>-78910.469400589413</v>
      </c>
      <c r="E20" s="18">
        <f>D20</f>
        <v>-78910.469400589413</v>
      </c>
      <c r="F20" s="18"/>
      <c r="G20" s="18"/>
      <c r="H20" s="252"/>
      <c r="I20" s="12"/>
      <c r="J20" s="12">
        <f t="shared" si="1"/>
        <v>-78910.469400589413</v>
      </c>
      <c r="K20" s="12"/>
    </row>
    <row r="21" spans="1:11" ht="17.649999999999999" x14ac:dyDescent="0.75">
      <c r="A21" s="12"/>
      <c r="B21" s="14"/>
      <c r="C21" s="83" t="s">
        <v>23</v>
      </c>
      <c r="D21" s="243"/>
      <c r="E21" s="243"/>
      <c r="F21" s="243"/>
      <c r="G21" s="243"/>
      <c r="H21" s="252"/>
      <c r="I21" s="12"/>
      <c r="J21" s="12">
        <f t="shared" si="1"/>
        <v>0</v>
      </c>
      <c r="K21" s="12"/>
    </row>
    <row r="22" spans="1:11" ht="17.649999999999999" x14ac:dyDescent="0.75">
      <c r="A22" s="12"/>
      <c r="B22" s="14"/>
      <c r="C22" s="18" t="s">
        <v>370</v>
      </c>
      <c r="D22" s="243">
        <f>-ExBA!G11*(1+SAO!H54)</f>
        <v>63798.617721545139</v>
      </c>
      <c r="E22" s="243">
        <f>E15*$D$22</f>
        <v>55689.976755460426</v>
      </c>
      <c r="F22" s="243">
        <f t="shared" ref="F22:G22" si="4">F15*$D$22</f>
        <v>5523.7653722423602</v>
      </c>
      <c r="G22" s="243">
        <f t="shared" si="4"/>
        <v>2584.8560331031113</v>
      </c>
      <c r="H22" s="252"/>
      <c r="I22" s="12"/>
      <c r="J22" s="12">
        <f t="shared" si="1"/>
        <v>63798.598160805901</v>
      </c>
      <c r="K22" s="12"/>
    </row>
    <row r="23" spans="1:11" ht="15.4" x14ac:dyDescent="0.45">
      <c r="A23" s="12"/>
      <c r="B23" s="14"/>
      <c r="C23" s="18"/>
      <c r="D23" s="18"/>
      <c r="E23" s="18"/>
      <c r="F23" s="18"/>
      <c r="G23" s="18"/>
      <c r="H23" s="33"/>
      <c r="I23" s="12"/>
      <c r="J23" s="12"/>
      <c r="K23" s="12"/>
    </row>
    <row r="24" spans="1:11" ht="15.4" x14ac:dyDescent="0.45">
      <c r="A24" s="12"/>
      <c r="B24" s="14"/>
      <c r="C24" s="83" t="s">
        <v>326</v>
      </c>
      <c r="D24" s="18">
        <f>SUM(D14:D22)</f>
        <v>3471037.1212324514</v>
      </c>
      <c r="E24" s="18">
        <f t="shared" ref="E24:G24" si="5">SUM(E14:E22)</f>
        <v>3055198.6794340662</v>
      </c>
      <c r="F24" s="18">
        <f t="shared" si="5"/>
        <v>270368.34054736153</v>
      </c>
      <c r="G24" s="18">
        <f t="shared" si="5"/>
        <v>145470.00041573172</v>
      </c>
      <c r="H24" s="33"/>
      <c r="I24" s="12"/>
      <c r="J24" s="12">
        <f>SUM(E24:G24)</f>
        <v>3471037.0203971593</v>
      </c>
      <c r="K24" s="12"/>
    </row>
    <row r="25" spans="1:11" ht="15.4" x14ac:dyDescent="0.45">
      <c r="A25" s="12"/>
      <c r="B25" s="239"/>
      <c r="C25" s="17"/>
      <c r="D25" s="17"/>
      <c r="E25" s="17"/>
      <c r="F25" s="17"/>
      <c r="G25" s="17"/>
      <c r="H25" s="32"/>
      <c r="I25" s="12"/>
      <c r="J25" s="12"/>
      <c r="K25" s="12"/>
    </row>
    <row r="26" spans="1:11" ht="15.4" x14ac:dyDescent="0.4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</sheetData>
  <mergeCells count="4">
    <mergeCell ref="C3:G3"/>
    <mergeCell ref="C4:G4"/>
    <mergeCell ref="C5:G5"/>
    <mergeCell ref="F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EA55-696B-4433-9125-9898283641F2}">
  <dimension ref="A1:M25"/>
  <sheetViews>
    <sheetView workbookViewId="0">
      <selection activeCell="L25" sqref="A1:L25"/>
    </sheetView>
  </sheetViews>
  <sheetFormatPr defaultRowHeight="15" x14ac:dyDescent="0.4"/>
  <cols>
    <col min="1" max="1" width="2.609375" customWidth="1"/>
    <col min="2" max="2" width="1.33203125" customWidth="1"/>
    <col min="3" max="3" width="8.44140625" customWidth="1"/>
    <col min="4" max="4" width="9.33203125" customWidth="1"/>
    <col min="5" max="5" width="10.5546875" customWidth="1"/>
    <col min="6" max="6" width="10.6640625" customWidth="1"/>
    <col min="7" max="7" width="10.77734375" customWidth="1"/>
    <col min="8" max="10" width="0" hidden="1" customWidth="1"/>
    <col min="11" max="11" width="2" customWidth="1"/>
    <col min="12" max="12" width="2.609375" customWidth="1"/>
  </cols>
  <sheetData>
    <row r="1" spans="1:12" ht="15.4" x14ac:dyDescent="0.45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15.4" x14ac:dyDescent="0.45">
      <c r="A2" s="255"/>
      <c r="B2" s="256"/>
      <c r="C2" s="257"/>
      <c r="D2" s="257"/>
      <c r="E2" s="257"/>
      <c r="F2" s="257"/>
      <c r="G2" s="257"/>
      <c r="H2" s="257"/>
      <c r="I2" s="257"/>
      <c r="J2" s="257"/>
      <c r="K2" s="258"/>
      <c r="L2" s="255"/>
    </row>
    <row r="3" spans="1:12" ht="18" x14ac:dyDescent="0.55000000000000004">
      <c r="A3" s="255"/>
      <c r="B3" s="259"/>
      <c r="C3" s="468" t="s">
        <v>361</v>
      </c>
      <c r="D3" s="468"/>
      <c r="E3" s="468"/>
      <c r="F3" s="468"/>
      <c r="G3" s="468"/>
      <c r="H3" s="468"/>
      <c r="I3" s="468"/>
      <c r="J3" s="468"/>
      <c r="K3" s="246"/>
      <c r="L3" s="220"/>
    </row>
    <row r="4" spans="1:12" ht="18" x14ac:dyDescent="0.55000000000000004">
      <c r="A4" s="255"/>
      <c r="B4" s="259"/>
      <c r="C4" s="484" t="s">
        <v>327</v>
      </c>
      <c r="D4" s="484"/>
      <c r="E4" s="484"/>
      <c r="F4" s="484"/>
      <c r="G4" s="484"/>
      <c r="H4" s="484"/>
      <c r="I4" s="484"/>
      <c r="J4" s="484"/>
      <c r="K4" s="222"/>
      <c r="L4" s="221"/>
    </row>
    <row r="5" spans="1:12" ht="15.75" x14ac:dyDescent="0.5">
      <c r="A5" s="255"/>
      <c r="B5" s="259"/>
      <c r="C5" s="470" t="s">
        <v>179</v>
      </c>
      <c r="D5" s="470"/>
      <c r="E5" s="470"/>
      <c r="F5" s="470"/>
      <c r="G5" s="470"/>
      <c r="H5" s="470"/>
      <c r="I5" s="470"/>
      <c r="J5" s="470"/>
      <c r="K5" s="260"/>
      <c r="L5" s="261"/>
    </row>
    <row r="6" spans="1:12" ht="15.75" x14ac:dyDescent="0.5">
      <c r="A6" s="255"/>
      <c r="B6" s="262"/>
      <c r="C6" s="263"/>
      <c r="D6" s="263"/>
      <c r="E6" s="263"/>
      <c r="F6" s="263"/>
      <c r="G6" s="263"/>
      <c r="H6" s="263"/>
      <c r="I6" s="263"/>
      <c r="J6" s="263"/>
      <c r="K6" s="264"/>
      <c r="L6" s="261"/>
    </row>
    <row r="7" spans="1:12" ht="15.75" x14ac:dyDescent="0.5">
      <c r="A7" s="255"/>
      <c r="B7" s="259"/>
      <c r="C7" s="261"/>
      <c r="D7" s="261"/>
      <c r="E7" s="261"/>
      <c r="F7" s="261"/>
      <c r="G7" s="261"/>
      <c r="H7" s="261"/>
      <c r="I7" s="261"/>
      <c r="J7" s="261"/>
      <c r="K7" s="260"/>
      <c r="L7" s="261"/>
    </row>
    <row r="8" spans="1:12" ht="15.75" x14ac:dyDescent="0.5">
      <c r="A8" s="255"/>
      <c r="B8" s="259"/>
      <c r="D8" s="342" t="s">
        <v>376</v>
      </c>
      <c r="E8" s="265"/>
      <c r="F8" s="265"/>
      <c r="G8" s="265"/>
      <c r="I8" s="265"/>
      <c r="J8" s="265"/>
      <c r="K8" s="266"/>
      <c r="L8" s="255"/>
    </row>
    <row r="9" spans="1:12" ht="15.4" x14ac:dyDescent="0.45">
      <c r="A9" s="255"/>
      <c r="B9" s="259"/>
      <c r="D9" s="267" t="s">
        <v>333</v>
      </c>
      <c r="E9" s="267" t="s">
        <v>334</v>
      </c>
      <c r="F9" s="267"/>
      <c r="G9" s="267"/>
      <c r="I9" s="265"/>
      <c r="J9" s="265"/>
      <c r="K9" s="266"/>
      <c r="L9" s="255"/>
    </row>
    <row r="10" spans="1:12" ht="17.649999999999999" x14ac:dyDescent="0.75">
      <c r="A10" s="255"/>
      <c r="B10" s="259"/>
      <c r="D10" s="268" t="s">
        <v>335</v>
      </c>
      <c r="E10" s="268" t="s">
        <v>336</v>
      </c>
      <c r="F10" s="268"/>
      <c r="G10" s="268"/>
      <c r="I10" s="265"/>
      <c r="J10" s="265"/>
      <c r="K10" s="266"/>
      <c r="L10" s="255"/>
    </row>
    <row r="11" spans="1:12" ht="15.4" x14ac:dyDescent="0.45">
      <c r="A11" s="255"/>
      <c r="B11" s="259"/>
      <c r="D11" s="272" t="s">
        <v>337</v>
      </c>
      <c r="E11" s="265">
        <f>ExBA!F10</f>
        <v>305304500</v>
      </c>
      <c r="F11" s="265"/>
      <c r="G11" s="265"/>
      <c r="I11" s="265"/>
      <c r="J11" s="265"/>
      <c r="K11" s="266"/>
      <c r="L11" s="255"/>
    </row>
    <row r="12" spans="1:12" ht="15.4" x14ac:dyDescent="0.45">
      <c r="A12" s="255"/>
      <c r="B12" s="259"/>
      <c r="E12" s="273"/>
      <c r="F12" s="265"/>
      <c r="G12" s="265"/>
      <c r="H12" s="265"/>
      <c r="I12" s="265"/>
      <c r="J12" s="265"/>
      <c r="K12" s="266"/>
      <c r="L12" s="255"/>
    </row>
    <row r="13" spans="1:12" ht="15.4" x14ac:dyDescent="0.45">
      <c r="A13" s="255"/>
      <c r="B13" s="259"/>
      <c r="E13" s="273"/>
      <c r="F13" s="265"/>
      <c r="G13" s="265"/>
      <c r="H13" s="265"/>
      <c r="I13" s="265"/>
      <c r="J13" s="265"/>
      <c r="K13" s="266"/>
      <c r="L13" s="255"/>
    </row>
    <row r="14" spans="1:12" ht="15.75" x14ac:dyDescent="0.5">
      <c r="A14" s="255"/>
      <c r="B14" s="259"/>
      <c r="D14" s="270" t="s">
        <v>338</v>
      </c>
      <c r="E14" s="271"/>
      <c r="F14" s="271"/>
      <c r="G14" s="265"/>
      <c r="I14" s="265"/>
      <c r="J14" s="265"/>
      <c r="K14" s="266"/>
      <c r="L14" s="255"/>
    </row>
    <row r="15" spans="1:12" ht="15.4" x14ac:dyDescent="0.45">
      <c r="A15" s="255"/>
      <c r="B15" s="259"/>
      <c r="D15" s="267" t="s">
        <v>59</v>
      </c>
      <c r="E15" s="267" t="s">
        <v>211</v>
      </c>
      <c r="G15" s="267" t="s">
        <v>328</v>
      </c>
      <c r="I15" s="265"/>
      <c r="J15" s="265"/>
      <c r="K15" s="266"/>
      <c r="L15" s="255"/>
    </row>
    <row r="16" spans="1:12" ht="17.649999999999999" x14ac:dyDescent="0.75">
      <c r="A16" s="255"/>
      <c r="B16" s="259"/>
      <c r="D16" s="268" t="s">
        <v>62</v>
      </c>
      <c r="E16" s="268" t="s">
        <v>339</v>
      </c>
      <c r="F16" s="268" t="s">
        <v>153</v>
      </c>
      <c r="G16" s="268" t="s">
        <v>340</v>
      </c>
      <c r="I16" s="265"/>
      <c r="J16" s="265"/>
      <c r="K16" s="266"/>
      <c r="L16" s="255"/>
    </row>
    <row r="17" spans="1:13" ht="15.4" x14ac:dyDescent="0.45">
      <c r="A17" s="255"/>
      <c r="B17" s="259"/>
      <c r="D17" s="274" t="s">
        <v>63</v>
      </c>
      <c r="E17" s="275">
        <v>1</v>
      </c>
      <c r="F17" s="265">
        <f>F23-SUM(F18:F22)</f>
        <v>73003</v>
      </c>
      <c r="G17" s="265">
        <f t="shared" ref="G17:G22" si="0">F17*E17</f>
        <v>73003</v>
      </c>
      <c r="I17" s="265"/>
      <c r="J17" s="265"/>
      <c r="K17" s="266"/>
      <c r="L17" s="255"/>
    </row>
    <row r="18" spans="1:13" ht="15.4" x14ac:dyDescent="0.45">
      <c r="A18" s="255"/>
      <c r="B18" s="259"/>
      <c r="D18" s="276" t="s">
        <v>28</v>
      </c>
      <c r="E18" s="275">
        <v>1.4</v>
      </c>
      <c r="F18" s="265">
        <f>62*12</f>
        <v>744</v>
      </c>
      <c r="G18" s="265">
        <f t="shared" si="0"/>
        <v>1041.5999999999999</v>
      </c>
      <c r="I18" s="265"/>
      <c r="J18" s="265"/>
      <c r="K18" s="266"/>
      <c r="L18" s="255"/>
    </row>
    <row r="19" spans="1:13" ht="15.4" x14ac:dyDescent="0.45">
      <c r="A19" s="255"/>
      <c r="B19" s="259"/>
      <c r="D19" s="276" t="s">
        <v>329</v>
      </c>
      <c r="E19" s="275">
        <v>1.8</v>
      </c>
      <c r="F19" s="265">
        <v>0</v>
      </c>
      <c r="G19" s="265">
        <f t="shared" si="0"/>
        <v>0</v>
      </c>
      <c r="I19" s="265"/>
      <c r="J19" s="265"/>
      <c r="K19" s="266"/>
      <c r="L19" s="255"/>
    </row>
    <row r="20" spans="1:13" ht="15.4" x14ac:dyDescent="0.45">
      <c r="A20" s="255"/>
      <c r="B20" s="259"/>
      <c r="D20" s="276" t="s">
        <v>330</v>
      </c>
      <c r="E20" s="275">
        <v>2.9</v>
      </c>
      <c r="F20" s="265">
        <f>31*12</f>
        <v>372</v>
      </c>
      <c r="G20" s="265">
        <f t="shared" si="0"/>
        <v>1078.8</v>
      </c>
      <c r="I20" s="265"/>
      <c r="J20" s="265"/>
      <c r="K20" s="266"/>
      <c r="L20" s="255"/>
    </row>
    <row r="21" spans="1:13" ht="15.4" x14ac:dyDescent="0.45">
      <c r="A21" s="255"/>
      <c r="B21" s="259"/>
      <c r="D21" s="276" t="s">
        <v>331</v>
      </c>
      <c r="E21" s="275">
        <v>11</v>
      </c>
      <c r="F21" s="265">
        <v>0</v>
      </c>
      <c r="G21" s="265">
        <f t="shared" si="0"/>
        <v>0</v>
      </c>
      <c r="I21" s="265"/>
      <c r="J21" s="265"/>
      <c r="K21" s="266"/>
      <c r="L21" s="255"/>
    </row>
    <row r="22" spans="1:13" ht="17.649999999999999" x14ac:dyDescent="0.75">
      <c r="A22" s="255"/>
      <c r="B22" s="259"/>
      <c r="D22" s="274" t="s">
        <v>332</v>
      </c>
      <c r="E22" s="275">
        <v>14</v>
      </c>
      <c r="F22" s="269">
        <v>24</v>
      </c>
      <c r="G22" s="269">
        <f t="shared" si="0"/>
        <v>336</v>
      </c>
      <c r="I22" s="265"/>
      <c r="J22" s="265"/>
      <c r="K22" s="266"/>
      <c r="L22" s="255"/>
    </row>
    <row r="23" spans="1:13" ht="15.4" x14ac:dyDescent="0.45">
      <c r="A23" s="255"/>
      <c r="B23" s="259"/>
      <c r="D23" s="273" t="s">
        <v>157</v>
      </c>
      <c r="E23" s="265"/>
      <c r="F23" s="265">
        <f>ExBA!E10</f>
        <v>74143</v>
      </c>
      <c r="G23" s="265">
        <f>SUM(G17:G22)</f>
        <v>75459.400000000009</v>
      </c>
      <c r="I23" s="265"/>
      <c r="J23" s="265"/>
      <c r="K23" s="266"/>
      <c r="L23" s="255"/>
      <c r="M23" s="339"/>
    </row>
    <row r="24" spans="1:13" ht="15.4" x14ac:dyDescent="0.45">
      <c r="A24" s="255"/>
      <c r="B24" s="262"/>
      <c r="C24" s="271"/>
      <c r="D24" s="271"/>
      <c r="E24" s="271"/>
      <c r="F24" s="271"/>
      <c r="G24" s="271"/>
      <c r="H24" s="271"/>
      <c r="I24" s="271"/>
      <c r="J24" s="271"/>
      <c r="K24" s="277"/>
      <c r="L24" s="255"/>
    </row>
    <row r="25" spans="1:13" ht="15.4" x14ac:dyDescent="0.45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</row>
  </sheetData>
  <mergeCells count="3">
    <mergeCell ref="C3:J3"/>
    <mergeCell ref="C4:J4"/>
    <mergeCell ref="C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B34E-A73A-471F-8B7C-27CA5B25A01D}">
  <dimension ref="A1:K32"/>
  <sheetViews>
    <sheetView topLeftCell="A18" workbookViewId="0">
      <selection activeCell="L40" sqref="L40"/>
    </sheetView>
  </sheetViews>
  <sheetFormatPr defaultRowHeight="15" x14ac:dyDescent="0.4"/>
  <cols>
    <col min="1" max="1" width="2.609375" customWidth="1"/>
    <col min="2" max="2" width="1.77734375" customWidth="1"/>
    <col min="3" max="3" width="22.33203125" customWidth="1"/>
    <col min="4" max="4" width="10.77734375" customWidth="1"/>
    <col min="5" max="5" width="0.88671875" customWidth="1"/>
    <col min="6" max="6" width="10.109375" customWidth="1"/>
    <col min="7" max="8" width="10.77734375" customWidth="1"/>
    <col min="9" max="9" width="1.77734375" customWidth="1"/>
    <col min="10" max="10" width="2.609375" customWidth="1"/>
    <col min="11" max="11" width="11.109375" customWidth="1"/>
  </cols>
  <sheetData>
    <row r="1" spans="1:11" ht="15.4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4" x14ac:dyDescent="0.45">
      <c r="A2" s="12"/>
      <c r="B2" s="38"/>
      <c r="C2" s="39"/>
      <c r="D2" s="39"/>
      <c r="E2" s="39"/>
      <c r="F2" s="39"/>
      <c r="G2" s="39"/>
      <c r="H2" s="39"/>
      <c r="I2" s="40"/>
      <c r="J2" s="12"/>
      <c r="K2" s="12"/>
    </row>
    <row r="3" spans="1:11" ht="18" x14ac:dyDescent="0.55000000000000004">
      <c r="A3" s="12"/>
      <c r="B3" s="14"/>
      <c r="C3" s="468" t="s">
        <v>400</v>
      </c>
      <c r="D3" s="468"/>
      <c r="E3" s="468"/>
      <c r="F3" s="468"/>
      <c r="G3" s="468"/>
      <c r="H3" s="468"/>
      <c r="I3" s="246"/>
      <c r="J3" s="12"/>
      <c r="K3" s="12"/>
    </row>
    <row r="4" spans="1:11" ht="18" x14ac:dyDescent="0.55000000000000004">
      <c r="A4" s="12"/>
      <c r="B4" s="14"/>
      <c r="C4" s="484" t="s">
        <v>341</v>
      </c>
      <c r="D4" s="484"/>
      <c r="E4" s="484"/>
      <c r="F4" s="484"/>
      <c r="G4" s="484"/>
      <c r="H4" s="484"/>
      <c r="I4" s="222"/>
      <c r="J4" s="12"/>
      <c r="K4" s="12"/>
    </row>
    <row r="5" spans="1:11" ht="15.75" x14ac:dyDescent="0.45">
      <c r="A5" s="12"/>
      <c r="B5" s="14"/>
      <c r="C5" s="496" t="s">
        <v>179</v>
      </c>
      <c r="D5" s="496"/>
      <c r="E5" s="496"/>
      <c r="F5" s="496"/>
      <c r="G5" s="496"/>
      <c r="H5" s="496"/>
      <c r="I5" s="247"/>
      <c r="J5" s="241"/>
    </row>
    <row r="6" spans="1:11" ht="18" x14ac:dyDescent="0.45">
      <c r="A6" s="12"/>
      <c r="B6" s="239"/>
      <c r="C6" s="278"/>
      <c r="D6" s="278"/>
      <c r="E6" s="278"/>
      <c r="F6" s="278"/>
      <c r="G6" s="278"/>
      <c r="H6" s="278"/>
      <c r="I6" s="279"/>
      <c r="J6" s="12"/>
      <c r="K6" s="12"/>
    </row>
    <row r="7" spans="1:11" ht="15.4" x14ac:dyDescent="0.45">
      <c r="A7" s="12"/>
      <c r="B7" s="38"/>
      <c r="C7" s="39"/>
      <c r="D7" s="280"/>
      <c r="E7" s="280"/>
      <c r="F7" s="280"/>
      <c r="G7" s="280"/>
      <c r="H7" s="280"/>
      <c r="I7" s="281"/>
      <c r="J7" s="12"/>
      <c r="K7" s="12"/>
    </row>
    <row r="8" spans="1:11" ht="17.649999999999999" x14ac:dyDescent="0.75">
      <c r="A8" s="12"/>
      <c r="B8" s="14"/>
      <c r="C8" s="18"/>
      <c r="D8" s="282" t="s">
        <v>13</v>
      </c>
      <c r="E8" s="282"/>
      <c r="F8" s="283"/>
      <c r="G8" s="283"/>
      <c r="H8" s="283"/>
      <c r="I8" s="284"/>
      <c r="J8" s="12"/>
      <c r="K8" s="12"/>
    </row>
    <row r="9" spans="1:11" ht="15.4" x14ac:dyDescent="0.45">
      <c r="A9" s="12"/>
      <c r="B9" s="14"/>
      <c r="C9" s="18" t="s">
        <v>342</v>
      </c>
      <c r="D9" s="18">
        <f>AllocSum!E24</f>
        <v>3055198.6794340662</v>
      </c>
      <c r="E9" s="18"/>
      <c r="F9" s="18"/>
      <c r="G9" s="18"/>
      <c r="H9" s="18"/>
      <c r="I9" s="33"/>
      <c r="J9" s="12"/>
      <c r="K9" s="12">
        <f>SUM(F9:H9)</f>
        <v>0</v>
      </c>
    </row>
    <row r="10" spans="1:11" ht="15.4" x14ac:dyDescent="0.45">
      <c r="A10" s="12"/>
      <c r="B10" s="14"/>
      <c r="C10" s="18" t="s">
        <v>369</v>
      </c>
      <c r="D10" s="18">
        <f>Units!E11/1000</f>
        <v>305304.5</v>
      </c>
      <c r="E10" s="18"/>
      <c r="F10" s="244"/>
      <c r="G10" s="244"/>
      <c r="H10" s="244"/>
      <c r="I10" s="285"/>
      <c r="J10" s="12"/>
      <c r="K10" s="286"/>
    </row>
    <row r="11" spans="1:11" ht="15.4" x14ac:dyDescent="0.45">
      <c r="A11" s="12"/>
      <c r="B11" s="14"/>
      <c r="C11" s="18"/>
      <c r="D11" s="18"/>
      <c r="E11" s="18"/>
      <c r="F11" s="18"/>
      <c r="G11" s="18"/>
      <c r="H11" s="18"/>
      <c r="I11" s="33"/>
      <c r="J11" s="12"/>
      <c r="K11" s="12"/>
    </row>
    <row r="12" spans="1:11" ht="15.75" x14ac:dyDescent="0.5">
      <c r="A12" s="12"/>
      <c r="B12" s="14"/>
      <c r="C12" s="288" t="s">
        <v>343</v>
      </c>
      <c r="D12" s="289">
        <f>ROUND(D9/D10,2)</f>
        <v>10.01</v>
      </c>
      <c r="E12" s="290"/>
      <c r="F12" s="244"/>
      <c r="G12" s="244"/>
      <c r="H12" s="244"/>
      <c r="I12" s="285"/>
      <c r="J12" s="12"/>
      <c r="K12" s="12"/>
    </row>
    <row r="13" spans="1:11" ht="15.4" x14ac:dyDescent="0.45">
      <c r="A13" s="12"/>
      <c r="B13" s="14"/>
      <c r="C13" s="18"/>
      <c r="D13" s="18"/>
      <c r="E13" s="18"/>
      <c r="F13" s="244"/>
      <c r="G13" s="244"/>
      <c r="H13" s="244"/>
      <c r="I13" s="285"/>
      <c r="J13" s="12"/>
      <c r="K13" s="12"/>
    </row>
    <row r="14" spans="1:11" ht="15.4" x14ac:dyDescent="0.45">
      <c r="A14" s="12"/>
      <c r="B14" s="14"/>
      <c r="C14" s="18"/>
      <c r="D14" s="18"/>
      <c r="E14" s="18"/>
      <c r="F14" s="244"/>
      <c r="G14" s="244"/>
      <c r="H14" s="244"/>
      <c r="I14" s="285"/>
      <c r="J14" s="12"/>
      <c r="K14" s="12"/>
    </row>
    <row r="15" spans="1:11" ht="18" x14ac:dyDescent="0.45">
      <c r="A15" s="12"/>
      <c r="B15" s="14"/>
      <c r="C15" s="497" t="s">
        <v>344</v>
      </c>
      <c r="D15" s="497"/>
      <c r="E15" s="291"/>
      <c r="F15" s="83"/>
      <c r="G15" s="292"/>
      <c r="H15" s="292"/>
      <c r="I15" s="285"/>
      <c r="J15" s="12"/>
      <c r="K15" s="12"/>
    </row>
    <row r="16" spans="1:11" ht="15.4" x14ac:dyDescent="0.45">
      <c r="A16" s="12"/>
      <c r="B16" s="14"/>
      <c r="C16" s="1"/>
      <c r="D16" s="83"/>
      <c r="E16" s="83"/>
      <c r="F16" s="83"/>
      <c r="G16" s="292"/>
      <c r="H16" s="292"/>
      <c r="I16" s="285"/>
      <c r="J16" s="12"/>
      <c r="K16" s="12"/>
    </row>
    <row r="17" spans="1:11" ht="15.4" x14ac:dyDescent="0.45">
      <c r="A17" s="12"/>
      <c r="B17" s="14"/>
      <c r="C17" s="1"/>
      <c r="D17" s="159" t="s">
        <v>296</v>
      </c>
      <c r="E17" s="159"/>
      <c r="F17" s="159" t="s">
        <v>297</v>
      </c>
      <c r="G17" s="292"/>
      <c r="H17" s="292"/>
      <c r="I17" s="285"/>
      <c r="J17" s="12"/>
      <c r="K17" s="12"/>
    </row>
    <row r="18" spans="1:11" ht="17.649999999999999" x14ac:dyDescent="0.75">
      <c r="A18" s="12"/>
      <c r="B18" s="14"/>
      <c r="C18" s="1"/>
      <c r="D18" s="282" t="s">
        <v>301</v>
      </c>
      <c r="E18" s="282"/>
      <c r="F18" s="282" t="s">
        <v>234</v>
      </c>
      <c r="G18" s="292"/>
      <c r="H18" s="292"/>
      <c r="I18" s="285"/>
      <c r="J18" s="12"/>
      <c r="K18" s="12"/>
    </row>
    <row r="19" spans="1:11" ht="15.4" x14ac:dyDescent="0.45">
      <c r="A19" s="12"/>
      <c r="B19" s="14"/>
      <c r="C19" s="1" t="s">
        <v>345</v>
      </c>
      <c r="D19" s="18">
        <f>AllocSum!F24</f>
        <v>270368.34054736153</v>
      </c>
      <c r="E19" s="18"/>
      <c r="F19" s="18">
        <f>AllocSum!G24</f>
        <v>145470.00041573172</v>
      </c>
      <c r="G19" s="293"/>
      <c r="H19" s="293"/>
      <c r="I19" s="285"/>
      <c r="J19" s="12"/>
      <c r="K19" s="12">
        <f>D9+D19+F19</f>
        <v>3471037.0203971593</v>
      </c>
    </row>
    <row r="20" spans="1:11" ht="15.4" x14ac:dyDescent="0.45">
      <c r="A20" s="12"/>
      <c r="B20" s="14"/>
      <c r="C20" s="1" t="s">
        <v>346</v>
      </c>
      <c r="D20" s="18">
        <f>Units!F23</f>
        <v>74143</v>
      </c>
      <c r="E20" s="18"/>
      <c r="F20" s="18">
        <f>Units!G23</f>
        <v>75459.400000000009</v>
      </c>
      <c r="G20" s="293"/>
      <c r="H20" s="293"/>
      <c r="I20" s="285"/>
      <c r="J20" s="12"/>
      <c r="K20" s="12"/>
    </row>
    <row r="21" spans="1:11" ht="15.4" x14ac:dyDescent="0.45">
      <c r="A21" s="12"/>
      <c r="B21" s="14"/>
      <c r="C21" s="1" t="s">
        <v>347</v>
      </c>
      <c r="D21" s="287">
        <f>ROUND(D19/D20,2)</f>
        <v>3.65</v>
      </c>
      <c r="E21" s="287"/>
      <c r="F21" s="287">
        <f>ROUND(F19/F20,2)</f>
        <v>1.93</v>
      </c>
      <c r="G21" s="293"/>
      <c r="H21" s="293"/>
      <c r="I21" s="285"/>
      <c r="J21" s="12"/>
      <c r="K21" s="12"/>
    </row>
    <row r="22" spans="1:11" ht="15.4" x14ac:dyDescent="0.45">
      <c r="A22" s="12"/>
      <c r="B22" s="14"/>
      <c r="C22" s="1"/>
      <c r="D22" s="287"/>
      <c r="E22" s="287"/>
      <c r="F22" s="287"/>
      <c r="G22" s="293"/>
      <c r="H22" s="294" t="s">
        <v>13</v>
      </c>
      <c r="I22" s="33"/>
      <c r="J22" s="12"/>
      <c r="K22" s="12"/>
    </row>
    <row r="23" spans="1:11" ht="15.4" x14ac:dyDescent="0.45">
      <c r="A23" s="12"/>
      <c r="B23" s="14"/>
      <c r="C23" s="295"/>
      <c r="D23" s="296" t="s">
        <v>296</v>
      </c>
      <c r="E23" s="296"/>
      <c r="F23" s="297" t="s">
        <v>211</v>
      </c>
      <c r="G23" s="297" t="s">
        <v>297</v>
      </c>
      <c r="H23" s="298" t="s">
        <v>256</v>
      </c>
      <c r="I23" s="33"/>
      <c r="J23" s="12"/>
      <c r="K23" s="12"/>
    </row>
    <row r="24" spans="1:11" ht="17.649999999999999" x14ac:dyDescent="0.75">
      <c r="A24" s="12"/>
      <c r="B24" s="14"/>
      <c r="C24" s="299" t="s">
        <v>348</v>
      </c>
      <c r="D24" s="300" t="s">
        <v>301</v>
      </c>
      <c r="E24" s="300"/>
      <c r="F24" s="300" t="s">
        <v>339</v>
      </c>
      <c r="G24" s="300" t="s">
        <v>234</v>
      </c>
      <c r="H24" s="301" t="s">
        <v>349</v>
      </c>
      <c r="I24" s="33"/>
      <c r="J24" s="12"/>
      <c r="K24" s="12"/>
    </row>
    <row r="25" spans="1:11" ht="15.4" x14ac:dyDescent="0.45">
      <c r="A25" s="12"/>
      <c r="B25" s="14"/>
      <c r="C25" s="274" t="s">
        <v>63</v>
      </c>
      <c r="D25" s="302">
        <f>$D$21</f>
        <v>3.65</v>
      </c>
      <c r="E25" s="302"/>
      <c r="F25" s="302">
        <v>1</v>
      </c>
      <c r="G25" s="302">
        <f>ROUND(F25*$F$21,2)</f>
        <v>1.93</v>
      </c>
      <c r="H25" s="303">
        <f t="shared" ref="H25:H30" si="0">ROUND(D25+G25,2)</f>
        <v>5.58</v>
      </c>
      <c r="I25" s="33"/>
      <c r="J25" s="12"/>
      <c r="K25" s="12"/>
    </row>
    <row r="26" spans="1:11" ht="15.4" x14ac:dyDescent="0.45">
      <c r="A26" s="12"/>
      <c r="B26" s="14"/>
      <c r="C26" s="276" t="s">
        <v>28</v>
      </c>
      <c r="D26" s="302">
        <f t="shared" ref="D26:D30" si="1">$D$21</f>
        <v>3.65</v>
      </c>
      <c r="E26" s="302"/>
      <c r="F26" s="302">
        <v>1.4</v>
      </c>
      <c r="G26" s="302">
        <f t="shared" ref="G26:G30" si="2">ROUND(F26*$F$21,2)</f>
        <v>2.7</v>
      </c>
      <c r="H26" s="304">
        <f t="shared" si="0"/>
        <v>6.35</v>
      </c>
      <c r="I26" s="33"/>
      <c r="J26" s="12"/>
      <c r="K26" s="12"/>
    </row>
    <row r="27" spans="1:11" ht="15.4" x14ac:dyDescent="0.45">
      <c r="A27" s="12"/>
      <c r="B27" s="14"/>
      <c r="C27" s="276" t="s">
        <v>329</v>
      </c>
      <c r="D27" s="302">
        <f t="shared" si="1"/>
        <v>3.65</v>
      </c>
      <c r="E27" s="302"/>
      <c r="F27" s="302">
        <v>1.8</v>
      </c>
      <c r="G27" s="302">
        <f t="shared" si="2"/>
        <v>3.47</v>
      </c>
      <c r="H27" s="304">
        <f t="shared" si="0"/>
        <v>7.12</v>
      </c>
      <c r="I27" s="33"/>
      <c r="J27" s="12"/>
      <c r="K27" s="12"/>
    </row>
    <row r="28" spans="1:11" ht="15.4" x14ac:dyDescent="0.45">
      <c r="A28" s="12"/>
      <c r="B28" s="14"/>
      <c r="C28" s="276" t="s">
        <v>330</v>
      </c>
      <c r="D28" s="302">
        <f t="shared" si="1"/>
        <v>3.65</v>
      </c>
      <c r="E28" s="302"/>
      <c r="F28" s="302">
        <v>2.9</v>
      </c>
      <c r="G28" s="302">
        <f t="shared" si="2"/>
        <v>5.6</v>
      </c>
      <c r="H28" s="304">
        <f t="shared" si="0"/>
        <v>9.25</v>
      </c>
      <c r="I28" s="33"/>
      <c r="J28" s="12"/>
      <c r="K28" s="142"/>
    </row>
    <row r="29" spans="1:11" ht="15.4" x14ac:dyDescent="0.45">
      <c r="A29" s="12"/>
      <c r="B29" s="14"/>
      <c r="C29" s="276" t="s">
        <v>331</v>
      </c>
      <c r="D29" s="302">
        <f t="shared" si="1"/>
        <v>3.65</v>
      </c>
      <c r="E29" s="302"/>
      <c r="F29" s="302">
        <v>11</v>
      </c>
      <c r="G29" s="302">
        <f t="shared" si="2"/>
        <v>21.23</v>
      </c>
      <c r="H29" s="304">
        <f t="shared" si="0"/>
        <v>24.88</v>
      </c>
      <c r="I29" s="305"/>
      <c r="J29" s="12"/>
      <c r="K29" s="293"/>
    </row>
    <row r="30" spans="1:11" ht="15.4" x14ac:dyDescent="0.45">
      <c r="A30" s="12"/>
      <c r="B30" s="14"/>
      <c r="C30" s="276" t="s">
        <v>332</v>
      </c>
      <c r="D30" s="302">
        <f t="shared" si="1"/>
        <v>3.65</v>
      </c>
      <c r="E30" s="302"/>
      <c r="F30" s="302">
        <v>14</v>
      </c>
      <c r="G30" s="302">
        <f t="shared" si="2"/>
        <v>27.02</v>
      </c>
      <c r="H30" s="306">
        <f t="shared" si="0"/>
        <v>30.67</v>
      </c>
      <c r="I30" s="305"/>
      <c r="J30" s="12"/>
      <c r="K30" s="12"/>
    </row>
    <row r="31" spans="1:11" ht="15.4" x14ac:dyDescent="0.45">
      <c r="A31" s="12"/>
      <c r="B31" s="239"/>
      <c r="C31" s="17"/>
      <c r="D31" s="17"/>
      <c r="E31" s="17"/>
      <c r="F31" s="17"/>
      <c r="G31" s="17"/>
      <c r="H31" s="17"/>
      <c r="I31" s="307"/>
      <c r="J31" s="12"/>
      <c r="K31" s="12"/>
    </row>
    <row r="32" spans="1:11" ht="15.4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</sheetData>
  <mergeCells count="4">
    <mergeCell ref="C3:H3"/>
    <mergeCell ref="C4:H4"/>
    <mergeCell ref="C5:H5"/>
    <mergeCell ref="C15:D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36"/>
  <sheetViews>
    <sheetView workbookViewId="0">
      <selection sqref="A1:N31"/>
    </sheetView>
  </sheetViews>
  <sheetFormatPr defaultColWidth="8.88671875" defaultRowHeight="15.75" outlineLevelRow="1" x14ac:dyDescent="0.5"/>
  <cols>
    <col min="1" max="1" width="2.109375" style="203" customWidth="1"/>
    <col min="2" max="2" width="1.109375" style="203" customWidth="1"/>
    <col min="3" max="3" width="4.77734375" style="203" customWidth="1"/>
    <col min="4" max="4" width="6.77734375" style="203" customWidth="1"/>
    <col min="5" max="5" width="6.33203125" style="203" customWidth="1"/>
    <col min="6" max="6" width="7.33203125" style="203" customWidth="1"/>
    <col min="7" max="7" width="13.33203125" style="203" customWidth="1"/>
    <col min="8" max="8" width="1.21875" style="203" customWidth="1"/>
    <col min="9" max="9" width="4.77734375" style="203" customWidth="1"/>
    <col min="10" max="10" width="7" style="203" customWidth="1"/>
    <col min="11" max="11" width="8.33203125" style="203" customWidth="1"/>
    <col min="12" max="12" width="7.33203125" style="203" customWidth="1"/>
    <col min="13" max="13" width="5.77734375" style="203" customWidth="1"/>
    <col min="14" max="14" width="2.6640625" style="203" customWidth="1"/>
    <col min="15" max="205" width="9.6640625" style="203" customWidth="1"/>
    <col min="206" max="16384" width="8.88671875" style="203"/>
  </cols>
  <sheetData>
    <row r="2" spans="2:16" ht="18" x14ac:dyDescent="0.55000000000000004">
      <c r="B2" s="498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</row>
    <row r="3" spans="2:16" ht="18" x14ac:dyDescent="0.55000000000000004">
      <c r="B3" s="374"/>
      <c r="C3" s="468" t="s">
        <v>295</v>
      </c>
      <c r="D3" s="468"/>
      <c r="E3" s="468"/>
      <c r="F3" s="468"/>
      <c r="G3" s="468"/>
      <c r="H3" s="468"/>
      <c r="I3" s="468"/>
      <c r="J3" s="468"/>
      <c r="K3" s="468"/>
      <c r="L3" s="468"/>
      <c r="M3" s="476"/>
    </row>
    <row r="4" spans="2:16" ht="18" x14ac:dyDescent="0.55000000000000004">
      <c r="B4" s="170"/>
      <c r="C4" s="477" t="s">
        <v>242</v>
      </c>
      <c r="D4" s="477"/>
      <c r="E4" s="477"/>
      <c r="F4" s="477"/>
      <c r="G4" s="477"/>
      <c r="H4" s="477"/>
      <c r="I4" s="477"/>
      <c r="J4" s="477"/>
      <c r="K4" s="477"/>
      <c r="L4" s="477"/>
      <c r="M4" s="478"/>
    </row>
    <row r="5" spans="2:16" ht="18" x14ac:dyDescent="0.55000000000000004">
      <c r="B5" s="170"/>
      <c r="C5" s="477" t="s">
        <v>401</v>
      </c>
      <c r="D5" s="477"/>
      <c r="E5" s="477"/>
      <c r="F5" s="477"/>
      <c r="G5" s="477"/>
      <c r="H5" s="477"/>
      <c r="I5" s="477"/>
      <c r="J5" s="477"/>
      <c r="K5" s="477"/>
      <c r="L5" s="477"/>
      <c r="M5" s="478"/>
    </row>
    <row r="6" spans="2:16" ht="18" x14ac:dyDescent="0.55000000000000004">
      <c r="B6" s="170"/>
      <c r="C6" s="477" t="s">
        <v>179</v>
      </c>
      <c r="D6" s="477"/>
      <c r="E6" s="477"/>
      <c r="F6" s="477"/>
      <c r="G6" s="477"/>
      <c r="H6" s="477"/>
      <c r="I6" s="477"/>
      <c r="J6" s="477"/>
      <c r="K6" s="477"/>
      <c r="L6" s="477"/>
      <c r="M6" s="478"/>
      <c r="N6" s="23"/>
      <c r="O6" s="23"/>
      <c r="P6" s="23"/>
    </row>
    <row r="7" spans="2:16" x14ac:dyDescent="0.5">
      <c r="B7" s="19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204"/>
    </row>
    <row r="8" spans="2:16" x14ac:dyDescent="0.5">
      <c r="B8" s="170"/>
      <c r="C8" s="1"/>
      <c r="D8" s="1"/>
      <c r="E8" s="1"/>
      <c r="F8" s="1"/>
      <c r="G8" s="205"/>
      <c r="H8" s="170"/>
      <c r="I8" s="1"/>
      <c r="J8" s="1"/>
      <c r="K8" s="1"/>
      <c r="L8" s="1"/>
      <c r="M8" s="205"/>
    </row>
    <row r="9" spans="2:16" x14ac:dyDescent="0.5">
      <c r="B9" s="170"/>
      <c r="C9" s="475" t="s">
        <v>243</v>
      </c>
      <c r="D9" s="475"/>
      <c r="E9" s="475"/>
      <c r="F9" s="475"/>
      <c r="G9" s="481"/>
      <c r="H9" s="1"/>
      <c r="I9" s="475" t="s">
        <v>244</v>
      </c>
      <c r="J9" s="475"/>
      <c r="K9" s="475"/>
      <c r="L9" s="475"/>
      <c r="M9" s="481"/>
    </row>
    <row r="10" spans="2:16" x14ac:dyDescent="0.5">
      <c r="B10" s="170"/>
      <c r="C10" s="1"/>
      <c r="D10" s="1"/>
      <c r="E10" s="1"/>
      <c r="F10" s="1"/>
      <c r="G10" s="205"/>
      <c r="H10" s="1"/>
      <c r="I10" s="1"/>
      <c r="J10" s="1"/>
      <c r="K10" s="1"/>
      <c r="L10" s="1"/>
      <c r="M10" s="205"/>
    </row>
    <row r="11" spans="2:16" x14ac:dyDescent="0.5">
      <c r="B11" s="170"/>
      <c r="C11" s="206" t="s">
        <v>371</v>
      </c>
      <c r="D11" s="1"/>
      <c r="E11" s="1"/>
      <c r="F11" s="1"/>
      <c r="G11" s="205"/>
      <c r="H11" s="1"/>
      <c r="I11" s="206" t="s">
        <v>395</v>
      </c>
      <c r="J11" s="1"/>
      <c r="K11" s="1"/>
      <c r="L11" s="1"/>
      <c r="M11" s="205"/>
    </row>
    <row r="12" spans="2:16" outlineLevel="1" x14ac:dyDescent="0.5">
      <c r="B12" s="170"/>
      <c r="C12" s="16" t="s">
        <v>245</v>
      </c>
      <c r="D12" s="207">
        <f>ExBA!B34</f>
        <v>2000</v>
      </c>
      <c r="E12" s="1" t="s">
        <v>246</v>
      </c>
      <c r="F12" s="208">
        <f>ExBA!E34</f>
        <v>22.09</v>
      </c>
      <c r="G12" s="205" t="s">
        <v>247</v>
      </c>
      <c r="H12" s="1"/>
      <c r="I12" s="502" t="s">
        <v>348</v>
      </c>
      <c r="J12" s="502"/>
      <c r="K12" s="214" t="s">
        <v>377</v>
      </c>
      <c r="L12" s="208"/>
      <c r="M12" s="205"/>
      <c r="P12" s="209"/>
    </row>
    <row r="13" spans="2:16" outlineLevel="1" x14ac:dyDescent="0.5">
      <c r="B13" s="170"/>
      <c r="C13" s="16" t="s">
        <v>248</v>
      </c>
      <c r="D13" s="207">
        <f>ExBA!B35</f>
        <v>3000</v>
      </c>
      <c r="E13" s="1" t="s">
        <v>246</v>
      </c>
      <c r="F13" s="341">
        <f>ExBA!E35</f>
        <v>8.6999999999999993</v>
      </c>
      <c r="G13" s="205" t="s">
        <v>249</v>
      </c>
      <c r="H13" s="1"/>
      <c r="I13" s="503" t="s">
        <v>63</v>
      </c>
      <c r="J13" s="503"/>
      <c r="K13" s="98">
        <f>CalcRates!H25</f>
        <v>5.58</v>
      </c>
      <c r="L13" s="208"/>
      <c r="M13" s="205"/>
      <c r="P13" s="211"/>
    </row>
    <row r="14" spans="2:16" outlineLevel="1" x14ac:dyDescent="0.5">
      <c r="B14" s="170"/>
      <c r="C14" s="16" t="s">
        <v>248</v>
      </c>
      <c r="D14" s="207">
        <f>ExBA!B36</f>
        <v>5000</v>
      </c>
      <c r="E14" s="1" t="s">
        <v>246</v>
      </c>
      <c r="F14" s="341">
        <f>ExBA!E36</f>
        <v>7.38</v>
      </c>
      <c r="G14" s="205" t="s">
        <v>249</v>
      </c>
      <c r="H14" s="1"/>
      <c r="I14" s="504" t="s">
        <v>28</v>
      </c>
      <c r="J14" s="504"/>
      <c r="K14" s="10">
        <f>CalcRates!H26</f>
        <v>6.35</v>
      </c>
      <c r="L14" s="208"/>
      <c r="M14" s="205"/>
      <c r="P14" s="211"/>
    </row>
    <row r="15" spans="2:16" outlineLevel="1" x14ac:dyDescent="0.5">
      <c r="B15" s="170"/>
      <c r="C15" s="16" t="s">
        <v>248</v>
      </c>
      <c r="D15" s="207">
        <v>60000</v>
      </c>
      <c r="E15" s="1" t="s">
        <v>246</v>
      </c>
      <c r="F15" s="341">
        <f>ExBA!E37</f>
        <v>6.74</v>
      </c>
      <c r="G15" s="205" t="s">
        <v>249</v>
      </c>
      <c r="H15" s="1"/>
      <c r="I15" s="504" t="s">
        <v>329</v>
      </c>
      <c r="J15" s="504"/>
      <c r="K15" s="10">
        <f>CalcRates!H27</f>
        <v>7.12</v>
      </c>
      <c r="L15" s="208"/>
      <c r="M15" s="205"/>
      <c r="P15" s="211"/>
    </row>
    <row r="16" spans="2:16" outlineLevel="1" x14ac:dyDescent="0.5">
      <c r="B16" s="170"/>
      <c r="C16" s="16" t="s">
        <v>250</v>
      </c>
      <c r="D16" s="207">
        <f>ExBA!B38</f>
        <v>70000</v>
      </c>
      <c r="E16" s="1" t="s">
        <v>246</v>
      </c>
      <c r="F16" s="341">
        <f>ExBA!E38</f>
        <v>6.19</v>
      </c>
      <c r="G16" s="205" t="s">
        <v>249</v>
      </c>
      <c r="H16" s="1"/>
      <c r="I16" s="504" t="s">
        <v>330</v>
      </c>
      <c r="J16" s="504"/>
      <c r="K16" s="10">
        <f>CalcRates!H28</f>
        <v>9.25</v>
      </c>
      <c r="L16" s="208"/>
      <c r="M16" s="205"/>
      <c r="P16" s="211"/>
    </row>
    <row r="17" spans="2:19" outlineLevel="1" x14ac:dyDescent="0.5">
      <c r="B17" s="170"/>
      <c r="C17" s="207"/>
      <c r="D17" s="1"/>
      <c r="E17" s="1"/>
      <c r="F17" s="1"/>
      <c r="G17" s="205"/>
      <c r="H17" s="1"/>
      <c r="I17" s="504" t="s">
        <v>331</v>
      </c>
      <c r="J17" s="504"/>
      <c r="K17" s="10">
        <f>CalcRates!H29</f>
        <v>24.88</v>
      </c>
      <c r="L17" s="1"/>
      <c r="M17" s="205"/>
    </row>
    <row r="18" spans="2:19" outlineLevel="1" x14ac:dyDescent="0.5">
      <c r="B18" s="170"/>
      <c r="C18" s="206" t="s">
        <v>372</v>
      </c>
      <c r="D18" s="1"/>
      <c r="E18" s="1"/>
      <c r="F18" s="1"/>
      <c r="G18" s="205"/>
      <c r="H18" s="1"/>
      <c r="I18" s="504" t="s">
        <v>332</v>
      </c>
      <c r="J18" s="504"/>
      <c r="K18" s="10">
        <f>CalcRates!H30</f>
        <v>30.67</v>
      </c>
      <c r="L18" s="1"/>
      <c r="M18" s="205"/>
    </row>
    <row r="19" spans="2:19" outlineLevel="1" x14ac:dyDescent="0.5">
      <c r="B19" s="170"/>
      <c r="C19" s="16" t="s">
        <v>245</v>
      </c>
      <c r="D19" s="207">
        <v>55000</v>
      </c>
      <c r="E19" s="1" t="s">
        <v>246</v>
      </c>
      <c r="F19" s="208">
        <v>414.79</v>
      </c>
      <c r="G19" s="205" t="s">
        <v>247</v>
      </c>
      <c r="H19" s="1"/>
      <c r="I19" s="16"/>
      <c r="J19" s="207"/>
      <c r="K19" s="1"/>
      <c r="L19" s="208"/>
      <c r="M19" s="205"/>
    </row>
    <row r="20" spans="2:19" outlineLevel="1" x14ac:dyDescent="0.5">
      <c r="B20" s="170"/>
      <c r="C20" s="16" t="s">
        <v>248</v>
      </c>
      <c r="D20" s="207">
        <v>15000</v>
      </c>
      <c r="E20" s="1" t="s">
        <v>246</v>
      </c>
      <c r="F20" s="341">
        <v>6.65</v>
      </c>
      <c r="G20" s="205" t="s">
        <v>249</v>
      </c>
      <c r="H20" s="1"/>
      <c r="I20" s="206" t="s">
        <v>378</v>
      </c>
      <c r="J20" s="207"/>
      <c r="K20" s="1"/>
      <c r="L20" s="208"/>
      <c r="M20" s="205"/>
    </row>
    <row r="21" spans="2:19" outlineLevel="1" x14ac:dyDescent="0.5">
      <c r="B21" s="170"/>
      <c r="C21" s="16" t="s">
        <v>250</v>
      </c>
      <c r="D21" s="207">
        <f>ExBA!B57</f>
        <v>70000</v>
      </c>
      <c r="E21" s="1" t="s">
        <v>246</v>
      </c>
      <c r="F21" s="341">
        <v>6.1</v>
      </c>
      <c r="G21" s="205" t="s">
        <v>249</v>
      </c>
      <c r="H21" s="1"/>
      <c r="I21" s="501" t="s">
        <v>375</v>
      </c>
      <c r="J21" s="501"/>
      <c r="K21" s="208">
        <f>CalcRates!D12</f>
        <v>10.01</v>
      </c>
      <c r="L21" s="205" t="s">
        <v>249</v>
      </c>
      <c r="M21" s="343"/>
    </row>
    <row r="22" spans="2:19" outlineLevel="1" x14ac:dyDescent="0.5">
      <c r="B22" s="170"/>
      <c r="C22" s="207"/>
      <c r="D22" s="1"/>
      <c r="E22" s="1"/>
      <c r="F22" s="1"/>
      <c r="G22" s="205"/>
      <c r="H22" s="1"/>
      <c r="I22" s="207"/>
      <c r="J22" s="1"/>
      <c r="K22" s="1"/>
      <c r="L22" s="1"/>
      <c r="M22" s="205"/>
    </row>
    <row r="23" spans="2:19" x14ac:dyDescent="0.5">
      <c r="B23" s="170"/>
      <c r="C23" s="206" t="s">
        <v>373</v>
      </c>
      <c r="D23" s="1"/>
      <c r="E23" s="1"/>
      <c r="F23" s="1"/>
      <c r="G23" s="205"/>
      <c r="H23" s="1"/>
      <c r="I23" s="206"/>
      <c r="J23" s="1"/>
      <c r="K23" s="1"/>
      <c r="L23" s="1"/>
      <c r="M23" s="205"/>
    </row>
    <row r="24" spans="2:19" x14ac:dyDescent="0.5">
      <c r="B24" s="170"/>
      <c r="C24" s="16" t="s">
        <v>245</v>
      </c>
      <c r="D24" s="207">
        <v>10000</v>
      </c>
      <c r="E24" s="1" t="s">
        <v>246</v>
      </c>
      <c r="F24" s="208">
        <v>76.8</v>
      </c>
      <c r="G24" s="205" t="s">
        <v>247</v>
      </c>
      <c r="H24" s="1"/>
      <c r="I24" s="16"/>
      <c r="J24" s="207"/>
      <c r="K24" s="1"/>
      <c r="L24" s="208"/>
      <c r="M24" s="205"/>
    </row>
    <row r="25" spans="2:19" x14ac:dyDescent="0.5">
      <c r="B25" s="170"/>
      <c r="C25" s="16" t="s">
        <v>248</v>
      </c>
      <c r="D25" s="207">
        <v>60000</v>
      </c>
      <c r="E25" s="1" t="s">
        <v>246</v>
      </c>
      <c r="F25" s="341">
        <v>6.65</v>
      </c>
      <c r="G25" s="205" t="s">
        <v>249</v>
      </c>
      <c r="H25" s="1"/>
      <c r="I25" s="16"/>
      <c r="J25" s="207"/>
      <c r="K25" s="1"/>
      <c r="L25" s="208"/>
      <c r="M25" s="205"/>
    </row>
    <row r="26" spans="2:19" x14ac:dyDescent="0.5">
      <c r="B26" s="170"/>
      <c r="C26" s="16" t="s">
        <v>250</v>
      </c>
      <c r="D26" s="207">
        <f>ExBA!B72</f>
        <v>70000</v>
      </c>
      <c r="E26" s="1" t="s">
        <v>246</v>
      </c>
      <c r="F26" s="341">
        <v>6.1</v>
      </c>
      <c r="G26" s="205" t="s">
        <v>249</v>
      </c>
      <c r="H26" s="1"/>
      <c r="I26" s="16"/>
      <c r="J26" s="207"/>
      <c r="K26" s="1"/>
      <c r="L26" s="208"/>
      <c r="M26" s="205"/>
    </row>
    <row r="27" spans="2:19" x14ac:dyDescent="0.5">
      <c r="B27" s="170"/>
      <c r="C27" s="16"/>
      <c r="D27" s="207"/>
      <c r="E27" s="1"/>
      <c r="F27" s="210"/>
      <c r="G27" s="205"/>
      <c r="H27" s="1"/>
      <c r="I27" s="16"/>
      <c r="J27" s="207"/>
      <c r="K27" s="1"/>
      <c r="L27" s="210"/>
      <c r="M27" s="205"/>
    </row>
    <row r="28" spans="2:19" x14ac:dyDescent="0.5">
      <c r="B28" s="170"/>
      <c r="C28" s="206" t="s">
        <v>374</v>
      </c>
      <c r="D28" s="1"/>
      <c r="E28" s="1"/>
      <c r="F28" s="1"/>
      <c r="G28" s="205"/>
      <c r="H28" s="1"/>
      <c r="I28" s="206" t="str">
        <f>C28</f>
        <v>Wholesale Customers</v>
      </c>
      <c r="J28" s="1"/>
      <c r="K28" s="1"/>
      <c r="L28" s="1"/>
      <c r="M28" s="205"/>
    </row>
    <row r="29" spans="2:19" x14ac:dyDescent="0.5">
      <c r="B29" s="170"/>
      <c r="D29" s="16" t="s">
        <v>375</v>
      </c>
      <c r="E29" s="1"/>
      <c r="F29" s="208">
        <v>3.76</v>
      </c>
      <c r="G29" s="205" t="s">
        <v>249</v>
      </c>
      <c r="H29" s="1"/>
      <c r="I29" s="501" t="s">
        <v>375</v>
      </c>
      <c r="J29" s="501"/>
      <c r="K29" s="208">
        <f>ROUND(3.76*(1+SAO!H54),2)</f>
        <v>4.22</v>
      </c>
      <c r="L29" s="205" t="s">
        <v>249</v>
      </c>
      <c r="M29" s="343"/>
    </row>
    <row r="30" spans="2:19" x14ac:dyDescent="0.5">
      <c r="B30" s="193"/>
      <c r="C30" s="212"/>
      <c r="D30" s="154"/>
      <c r="E30" s="154"/>
      <c r="F30" s="154"/>
      <c r="G30" s="204"/>
      <c r="H30" s="154"/>
      <c r="I30" s="154"/>
      <c r="J30" s="154"/>
      <c r="K30" s="154"/>
      <c r="L30" s="154"/>
      <c r="M30" s="204"/>
    </row>
    <row r="31" spans="2:19" x14ac:dyDescent="0.5">
      <c r="C31" s="213"/>
    </row>
    <row r="32" spans="2:19" x14ac:dyDescent="0.5">
      <c r="C32" s="213"/>
      <c r="O32" s="1"/>
      <c r="P32" s="1"/>
      <c r="Q32" s="214"/>
      <c r="R32" s="214"/>
      <c r="S32" s="214"/>
    </row>
    <row r="33" spans="3:19" x14ac:dyDescent="0.5">
      <c r="C33" s="213"/>
      <c r="O33" s="215"/>
      <c r="P33" s="1"/>
      <c r="Q33" s="98"/>
      <c r="R33" s="98"/>
      <c r="S33" s="216"/>
    </row>
    <row r="34" spans="3:19" x14ac:dyDescent="0.5">
      <c r="C34" s="213"/>
      <c r="O34" s="215"/>
      <c r="P34" s="1"/>
      <c r="Q34" s="217"/>
      <c r="R34" s="217"/>
      <c r="S34" s="216"/>
    </row>
    <row r="35" spans="3:19" x14ac:dyDescent="0.5">
      <c r="C35" s="213"/>
      <c r="O35" s="215"/>
      <c r="P35" s="1"/>
      <c r="Q35" s="217"/>
      <c r="R35" s="217"/>
      <c r="S35" s="216"/>
    </row>
    <row r="36" spans="3:19" x14ac:dyDescent="0.5">
      <c r="N36" s="213"/>
      <c r="O36" s="215"/>
      <c r="P36" s="1"/>
      <c r="Q36" s="217"/>
      <c r="R36" s="217"/>
      <c r="S36" s="216"/>
    </row>
  </sheetData>
  <mergeCells count="16">
    <mergeCell ref="I21:J21"/>
    <mergeCell ref="I29:J29"/>
    <mergeCell ref="I12:J12"/>
    <mergeCell ref="I13:J13"/>
    <mergeCell ref="I14:J14"/>
    <mergeCell ref="I15:J15"/>
    <mergeCell ref="I16:J16"/>
    <mergeCell ref="I17:J17"/>
    <mergeCell ref="I18:J18"/>
    <mergeCell ref="C9:G9"/>
    <mergeCell ref="I9:M9"/>
    <mergeCell ref="B2:M2"/>
    <mergeCell ref="C4:M4"/>
    <mergeCell ref="C6:M6"/>
    <mergeCell ref="C5:M5"/>
    <mergeCell ref="C3:M3"/>
  </mergeCells>
  <printOptions horizontalCentered="1"/>
  <pageMargins left="0.55000000000000004" right="0.55000000000000004" top="1.6" bottom="0.5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7"/>
  <sheetViews>
    <sheetView topLeftCell="A15" workbookViewId="0">
      <selection activeCell="J47" sqref="A1:J47"/>
    </sheetView>
  </sheetViews>
  <sheetFormatPr defaultColWidth="8.88671875" defaultRowHeight="14.25" x14ac:dyDescent="0.45"/>
  <cols>
    <col min="1" max="1" width="2.609375" style="6" customWidth="1"/>
    <col min="2" max="2" width="1.21875" style="6" customWidth="1"/>
    <col min="3" max="6" width="11.33203125" style="6" customWidth="1"/>
    <col min="7" max="7" width="0" style="6" hidden="1" customWidth="1"/>
    <col min="8" max="8" width="8.88671875" style="6"/>
    <col min="9" max="9" width="1.5546875" style="6" customWidth="1"/>
    <col min="10" max="10" width="2.609375" style="6" customWidth="1"/>
    <col min="11" max="16384" width="8.88671875" style="6"/>
  </cols>
  <sheetData>
    <row r="1" spans="1:11" ht="15.75" x14ac:dyDescent="0.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1"/>
    </row>
    <row r="2" spans="1:11" ht="15.75" x14ac:dyDescent="0.5">
      <c r="A2" s="203"/>
      <c r="B2" s="345"/>
      <c r="C2" s="346"/>
      <c r="D2" s="346"/>
      <c r="E2" s="346"/>
      <c r="F2" s="346"/>
      <c r="G2" s="346"/>
      <c r="H2" s="346"/>
      <c r="I2" s="347"/>
      <c r="J2" s="203"/>
      <c r="K2" s="1"/>
    </row>
    <row r="3" spans="1:11" ht="18" x14ac:dyDescent="0.55000000000000004">
      <c r="A3" s="203"/>
      <c r="B3" s="488" t="s">
        <v>460</v>
      </c>
      <c r="C3" s="477"/>
      <c r="D3" s="477"/>
      <c r="E3" s="477"/>
      <c r="F3" s="477"/>
      <c r="G3" s="477"/>
      <c r="H3" s="477"/>
      <c r="I3" s="478"/>
      <c r="J3" s="203"/>
      <c r="K3" s="1"/>
    </row>
    <row r="4" spans="1:11" ht="18.75" customHeight="1" x14ac:dyDescent="0.55000000000000004">
      <c r="A4" s="203"/>
      <c r="B4" s="483" t="s">
        <v>382</v>
      </c>
      <c r="C4" s="484"/>
      <c r="D4" s="484"/>
      <c r="E4" s="484"/>
      <c r="F4" s="484"/>
      <c r="G4" s="484"/>
      <c r="H4" s="484"/>
      <c r="I4" s="485"/>
      <c r="J4" s="203"/>
      <c r="K4" s="1"/>
    </row>
    <row r="5" spans="1:11" ht="15.75" x14ac:dyDescent="0.5">
      <c r="A5" s="203"/>
      <c r="B5" s="505" t="s">
        <v>179</v>
      </c>
      <c r="C5" s="506"/>
      <c r="D5" s="506"/>
      <c r="E5" s="506"/>
      <c r="F5" s="506"/>
      <c r="G5" s="506"/>
      <c r="H5" s="506"/>
      <c r="I5" s="507"/>
      <c r="J5" s="203"/>
      <c r="K5" s="1"/>
    </row>
    <row r="6" spans="1:11" ht="15.75" x14ac:dyDescent="0.5">
      <c r="A6" s="203"/>
      <c r="B6" s="350"/>
      <c r="C6" s="351"/>
      <c r="D6" s="351"/>
      <c r="E6" s="351"/>
      <c r="F6" s="351"/>
      <c r="G6" s="351"/>
      <c r="H6" s="351"/>
      <c r="I6" s="352"/>
      <c r="J6" s="203"/>
      <c r="K6" s="1"/>
    </row>
    <row r="7" spans="1:11" ht="15.4" x14ac:dyDescent="0.45">
      <c r="A7"/>
      <c r="B7" s="38"/>
      <c r="C7" s="40"/>
      <c r="D7" s="39"/>
      <c r="E7" s="39"/>
      <c r="F7" s="39"/>
      <c r="G7" s="39"/>
      <c r="H7" s="39"/>
      <c r="I7" s="40"/>
      <c r="J7"/>
      <c r="K7" s="1"/>
    </row>
    <row r="8" spans="1:11" ht="17.649999999999999" x14ac:dyDescent="0.75">
      <c r="A8"/>
      <c r="B8" s="14"/>
      <c r="C8" s="365" t="s">
        <v>14</v>
      </c>
      <c r="D8" s="323" t="s">
        <v>26</v>
      </c>
      <c r="E8" s="323" t="s">
        <v>11</v>
      </c>
      <c r="F8" s="300"/>
      <c r="G8" s="282"/>
      <c r="H8" s="282"/>
      <c r="I8" s="353"/>
      <c r="J8"/>
      <c r="K8" s="1"/>
    </row>
    <row r="9" spans="1:11" ht="17.649999999999999" x14ac:dyDescent="0.75">
      <c r="A9"/>
      <c r="B9" s="14"/>
      <c r="C9" s="366" t="s">
        <v>65</v>
      </c>
      <c r="D9" s="300" t="s">
        <v>60</v>
      </c>
      <c r="E9" s="300" t="s">
        <v>60</v>
      </c>
      <c r="F9" s="300" t="s">
        <v>27</v>
      </c>
      <c r="G9" s="282" t="s">
        <v>61</v>
      </c>
      <c r="H9" s="300" t="s">
        <v>452</v>
      </c>
      <c r="I9" s="353"/>
      <c r="J9"/>
      <c r="K9" s="1"/>
    </row>
    <row r="10" spans="1:11" ht="6.95" customHeight="1" x14ac:dyDescent="0.75">
      <c r="A10"/>
      <c r="B10" s="14"/>
      <c r="C10" s="353"/>
      <c r="D10" s="282"/>
      <c r="E10" s="282"/>
      <c r="F10" s="282"/>
      <c r="G10" s="282"/>
      <c r="H10" s="282"/>
      <c r="I10" s="353"/>
      <c r="J10"/>
      <c r="K10" s="1"/>
    </row>
    <row r="11" spans="1:11" ht="18" x14ac:dyDescent="0.8">
      <c r="A11"/>
      <c r="B11" s="14"/>
      <c r="C11" s="353"/>
      <c r="D11" s="487" t="s">
        <v>383</v>
      </c>
      <c r="E11" s="487"/>
      <c r="F11" s="487"/>
      <c r="G11" s="487"/>
      <c r="H11" s="354"/>
      <c r="I11" s="353"/>
      <c r="J11"/>
      <c r="K11" s="1"/>
    </row>
    <row r="12" spans="1:11" ht="18" x14ac:dyDescent="0.8">
      <c r="A12"/>
      <c r="B12" s="14"/>
      <c r="C12" s="367" t="s">
        <v>377</v>
      </c>
      <c r="D12" s="355">
        <f>COS_rates!F12</f>
        <v>22.09</v>
      </c>
      <c r="E12" s="355">
        <f>COS_rates!K13</f>
        <v>5.58</v>
      </c>
      <c r="F12" s="302">
        <f t="shared" ref="F12:F17" si="0">E12-D12</f>
        <v>-16.509999999999998</v>
      </c>
      <c r="G12" s="354"/>
      <c r="H12" s="442">
        <f>F12/D12</f>
        <v>-0.74739701222272514</v>
      </c>
      <c r="I12" s="353"/>
      <c r="J12"/>
      <c r="K12" s="368">
        <f>F12/D12</f>
        <v>-0.74739701222272514</v>
      </c>
    </row>
    <row r="13" spans="1:11" ht="15.75" x14ac:dyDescent="0.5">
      <c r="A13"/>
      <c r="B13" s="14"/>
      <c r="C13" s="33">
        <v>2000</v>
      </c>
      <c r="D13" s="360">
        <f>COS_rates!F12</f>
        <v>22.09</v>
      </c>
      <c r="E13" s="302">
        <f>COS_rates!K13+2*COS_rates!K21</f>
        <v>25.6</v>
      </c>
      <c r="F13" s="302">
        <f t="shared" si="0"/>
        <v>3.5100000000000016</v>
      </c>
      <c r="G13" s="253">
        <f t="shared" ref="G13:G17" si="1">F13/D13</f>
        <v>0.1588954277953826</v>
      </c>
      <c r="H13" s="442">
        <f t="shared" ref="H13:H44" si="2">F13/D13</f>
        <v>0.1588954277953826</v>
      </c>
      <c r="I13" s="356"/>
      <c r="J13"/>
      <c r="K13" s="368">
        <f t="shared" ref="K13:K17" si="3">F13/D13</f>
        <v>0.1588954277953826</v>
      </c>
    </row>
    <row r="14" spans="1:11" ht="15.75" x14ac:dyDescent="0.5">
      <c r="A14"/>
      <c r="B14" s="14"/>
      <c r="C14" s="357">
        <v>4000</v>
      </c>
      <c r="D14" s="358">
        <f>D13+2*COS_rates!F13</f>
        <v>39.489999999999995</v>
      </c>
      <c r="E14" s="358">
        <f>E13+2*COS_rates!K21</f>
        <v>45.620000000000005</v>
      </c>
      <c r="F14" s="358">
        <f t="shared" si="0"/>
        <v>6.1300000000000097</v>
      </c>
      <c r="G14" s="359">
        <f t="shared" si="1"/>
        <v>0.15522917194226413</v>
      </c>
      <c r="H14" s="443">
        <f t="shared" si="2"/>
        <v>0.15522917194226413</v>
      </c>
      <c r="I14" s="444"/>
      <c r="J14"/>
      <c r="K14" s="368">
        <f t="shared" si="3"/>
        <v>0.15522917194226413</v>
      </c>
    </row>
    <row r="15" spans="1:11" ht="15.75" x14ac:dyDescent="0.5">
      <c r="A15"/>
      <c r="B15" s="14"/>
      <c r="C15" s="33">
        <v>6000</v>
      </c>
      <c r="D15" s="360">
        <f>D14+COS_rates!F13+COS_rates!F14</f>
        <v>55.57</v>
      </c>
      <c r="E15" s="302">
        <f>E14+2*COS_rates!K21</f>
        <v>65.64</v>
      </c>
      <c r="F15" s="302">
        <f t="shared" si="0"/>
        <v>10.07</v>
      </c>
      <c r="G15" s="253">
        <f t="shared" si="1"/>
        <v>0.181212884649991</v>
      </c>
      <c r="H15" s="442">
        <f t="shared" si="2"/>
        <v>0.181212884649991</v>
      </c>
      <c r="I15" s="356"/>
      <c r="J15"/>
      <c r="K15" s="368">
        <f t="shared" si="3"/>
        <v>0.181212884649991</v>
      </c>
    </row>
    <row r="16" spans="1:11" ht="15.75" x14ac:dyDescent="0.5">
      <c r="A16"/>
      <c r="B16" s="14"/>
      <c r="C16" s="33">
        <v>10000</v>
      </c>
      <c r="D16" s="360">
        <f>D15+4*COS_rates!F14</f>
        <v>85.09</v>
      </c>
      <c r="E16" s="302">
        <f>E15+4*COS_rates!K21</f>
        <v>105.68</v>
      </c>
      <c r="F16" s="302">
        <f t="shared" si="0"/>
        <v>20.590000000000003</v>
      </c>
      <c r="G16" s="253">
        <f t="shared" si="1"/>
        <v>0.24197908097308735</v>
      </c>
      <c r="H16" s="442">
        <f t="shared" si="2"/>
        <v>0.24197908097308735</v>
      </c>
      <c r="I16" s="356"/>
      <c r="J16"/>
      <c r="K16" s="368">
        <f t="shared" si="3"/>
        <v>0.24197908097308735</v>
      </c>
    </row>
    <row r="17" spans="1:11" ht="15.75" x14ac:dyDescent="0.5">
      <c r="A17"/>
      <c r="B17" s="14"/>
      <c r="C17" s="33">
        <v>50000</v>
      </c>
      <c r="D17" s="360">
        <f>D16+40*COS_rates!F15</f>
        <v>354.69000000000005</v>
      </c>
      <c r="E17" s="302">
        <f>E16+40*COS_rates!K21</f>
        <v>506.08</v>
      </c>
      <c r="F17" s="302">
        <f t="shared" si="0"/>
        <v>151.38999999999993</v>
      </c>
      <c r="G17" s="253">
        <f t="shared" si="1"/>
        <v>0.42682342327102513</v>
      </c>
      <c r="H17" s="442">
        <f t="shared" si="2"/>
        <v>0.42682342327102513</v>
      </c>
      <c r="I17" s="356"/>
      <c r="J17"/>
      <c r="K17" s="368">
        <f t="shared" si="3"/>
        <v>0.42682342327102513</v>
      </c>
    </row>
    <row r="18" spans="1:11" ht="6.95" customHeight="1" x14ac:dyDescent="0.5">
      <c r="A18"/>
      <c r="B18" s="14"/>
      <c r="C18" s="33"/>
      <c r="D18" s="360"/>
      <c r="E18" s="302"/>
      <c r="F18" s="302"/>
      <c r="G18" s="253"/>
      <c r="H18" s="442"/>
      <c r="I18" s="356"/>
      <c r="J18"/>
      <c r="K18" s="1"/>
    </row>
    <row r="19" spans="1:11" ht="18" x14ac:dyDescent="0.8">
      <c r="A19"/>
      <c r="B19" s="14"/>
      <c r="C19" s="33"/>
      <c r="D19" s="487" t="s">
        <v>251</v>
      </c>
      <c r="E19" s="487"/>
      <c r="F19" s="487"/>
      <c r="G19" s="487"/>
      <c r="H19" s="442"/>
      <c r="I19" s="356"/>
      <c r="J19"/>
      <c r="K19" s="1"/>
    </row>
    <row r="20" spans="1:11" ht="18" x14ac:dyDescent="0.8">
      <c r="A20"/>
      <c r="B20" s="14"/>
      <c r="C20" s="367" t="s">
        <v>377</v>
      </c>
      <c r="D20" s="372">
        <f>COS_rates!F12</f>
        <v>22.09</v>
      </c>
      <c r="E20" s="372">
        <f>COS_rates!K14</f>
        <v>6.35</v>
      </c>
      <c r="F20" s="373">
        <f t="shared" ref="F20:F24" si="4">E20-D20</f>
        <v>-15.74</v>
      </c>
      <c r="G20" s="354"/>
      <c r="H20" s="442">
        <f t="shared" si="2"/>
        <v>-0.71253961068356719</v>
      </c>
      <c r="I20" s="356"/>
      <c r="J20"/>
      <c r="K20" s="368">
        <f t="shared" ref="K20:K24" si="5">F20/D20</f>
        <v>-0.71253961068356719</v>
      </c>
    </row>
    <row r="21" spans="1:11" ht="15.75" x14ac:dyDescent="0.5">
      <c r="A21"/>
      <c r="B21" s="14"/>
      <c r="C21" s="33">
        <v>2000</v>
      </c>
      <c r="D21" s="10">
        <f>COS_rates!F12</f>
        <v>22.09</v>
      </c>
      <c r="E21" s="10">
        <f>E20+2*COS_rates!K21</f>
        <v>26.369999999999997</v>
      </c>
      <c r="F21" s="302">
        <f t="shared" si="4"/>
        <v>4.2799999999999976</v>
      </c>
      <c r="G21" s="253">
        <f>F21/D20</f>
        <v>0.19375282933454041</v>
      </c>
      <c r="H21" s="442">
        <f t="shared" si="2"/>
        <v>0.19375282933454041</v>
      </c>
      <c r="I21" s="356"/>
      <c r="J21"/>
      <c r="K21" s="368">
        <f t="shared" si="5"/>
        <v>0.19375282933454041</v>
      </c>
    </row>
    <row r="22" spans="1:11" ht="15.75" x14ac:dyDescent="0.5">
      <c r="A22"/>
      <c r="B22" s="14"/>
      <c r="C22" s="33">
        <v>5000</v>
      </c>
      <c r="D22" s="360">
        <f>D20+3*COS_rates!F13</f>
        <v>48.19</v>
      </c>
      <c r="E22" s="360">
        <f>E21+3*COS_rates!K21</f>
        <v>56.4</v>
      </c>
      <c r="F22" s="302">
        <f t="shared" si="4"/>
        <v>8.2100000000000009</v>
      </c>
      <c r="G22" s="253">
        <f t="shared" ref="G22:G24" si="6">F22/D22</f>
        <v>0.17036729611952689</v>
      </c>
      <c r="H22" s="442">
        <f t="shared" si="2"/>
        <v>0.17036729611952689</v>
      </c>
      <c r="I22" s="356"/>
      <c r="J22"/>
      <c r="K22" s="368">
        <f t="shared" si="5"/>
        <v>0.17036729611952689</v>
      </c>
    </row>
    <row r="23" spans="1:11" ht="15.75" x14ac:dyDescent="0.5">
      <c r="A23"/>
      <c r="B23" s="14"/>
      <c r="C23" s="33">
        <v>25000</v>
      </c>
      <c r="D23" s="360">
        <f>D22+5*7.29+15*COS_rates!F15</f>
        <v>185.74</v>
      </c>
      <c r="E23" s="360">
        <f>E22+20*COS_rates!K21</f>
        <v>256.59999999999997</v>
      </c>
      <c r="F23" s="302">
        <f t="shared" si="4"/>
        <v>70.859999999999957</v>
      </c>
      <c r="G23" s="253">
        <f t="shared" si="6"/>
        <v>0.38150102293528565</v>
      </c>
      <c r="H23" s="442">
        <f t="shared" si="2"/>
        <v>0.38150102293528565</v>
      </c>
      <c r="I23" s="356"/>
      <c r="J23"/>
      <c r="K23" s="368">
        <f t="shared" si="5"/>
        <v>0.38150102293528565</v>
      </c>
    </row>
    <row r="24" spans="1:11" ht="15.75" x14ac:dyDescent="0.5">
      <c r="A24"/>
      <c r="B24" s="14"/>
      <c r="C24" s="33">
        <v>50000</v>
      </c>
      <c r="D24" s="360">
        <f>D23+25*COS_rates!F15</f>
        <v>354.24</v>
      </c>
      <c r="E24" s="360">
        <f>E23+25*COS_rates!K21</f>
        <v>506.84999999999997</v>
      </c>
      <c r="F24" s="302">
        <f t="shared" si="4"/>
        <v>152.60999999999996</v>
      </c>
      <c r="G24" s="253">
        <f t="shared" si="6"/>
        <v>0.43080962059620581</v>
      </c>
      <c r="H24" s="442">
        <f t="shared" si="2"/>
        <v>0.43080962059620581</v>
      </c>
      <c r="I24" s="356"/>
      <c r="J24"/>
      <c r="K24" s="368">
        <f t="shared" si="5"/>
        <v>0.43080962059620581</v>
      </c>
    </row>
    <row r="25" spans="1:11" ht="6.95" customHeight="1" x14ac:dyDescent="0.8">
      <c r="A25"/>
      <c r="B25" s="14"/>
      <c r="C25" s="33"/>
      <c r="D25" s="354"/>
      <c r="E25" s="354"/>
      <c r="F25" s="354"/>
      <c r="G25" s="354"/>
      <c r="H25" s="442"/>
      <c r="I25" s="356"/>
      <c r="J25"/>
      <c r="K25" s="1"/>
    </row>
    <row r="26" spans="1:11" ht="18" x14ac:dyDescent="0.8">
      <c r="A26"/>
      <c r="B26" s="14"/>
      <c r="C26" s="33"/>
      <c r="D26" s="487" t="s">
        <v>384</v>
      </c>
      <c r="E26" s="487"/>
      <c r="F26" s="487"/>
      <c r="G26" s="487"/>
      <c r="H26" s="442"/>
      <c r="I26" s="356"/>
      <c r="J26"/>
      <c r="K26" s="1"/>
    </row>
    <row r="27" spans="1:11" ht="18" x14ac:dyDescent="0.8">
      <c r="A27"/>
      <c r="B27" s="14"/>
      <c r="C27" s="367" t="s">
        <v>377</v>
      </c>
      <c r="D27" s="372">
        <f>COS_rates!F12</f>
        <v>22.09</v>
      </c>
      <c r="E27" s="372">
        <f>COS_rates!K16</f>
        <v>9.25</v>
      </c>
      <c r="F27" s="373">
        <f t="shared" ref="F27" si="7">E27-D27</f>
        <v>-12.84</v>
      </c>
      <c r="G27" s="354"/>
      <c r="H27" s="442">
        <f t="shared" si="2"/>
        <v>-0.58125848800362157</v>
      </c>
      <c r="I27" s="356"/>
      <c r="J27"/>
      <c r="K27" s="368">
        <f t="shared" ref="K27:K32" si="8">F27/D27</f>
        <v>-0.58125848800362157</v>
      </c>
    </row>
    <row r="28" spans="1:11" ht="15.75" x14ac:dyDescent="0.5">
      <c r="A28"/>
      <c r="B28" s="14"/>
      <c r="C28" s="33">
        <v>2000</v>
      </c>
      <c r="D28" s="360">
        <f>COS_rates!F12</f>
        <v>22.09</v>
      </c>
      <c r="E28" s="360">
        <f>E27+2*COS_rates!K21</f>
        <v>29.27</v>
      </c>
      <c r="F28" s="302">
        <f t="shared" ref="F28:F32" si="9">E28-D28</f>
        <v>7.18</v>
      </c>
      <c r="G28" s="253">
        <f t="shared" ref="G28:G32" si="10">F28/D28</f>
        <v>0.3250339520144862</v>
      </c>
      <c r="H28" s="442">
        <f t="shared" si="2"/>
        <v>0.3250339520144862</v>
      </c>
      <c r="I28" s="356"/>
      <c r="J28"/>
      <c r="K28" s="368">
        <f t="shared" si="8"/>
        <v>0.3250339520144862</v>
      </c>
    </row>
    <row r="29" spans="1:11" ht="15.75" x14ac:dyDescent="0.5">
      <c r="A29"/>
      <c r="B29" s="14"/>
      <c r="C29" s="33">
        <v>10000</v>
      </c>
      <c r="D29" s="360">
        <f>D28+3*COS_rates!F13+5*COS_rates!F14</f>
        <v>85.09</v>
      </c>
      <c r="E29" s="360">
        <f>E28+8*COS_rates!K21</f>
        <v>109.35</v>
      </c>
      <c r="F29" s="302">
        <f t="shared" si="9"/>
        <v>24.259999999999991</v>
      </c>
      <c r="G29" s="253">
        <f t="shared" si="10"/>
        <v>0.28510988365260298</v>
      </c>
      <c r="H29" s="442">
        <f t="shared" si="2"/>
        <v>0.28510988365260298</v>
      </c>
      <c r="I29" s="356"/>
      <c r="J29"/>
      <c r="K29" s="368">
        <f t="shared" si="8"/>
        <v>0.28510988365260298</v>
      </c>
    </row>
    <row r="30" spans="1:11" ht="15.75" x14ac:dyDescent="0.5">
      <c r="A30"/>
      <c r="B30" s="14"/>
      <c r="C30" s="33">
        <v>30000</v>
      </c>
      <c r="D30" s="360">
        <f>D29+20*COS_rates!F15</f>
        <v>219.89000000000001</v>
      </c>
      <c r="E30" s="360">
        <f>E29+20*COS_rates!K21</f>
        <v>309.54999999999995</v>
      </c>
      <c r="F30" s="302">
        <f t="shared" si="9"/>
        <v>89.65999999999994</v>
      </c>
      <c r="G30" s="253">
        <f t="shared" si="10"/>
        <v>0.4077493292100593</v>
      </c>
      <c r="H30" s="442">
        <f t="shared" si="2"/>
        <v>0.4077493292100593</v>
      </c>
      <c r="I30" s="356"/>
      <c r="J30"/>
      <c r="K30" s="368">
        <f t="shared" si="8"/>
        <v>0.4077493292100593</v>
      </c>
    </row>
    <row r="31" spans="1:11" ht="15.75" x14ac:dyDescent="0.5">
      <c r="A31"/>
      <c r="B31" s="14"/>
      <c r="C31" s="33">
        <v>50000</v>
      </c>
      <c r="D31" s="360">
        <f>D30+20*COS_rates!F15</f>
        <v>354.69000000000005</v>
      </c>
      <c r="E31" s="360">
        <f>E30+20*COS_rates!K21</f>
        <v>509.74999999999994</v>
      </c>
      <c r="F31" s="302">
        <f t="shared" si="9"/>
        <v>155.05999999999989</v>
      </c>
      <c r="G31" s="253">
        <f t="shared" si="10"/>
        <v>0.43717048690405669</v>
      </c>
      <c r="H31" s="442">
        <f t="shared" si="2"/>
        <v>0.43717048690405669</v>
      </c>
      <c r="I31" s="356"/>
      <c r="J31"/>
      <c r="K31" s="368">
        <f t="shared" si="8"/>
        <v>0.43717048690405669</v>
      </c>
    </row>
    <row r="32" spans="1:11" ht="15.75" x14ac:dyDescent="0.5">
      <c r="A32"/>
      <c r="B32" s="14"/>
      <c r="C32" s="33">
        <v>100000</v>
      </c>
      <c r="D32" s="360">
        <f>D31+10*COS_rates!F15+50*COS_rates!F16</f>
        <v>731.59</v>
      </c>
      <c r="E32" s="360">
        <f>E31+50*COS_rates!K21</f>
        <v>1010.25</v>
      </c>
      <c r="F32" s="302">
        <f t="shared" si="9"/>
        <v>278.65999999999997</v>
      </c>
      <c r="G32" s="253">
        <f t="shared" si="10"/>
        <v>0.38089640372339695</v>
      </c>
      <c r="H32" s="442">
        <f t="shared" si="2"/>
        <v>0.38089640372339695</v>
      </c>
      <c r="I32" s="356"/>
      <c r="J32"/>
      <c r="K32" s="368">
        <f t="shared" si="8"/>
        <v>0.38089640372339695</v>
      </c>
    </row>
    <row r="33" spans="1:11" ht="6.95" customHeight="1" x14ac:dyDescent="0.8">
      <c r="A33"/>
      <c r="B33" s="14"/>
      <c r="C33" s="33"/>
      <c r="D33" s="354"/>
      <c r="E33" s="354"/>
      <c r="F33" s="354"/>
      <c r="G33" s="354"/>
      <c r="H33" s="442"/>
      <c r="I33" s="356"/>
      <c r="J33"/>
      <c r="K33" s="1"/>
    </row>
    <row r="34" spans="1:11" ht="18" x14ac:dyDescent="0.8">
      <c r="A34"/>
      <c r="B34" s="14"/>
      <c r="C34" s="33"/>
      <c r="D34" s="487" t="s">
        <v>385</v>
      </c>
      <c r="E34" s="487"/>
      <c r="F34" s="487"/>
      <c r="G34" s="487"/>
      <c r="H34" s="442"/>
      <c r="I34" s="356"/>
      <c r="J34"/>
      <c r="K34" s="1"/>
    </row>
    <row r="35" spans="1:11" ht="18" x14ac:dyDescent="0.8">
      <c r="A35"/>
      <c r="B35" s="14"/>
      <c r="C35" s="367" t="s">
        <v>377</v>
      </c>
      <c r="D35" s="372">
        <f>COS_rates!F12</f>
        <v>22.09</v>
      </c>
      <c r="E35" s="372">
        <f>COS_rates!K18</f>
        <v>30.67</v>
      </c>
      <c r="F35" s="373">
        <f t="shared" ref="F35" si="11">E35-D35</f>
        <v>8.5800000000000018</v>
      </c>
      <c r="G35" s="354"/>
      <c r="H35" s="442">
        <f t="shared" si="2"/>
        <v>0.38841104572204627</v>
      </c>
      <c r="I35" s="356"/>
      <c r="J35"/>
      <c r="K35" s="368">
        <f t="shared" ref="K35:K39" si="12">F35/D35</f>
        <v>0.38841104572204627</v>
      </c>
    </row>
    <row r="36" spans="1:11" ht="15.75" x14ac:dyDescent="0.5">
      <c r="A36"/>
      <c r="B36" s="14"/>
      <c r="C36" s="33">
        <v>2000</v>
      </c>
      <c r="D36" s="360">
        <f>COS_rates!F12</f>
        <v>22.09</v>
      </c>
      <c r="E36" s="360">
        <f>E35+2*COS_rates!K21</f>
        <v>50.69</v>
      </c>
      <c r="F36" s="302">
        <f t="shared" ref="F36:F39" si="13">E36-D36</f>
        <v>28.599999999999998</v>
      </c>
      <c r="G36" s="253">
        <f t="shared" ref="G36:G39" si="14">F36/D36</f>
        <v>1.2947034857401538</v>
      </c>
      <c r="H36" s="442">
        <f t="shared" si="2"/>
        <v>1.2947034857401538</v>
      </c>
      <c r="I36" s="356"/>
      <c r="J36"/>
      <c r="K36" s="368">
        <f t="shared" si="12"/>
        <v>1.2947034857401538</v>
      </c>
    </row>
    <row r="37" spans="1:11" ht="15.75" x14ac:dyDescent="0.5">
      <c r="A37"/>
      <c r="B37" s="14"/>
      <c r="C37" s="33">
        <v>50000</v>
      </c>
      <c r="D37" s="360">
        <f>D24</f>
        <v>354.24</v>
      </c>
      <c r="E37" s="360">
        <f>E36+48*COS_rates!K21</f>
        <v>531.17000000000007</v>
      </c>
      <c r="F37" s="302">
        <f t="shared" si="13"/>
        <v>176.93000000000006</v>
      </c>
      <c r="G37" s="253">
        <f t="shared" si="14"/>
        <v>0.49946364046973818</v>
      </c>
      <c r="H37" s="442">
        <f t="shared" si="2"/>
        <v>0.49946364046973818</v>
      </c>
      <c r="I37" s="356"/>
      <c r="J37"/>
      <c r="K37" s="368">
        <f t="shared" si="12"/>
        <v>0.49946364046973818</v>
      </c>
    </row>
    <row r="38" spans="1:11" ht="15.75" x14ac:dyDescent="0.5">
      <c r="A38"/>
      <c r="B38" s="14"/>
      <c r="C38" s="33">
        <v>100000</v>
      </c>
      <c r="D38" s="360">
        <f>D32</f>
        <v>731.59</v>
      </c>
      <c r="E38" s="360">
        <f>E37+50*COS_rates!K21</f>
        <v>1031.67</v>
      </c>
      <c r="F38" s="302">
        <f t="shared" si="13"/>
        <v>300.08000000000004</v>
      </c>
      <c r="G38" s="253">
        <f t="shared" si="14"/>
        <v>0.41017509807405789</v>
      </c>
      <c r="H38" s="442">
        <f t="shared" si="2"/>
        <v>0.41017509807405789</v>
      </c>
      <c r="I38" s="356"/>
      <c r="J38"/>
      <c r="K38" s="368">
        <f t="shared" si="12"/>
        <v>0.41017509807405789</v>
      </c>
    </row>
    <row r="39" spans="1:11" ht="15.75" x14ac:dyDescent="0.5">
      <c r="A39"/>
      <c r="B39" s="14"/>
      <c r="C39" s="33">
        <v>150000</v>
      </c>
      <c r="D39" s="360">
        <f>D38+50*COS_rates!F16</f>
        <v>1041.0900000000001</v>
      </c>
      <c r="E39" s="360">
        <f>E38+50*COS_rates!K21</f>
        <v>1532.17</v>
      </c>
      <c r="F39" s="302">
        <f t="shared" si="13"/>
        <v>491.07999999999993</v>
      </c>
      <c r="G39" s="253">
        <f t="shared" si="14"/>
        <v>0.47169793197514132</v>
      </c>
      <c r="H39" s="442">
        <f t="shared" si="2"/>
        <v>0.47169793197514132</v>
      </c>
      <c r="I39" s="356"/>
      <c r="J39"/>
      <c r="K39" s="368">
        <f t="shared" si="12"/>
        <v>0.47169793197514132</v>
      </c>
    </row>
    <row r="40" spans="1:11" ht="6.95" customHeight="1" x14ac:dyDescent="0.5">
      <c r="A40"/>
      <c r="B40" s="14"/>
      <c r="C40" s="33"/>
      <c r="D40" s="360"/>
      <c r="E40" s="360"/>
      <c r="F40" s="302"/>
      <c r="G40" s="253"/>
      <c r="H40" s="442"/>
      <c r="I40" s="356"/>
      <c r="J40"/>
      <c r="K40" s="1"/>
    </row>
    <row r="41" spans="1:11" ht="18" x14ac:dyDescent="0.8">
      <c r="A41"/>
      <c r="B41" s="14"/>
      <c r="C41" s="33"/>
      <c r="D41" s="487" t="s">
        <v>386</v>
      </c>
      <c r="E41" s="487"/>
      <c r="F41" s="487"/>
      <c r="G41" s="487"/>
      <c r="H41" s="442"/>
      <c r="I41" s="356"/>
      <c r="J41"/>
      <c r="K41" s="1"/>
    </row>
    <row r="42" spans="1:11" ht="15.75" x14ac:dyDescent="0.5">
      <c r="A42"/>
      <c r="B42" s="14"/>
      <c r="C42" s="367" t="s">
        <v>377</v>
      </c>
      <c r="D42" s="360">
        <f>COS_rates!F19</f>
        <v>414.79</v>
      </c>
      <c r="E42" s="360">
        <f>E35</f>
        <v>30.67</v>
      </c>
      <c r="F42" s="373">
        <f t="shared" ref="F42:F44" si="15">E42-D42</f>
        <v>-384.12</v>
      </c>
      <c r="G42" s="253"/>
      <c r="H42" s="442">
        <f t="shared" si="2"/>
        <v>-0.92605896959907419</v>
      </c>
      <c r="I42" s="356"/>
      <c r="J42"/>
      <c r="K42" s="368">
        <f t="shared" ref="K42:K44" si="16">F42/D42</f>
        <v>-0.92605896959907419</v>
      </c>
    </row>
    <row r="43" spans="1:11" ht="15.75" x14ac:dyDescent="0.5">
      <c r="A43"/>
      <c r="B43" s="14"/>
      <c r="C43" s="33">
        <v>100000</v>
      </c>
      <c r="D43" s="360">
        <f>D42+15*COS_rates!F20+30*COS_rates!F21</f>
        <v>697.54</v>
      </c>
      <c r="E43" s="360">
        <f>E38</f>
        <v>1031.67</v>
      </c>
      <c r="F43" s="373">
        <f t="shared" si="15"/>
        <v>334.13000000000011</v>
      </c>
      <c r="G43" s="253"/>
      <c r="H43" s="442">
        <f t="shared" si="2"/>
        <v>0.47901195630358134</v>
      </c>
      <c r="I43" s="356"/>
      <c r="J43"/>
      <c r="K43" s="368">
        <f t="shared" si="16"/>
        <v>0.47901195630358134</v>
      </c>
    </row>
    <row r="44" spans="1:11" ht="15.75" x14ac:dyDescent="0.5">
      <c r="A44"/>
      <c r="B44" s="14"/>
      <c r="C44" s="33">
        <v>150000</v>
      </c>
      <c r="D44" s="360">
        <f>D43+50*COS_rates!F21</f>
        <v>1002.54</v>
      </c>
      <c r="E44" s="360">
        <f>E39</f>
        <v>1532.17</v>
      </c>
      <c r="F44" s="373">
        <f t="shared" si="15"/>
        <v>529.63000000000011</v>
      </c>
      <c r="G44" s="253"/>
      <c r="H44" s="442">
        <f t="shared" si="2"/>
        <v>0.52828814810381641</v>
      </c>
      <c r="I44" s="356"/>
      <c r="J44"/>
      <c r="K44" s="368">
        <f t="shared" si="16"/>
        <v>0.52828814810381641</v>
      </c>
    </row>
    <row r="45" spans="1:11" ht="15.4" x14ac:dyDescent="0.45">
      <c r="A45"/>
      <c r="B45" s="239"/>
      <c r="C45" s="32"/>
      <c r="D45" s="361"/>
      <c r="E45" s="362"/>
      <c r="F45" s="363"/>
      <c r="G45" s="364"/>
      <c r="H45" s="364"/>
      <c r="I45" s="32"/>
      <c r="J45"/>
      <c r="K45" s="1"/>
    </row>
    <row r="46" spans="1:11" ht="15.4" x14ac:dyDescent="0.45">
      <c r="A46"/>
      <c r="B46"/>
      <c r="C46"/>
      <c r="D46"/>
      <c r="E46"/>
      <c r="F46"/>
      <c r="G46"/>
      <c r="H46"/>
      <c r="I46"/>
      <c r="J46"/>
      <c r="K46" s="1"/>
    </row>
    <row r="47" spans="1:11" ht="15.4" x14ac:dyDescent="0.45">
      <c r="A47"/>
      <c r="B47" s="482" t="s">
        <v>66</v>
      </c>
      <c r="C47" s="482"/>
      <c r="D47" s="482"/>
      <c r="E47" s="482"/>
      <c r="F47" s="482"/>
      <c r="G47" s="482"/>
      <c r="H47" s="482"/>
      <c r="I47" s="482"/>
      <c r="J47"/>
      <c r="K47" s="1"/>
    </row>
  </sheetData>
  <mergeCells count="9">
    <mergeCell ref="B3:I3"/>
    <mergeCell ref="B47:I47"/>
    <mergeCell ref="B4:I4"/>
    <mergeCell ref="D41:G41"/>
    <mergeCell ref="D11:G11"/>
    <mergeCell ref="D19:G19"/>
    <mergeCell ref="D26:G26"/>
    <mergeCell ref="D34:G34"/>
    <mergeCell ref="B5:I5"/>
  </mergeCells>
  <printOptions horizontalCentered="1"/>
  <pageMargins left="0.7" right="0.7" top="1.1000000000000001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93"/>
  <sheetViews>
    <sheetView workbookViewId="0">
      <selection activeCell="L26" sqref="L26"/>
    </sheetView>
  </sheetViews>
  <sheetFormatPr defaultColWidth="8.88671875" defaultRowHeight="14.25" x14ac:dyDescent="0.45"/>
  <cols>
    <col min="1" max="1" width="9.5546875" style="1" customWidth="1"/>
    <col min="2" max="2" width="7.5546875" style="1" customWidth="1"/>
    <col min="3" max="3" width="8" style="1" customWidth="1"/>
    <col min="4" max="4" width="10.609375" style="12" customWidth="1"/>
    <col min="5" max="9" width="10.609375" style="1" customWidth="1"/>
    <col min="10" max="10" width="12.33203125" style="12" customWidth="1"/>
    <col min="11" max="11" width="9" style="1" bestFit="1" customWidth="1"/>
    <col min="12" max="12" width="9.21875" style="1" bestFit="1" customWidth="1"/>
    <col min="13" max="13" width="9.6640625" style="1" customWidth="1"/>
    <col min="14" max="14" width="11.44140625" style="1" customWidth="1"/>
    <col min="15" max="15" width="9" style="1" bestFit="1" customWidth="1"/>
    <col min="16" max="16384" width="8.88671875" style="1"/>
  </cols>
  <sheetData>
    <row r="1" spans="1:15" ht="18" x14ac:dyDescent="0.55000000000000004">
      <c r="A1" s="139" t="s">
        <v>358</v>
      </c>
      <c r="B1" s="19"/>
      <c r="C1" s="19"/>
      <c r="D1" s="47"/>
      <c r="E1" s="19"/>
      <c r="F1" s="19"/>
      <c r="G1" s="19"/>
      <c r="H1" s="19"/>
      <c r="I1" s="19"/>
    </row>
    <row r="2" spans="1:15" ht="18" x14ac:dyDescent="0.45">
      <c r="A2" s="479" t="s">
        <v>179</v>
      </c>
      <c r="B2" s="479"/>
      <c r="C2" s="479"/>
      <c r="D2" s="479"/>
      <c r="E2" s="479"/>
      <c r="F2" s="479"/>
      <c r="G2" s="479"/>
      <c r="H2" s="479"/>
      <c r="I2" s="479"/>
    </row>
    <row r="3" spans="1:15" x14ac:dyDescent="0.45">
      <c r="K3" s="12"/>
      <c r="O3" s="12"/>
    </row>
    <row r="4" spans="1:15" ht="17.649999999999999" x14ac:dyDescent="0.75">
      <c r="C4" s="344" t="s">
        <v>152</v>
      </c>
      <c r="K4" s="89"/>
      <c r="O4" s="124"/>
    </row>
    <row r="5" spans="1:15" x14ac:dyDescent="0.45">
      <c r="C5" s="140"/>
      <c r="D5" s="17"/>
      <c r="E5" s="141" t="s">
        <v>153</v>
      </c>
      <c r="F5" s="141" t="s">
        <v>154</v>
      </c>
      <c r="G5" s="141" t="s">
        <v>155</v>
      </c>
      <c r="H5" s="15"/>
      <c r="J5" s="142"/>
      <c r="K5" s="12"/>
      <c r="O5" s="2"/>
    </row>
    <row r="6" spans="1:15" x14ac:dyDescent="0.45">
      <c r="C6" s="1" t="s">
        <v>379</v>
      </c>
      <c r="E6" s="12">
        <f>C30</f>
        <v>69299</v>
      </c>
      <c r="F6" s="143">
        <f>D30</f>
        <v>265201000</v>
      </c>
      <c r="G6" s="22">
        <f>F39</f>
        <v>2747035.6319999998</v>
      </c>
      <c r="H6" s="22"/>
    </row>
    <row r="7" spans="1:15" x14ac:dyDescent="0.45">
      <c r="C7" s="1" t="s">
        <v>380</v>
      </c>
      <c r="E7" s="12">
        <f>C49</f>
        <v>4832</v>
      </c>
      <c r="F7" s="143">
        <f>D49</f>
        <v>38430900</v>
      </c>
      <c r="G7" s="12">
        <f>F58</f>
        <v>329354.53899999999</v>
      </c>
      <c r="H7" s="12"/>
    </row>
    <row r="8" spans="1:15" x14ac:dyDescent="0.45">
      <c r="C8" s="1" t="s">
        <v>386</v>
      </c>
      <c r="E8" s="18">
        <f>C70</f>
        <v>12</v>
      </c>
      <c r="F8" s="92">
        <f>D73</f>
        <v>1672600</v>
      </c>
      <c r="G8" s="18">
        <f>F73</f>
        <v>13063.017</v>
      </c>
      <c r="H8" s="12"/>
    </row>
    <row r="9" spans="1:15" ht="16.5" x14ac:dyDescent="0.75">
      <c r="C9" s="1" t="s">
        <v>462</v>
      </c>
      <c r="E9" s="243">
        <f>C88</f>
        <v>0</v>
      </c>
      <c r="F9" s="313">
        <f>D88</f>
        <v>0</v>
      </c>
      <c r="G9" s="243">
        <f>F88</f>
        <v>0</v>
      </c>
      <c r="H9" s="12"/>
    </row>
    <row r="10" spans="1:15" x14ac:dyDescent="0.45">
      <c r="C10" s="1" t="s">
        <v>353</v>
      </c>
      <c r="E10" s="2">
        <f>SUM(E6:E9)</f>
        <v>74143</v>
      </c>
      <c r="F10" s="18">
        <f>SUM(F6:F9)</f>
        <v>305304500</v>
      </c>
      <c r="G10" s="88">
        <f>SUM(G6:G9)</f>
        <v>3089453.1879999996</v>
      </c>
      <c r="H10" s="88"/>
      <c r="K10" s="144"/>
    </row>
    <row r="11" spans="1:15" ht="16.5" x14ac:dyDescent="0.75">
      <c r="C11" s="1" t="s">
        <v>354</v>
      </c>
      <c r="E11" s="124">
        <v>0</v>
      </c>
      <c r="F11" s="243">
        <v>0</v>
      </c>
      <c r="G11" s="329">
        <f>-23274-33511</f>
        <v>-56785</v>
      </c>
      <c r="H11" s="88"/>
      <c r="K11" s="144"/>
    </row>
    <row r="12" spans="1:15" x14ac:dyDescent="0.45">
      <c r="C12" s="1" t="s">
        <v>355</v>
      </c>
      <c r="E12" s="5">
        <f t="shared" ref="E12:F12" si="0">E10+E11</f>
        <v>74143</v>
      </c>
      <c r="F12" s="5">
        <f t="shared" si="0"/>
        <v>305304500</v>
      </c>
      <c r="G12" s="5">
        <f>G10+G11</f>
        <v>3032668.1879999996</v>
      </c>
      <c r="H12" s="88"/>
      <c r="K12" s="144"/>
    </row>
    <row r="13" spans="1:15" ht="16.5" x14ac:dyDescent="0.75">
      <c r="C13" s="1" t="s">
        <v>356</v>
      </c>
      <c r="E13" s="124">
        <f>C73</f>
        <v>12</v>
      </c>
      <c r="F13" s="243">
        <f>D93</f>
        <v>18243000</v>
      </c>
      <c r="G13" s="329">
        <f>F93</f>
        <v>70235.55</v>
      </c>
      <c r="H13" s="88"/>
      <c r="J13" s="157"/>
    </row>
    <row r="14" spans="1:15" x14ac:dyDescent="0.45">
      <c r="C14" s="1" t="s">
        <v>423</v>
      </c>
      <c r="D14" s="145"/>
      <c r="E14" s="6">
        <f t="shared" ref="E14:F14" si="1">E12+E13</f>
        <v>74155</v>
      </c>
      <c r="F14" s="6">
        <f t="shared" si="1"/>
        <v>323547500</v>
      </c>
      <c r="G14" s="89">
        <f>G12+G13</f>
        <v>3102903.7379999994</v>
      </c>
      <c r="H14" s="146"/>
      <c r="I14" s="89"/>
      <c r="M14" s="2"/>
    </row>
    <row r="15" spans="1:15" x14ac:dyDescent="0.45">
      <c r="D15" s="145"/>
      <c r="F15" s="13"/>
      <c r="G15" s="89"/>
      <c r="H15" s="146"/>
      <c r="I15" s="89"/>
      <c r="M15" s="2"/>
    </row>
    <row r="16" spans="1:15" x14ac:dyDescent="0.45">
      <c r="C16" s="1" t="s">
        <v>355</v>
      </c>
      <c r="D16" s="145"/>
      <c r="F16" s="13"/>
      <c r="G16" s="89">
        <f>G12</f>
        <v>3032668.1879999996</v>
      </c>
      <c r="H16" s="146"/>
      <c r="I16" s="89"/>
      <c r="M16" s="2"/>
    </row>
    <row r="17" spans="1:17" x14ac:dyDescent="0.45">
      <c r="C17" s="1" t="s">
        <v>424</v>
      </c>
      <c r="D17" s="145"/>
      <c r="F17" s="13"/>
      <c r="G17" s="89">
        <f>-SAO!E9</f>
        <v>-3071545</v>
      </c>
      <c r="H17" s="146"/>
      <c r="I17" s="89"/>
      <c r="M17" s="2"/>
    </row>
    <row r="18" spans="1:17" ht="16.5" x14ac:dyDescent="0.75">
      <c r="C18" s="1" t="s">
        <v>425</v>
      </c>
      <c r="D18" s="145"/>
      <c r="F18" s="13"/>
      <c r="G18" s="412">
        <f>SAO!F11</f>
        <v>70235.55</v>
      </c>
      <c r="H18" s="146"/>
      <c r="I18" s="89"/>
      <c r="M18" s="2"/>
    </row>
    <row r="19" spans="1:17" x14ac:dyDescent="0.45">
      <c r="C19" s="1" t="s">
        <v>426</v>
      </c>
      <c r="D19" s="145"/>
      <c r="F19" s="13"/>
      <c r="G19" s="89">
        <f>SUM(G16:G18)</f>
        <v>31358.737999999619</v>
      </c>
      <c r="H19" s="146"/>
      <c r="I19" s="89"/>
      <c r="M19" s="2"/>
    </row>
    <row r="20" spans="1:17" x14ac:dyDescent="0.45">
      <c r="D20" s="145"/>
      <c r="F20" s="13"/>
      <c r="G20" s="89"/>
      <c r="H20" s="146"/>
      <c r="I20" s="89"/>
      <c r="M20" s="2"/>
    </row>
    <row r="21" spans="1:17" x14ac:dyDescent="0.45">
      <c r="D21" s="145"/>
      <c r="F21" s="13"/>
      <c r="G21" s="138"/>
      <c r="I21" s="89"/>
    </row>
    <row r="22" spans="1:17" ht="15.75" x14ac:dyDescent="0.5">
      <c r="A22" s="508" t="s">
        <v>379</v>
      </c>
      <c r="B22" s="508"/>
      <c r="L22"/>
      <c r="M22"/>
      <c r="N22"/>
      <c r="O22"/>
      <c r="P22"/>
      <c r="Q22"/>
    </row>
    <row r="23" spans="1:17" ht="15.4" x14ac:dyDescent="0.45">
      <c r="E23" s="15" t="s">
        <v>43</v>
      </c>
      <c r="F23" s="15" t="s">
        <v>99</v>
      </c>
      <c r="G23" s="15" t="s">
        <v>99</v>
      </c>
      <c r="H23" s="15" t="s">
        <v>99</v>
      </c>
      <c r="I23" s="15" t="s">
        <v>44</v>
      </c>
      <c r="J23" s="1"/>
      <c r="L23"/>
      <c r="M23"/>
      <c r="N23"/>
      <c r="O23"/>
      <c r="P23"/>
      <c r="Q23"/>
    </row>
    <row r="24" spans="1:17" ht="15.4" x14ac:dyDescent="0.45">
      <c r="B24" s="141" t="s">
        <v>45</v>
      </c>
      <c r="C24" s="148" t="s">
        <v>46</v>
      </c>
      <c r="D24" s="86" t="s">
        <v>47</v>
      </c>
      <c r="E24" s="148">
        <f>B25</f>
        <v>2000</v>
      </c>
      <c r="F24" s="148">
        <f>B26</f>
        <v>3000</v>
      </c>
      <c r="G24" s="148">
        <f>B27</f>
        <v>5000</v>
      </c>
      <c r="H24" s="148">
        <f>B28</f>
        <v>60000</v>
      </c>
      <c r="I24" s="148">
        <f>B29</f>
        <v>70000</v>
      </c>
      <c r="J24" s="141" t="s">
        <v>48</v>
      </c>
      <c r="L24"/>
      <c r="M24"/>
      <c r="N24"/>
      <c r="O24"/>
      <c r="P24"/>
      <c r="Q24"/>
    </row>
    <row r="25" spans="1:17" ht="15.4" x14ac:dyDescent="0.45">
      <c r="A25" s="16" t="s">
        <v>43</v>
      </c>
      <c r="B25" s="90">
        <v>2000</v>
      </c>
      <c r="C25" s="149">
        <v>25975</v>
      </c>
      <c r="D25" s="145">
        <v>24351400</v>
      </c>
      <c r="E25" s="145">
        <f>D25</f>
        <v>24351400</v>
      </c>
      <c r="F25" s="145">
        <v>0</v>
      </c>
      <c r="G25" s="145">
        <v>0</v>
      </c>
      <c r="H25" s="145">
        <v>0</v>
      </c>
      <c r="I25" s="145">
        <v>0</v>
      </c>
      <c r="J25" s="145">
        <f>SUM(E25:I25)</f>
        <v>24351400</v>
      </c>
      <c r="L25"/>
      <c r="M25"/>
      <c r="N25"/>
      <c r="O25"/>
      <c r="P25"/>
      <c r="Q25"/>
    </row>
    <row r="26" spans="1:17" ht="15.4" x14ac:dyDescent="0.45">
      <c r="A26" s="16" t="s">
        <v>99</v>
      </c>
      <c r="B26" s="90">
        <v>3000</v>
      </c>
      <c r="C26" s="149">
        <v>29372</v>
      </c>
      <c r="D26" s="145">
        <v>97629400</v>
      </c>
      <c r="E26" s="145">
        <f>C26*E$24</f>
        <v>58744000</v>
      </c>
      <c r="F26" s="145">
        <f>D26-E26</f>
        <v>38885400</v>
      </c>
      <c r="G26" s="145">
        <v>0</v>
      </c>
      <c r="H26" s="145">
        <v>0</v>
      </c>
      <c r="I26" s="145">
        <v>0</v>
      </c>
      <c r="J26" s="145">
        <f>SUM(E26:I26)</f>
        <v>97629400</v>
      </c>
      <c r="L26"/>
      <c r="M26"/>
      <c r="N26"/>
      <c r="O26"/>
      <c r="P26"/>
      <c r="Q26"/>
    </row>
    <row r="27" spans="1:17" ht="15.4" x14ac:dyDescent="0.45">
      <c r="A27" s="16" t="s">
        <v>99</v>
      </c>
      <c r="B27" s="90">
        <v>5000</v>
      </c>
      <c r="C27" s="149">
        <v>10644</v>
      </c>
      <c r="D27" s="145">
        <v>71616600</v>
      </c>
      <c r="E27" s="145">
        <f>C27*E$24</f>
        <v>21288000</v>
      </c>
      <c r="F27" s="145">
        <f>$C27*F$24</f>
        <v>31932000</v>
      </c>
      <c r="G27" s="145">
        <f>D27-(F27+E27)</f>
        <v>18396600</v>
      </c>
      <c r="H27" s="145">
        <v>0</v>
      </c>
      <c r="I27" s="145">
        <v>0</v>
      </c>
      <c r="J27" s="145">
        <f>SUM(E27:I27)</f>
        <v>71616600</v>
      </c>
      <c r="L27"/>
      <c r="M27"/>
      <c r="N27"/>
      <c r="O27"/>
      <c r="P27"/>
      <c r="Q27"/>
    </row>
    <row r="28" spans="1:17" ht="15.4" x14ac:dyDescent="0.45">
      <c r="A28" s="16" t="s">
        <v>99</v>
      </c>
      <c r="B28" s="90">
        <v>60000</v>
      </c>
      <c r="C28" s="149">
        <v>3217</v>
      </c>
      <c r="D28" s="145">
        <v>58487000</v>
      </c>
      <c r="E28" s="145">
        <f>C28*E$24</f>
        <v>6434000</v>
      </c>
      <c r="F28" s="145">
        <f>$C28*F$24</f>
        <v>9651000</v>
      </c>
      <c r="G28" s="145">
        <f>C28*G24</f>
        <v>16085000</v>
      </c>
      <c r="H28" s="2">
        <f>D28-E28-F28-G28</f>
        <v>26317000</v>
      </c>
      <c r="I28" s="145">
        <v>0</v>
      </c>
      <c r="J28" s="145">
        <f>SUM(E28:I28)</f>
        <v>58487000</v>
      </c>
      <c r="L28"/>
      <c r="M28"/>
      <c r="N28"/>
      <c r="O28"/>
      <c r="P28"/>
      <c r="Q28"/>
    </row>
    <row r="29" spans="1:17" ht="15.4" x14ac:dyDescent="0.45">
      <c r="A29" s="16" t="s">
        <v>44</v>
      </c>
      <c r="B29" s="150">
        <v>70000</v>
      </c>
      <c r="C29" s="151">
        <v>91</v>
      </c>
      <c r="D29" s="152">
        <v>13116600</v>
      </c>
      <c r="E29" s="152">
        <f>C29*E$24</f>
        <v>182000</v>
      </c>
      <c r="F29" s="152">
        <f>$C29*F$24</f>
        <v>273000</v>
      </c>
      <c r="G29" s="152">
        <f>$C29*G$24</f>
        <v>455000</v>
      </c>
      <c r="H29" s="21">
        <f>C29*H24</f>
        <v>5460000</v>
      </c>
      <c r="I29" s="152">
        <f>D29-E29-F29-G29-H29</f>
        <v>6746600</v>
      </c>
      <c r="J29" s="152">
        <f>SUM(E29:I29)</f>
        <v>13116600</v>
      </c>
      <c r="L29"/>
      <c r="M29"/>
      <c r="N29"/>
      <c r="O29"/>
      <c r="P29"/>
      <c r="Q29"/>
    </row>
    <row r="30" spans="1:17" ht="15.4" x14ac:dyDescent="0.45">
      <c r="A30" s="16"/>
      <c r="B30" s="90" t="s">
        <v>48</v>
      </c>
      <c r="C30" s="18">
        <f t="shared" ref="C30:J30" si="2">SUM(C25:C29)</f>
        <v>69299</v>
      </c>
      <c r="D30" s="18">
        <f t="shared" si="2"/>
        <v>265201000</v>
      </c>
      <c r="E30" s="18">
        <f t="shared" si="2"/>
        <v>110999400</v>
      </c>
      <c r="F30" s="18">
        <f t="shared" si="2"/>
        <v>80741400</v>
      </c>
      <c r="G30" s="18">
        <f t="shared" si="2"/>
        <v>34936600</v>
      </c>
      <c r="H30" s="18">
        <f t="shared" si="2"/>
        <v>31777000</v>
      </c>
      <c r="I30" s="18">
        <f>SUM(I25:I29)</f>
        <v>6746600</v>
      </c>
      <c r="J30" s="18">
        <f t="shared" si="2"/>
        <v>265201000</v>
      </c>
      <c r="K30" s="12"/>
      <c r="L30"/>
      <c r="M30"/>
      <c r="N30"/>
      <c r="O30"/>
      <c r="P30"/>
      <c r="Q30"/>
    </row>
    <row r="31" spans="1:17" ht="15.4" x14ac:dyDescent="0.45">
      <c r="A31" s="16"/>
      <c r="B31" s="90"/>
      <c r="E31" s="90"/>
      <c r="F31" s="90"/>
      <c r="G31" s="90"/>
      <c r="H31" s="90"/>
      <c r="I31" s="90"/>
      <c r="L31"/>
      <c r="M31"/>
      <c r="N31"/>
      <c r="O31"/>
      <c r="P31"/>
      <c r="Q31"/>
    </row>
    <row r="32" spans="1:17" ht="15.4" x14ac:dyDescent="0.45">
      <c r="A32" s="91" t="s">
        <v>158</v>
      </c>
      <c r="B32" s="91"/>
      <c r="E32" s="90"/>
      <c r="F32" s="90"/>
      <c r="G32" s="90"/>
      <c r="H32" s="90"/>
      <c r="I32" s="90"/>
      <c r="L32"/>
      <c r="M32"/>
      <c r="N32"/>
      <c r="O32"/>
      <c r="P32"/>
      <c r="Q32"/>
    </row>
    <row r="33" spans="1:17" ht="15.4" x14ac:dyDescent="0.45">
      <c r="A33" s="16"/>
      <c r="B33" s="141"/>
      <c r="C33" s="148" t="s">
        <v>46</v>
      </c>
      <c r="D33" s="86" t="s">
        <v>47</v>
      </c>
      <c r="E33" s="148" t="s">
        <v>49</v>
      </c>
      <c r="F33" s="148" t="s">
        <v>50</v>
      </c>
      <c r="G33" s="90"/>
      <c r="H33" s="90"/>
      <c r="I33" s="90"/>
      <c r="L33"/>
      <c r="M33"/>
      <c r="N33"/>
      <c r="O33"/>
      <c r="P33"/>
      <c r="Q33"/>
    </row>
    <row r="34" spans="1:17" ht="15.4" x14ac:dyDescent="0.45">
      <c r="A34" s="16" t="s">
        <v>43</v>
      </c>
      <c r="B34" s="90">
        <f>B25</f>
        <v>2000</v>
      </c>
      <c r="C34" s="12">
        <f>C30</f>
        <v>69299</v>
      </c>
      <c r="D34" s="145">
        <f>E30</f>
        <v>110999400</v>
      </c>
      <c r="E34" s="153">
        <f>'Rates_%'!F12</f>
        <v>22.09</v>
      </c>
      <c r="F34" s="22">
        <f>E34*C34</f>
        <v>1530814.91</v>
      </c>
      <c r="G34" s="90"/>
      <c r="L34"/>
      <c r="M34"/>
      <c r="N34"/>
      <c r="O34"/>
      <c r="P34"/>
      <c r="Q34"/>
    </row>
    <row r="35" spans="1:17" ht="15.4" x14ac:dyDescent="0.45">
      <c r="A35" s="16" t="s">
        <v>99</v>
      </c>
      <c r="B35" s="90">
        <f>B26</f>
        <v>3000</v>
      </c>
      <c r="D35" s="145">
        <f>F30</f>
        <v>80741400</v>
      </c>
      <c r="E35" s="10">
        <f>'Rates_%'!F13</f>
        <v>8.6999999999999993</v>
      </c>
      <c r="F35" s="12">
        <f>E35*(D35/1000)</f>
        <v>702450.17999999993</v>
      </c>
      <c r="G35" s="90"/>
      <c r="L35"/>
      <c r="M35"/>
      <c r="N35"/>
      <c r="O35"/>
      <c r="P35"/>
      <c r="Q35"/>
    </row>
    <row r="36" spans="1:17" ht="15.4" x14ac:dyDescent="0.45">
      <c r="A36" s="16" t="s">
        <v>99</v>
      </c>
      <c r="B36" s="90">
        <f>B27</f>
        <v>5000</v>
      </c>
      <c r="D36" s="145">
        <f>G30</f>
        <v>34936600</v>
      </c>
      <c r="E36" s="10">
        <f>'Rates_%'!F14</f>
        <v>7.38</v>
      </c>
      <c r="F36" s="12">
        <f>E36*(D36/1000)</f>
        <v>257832.10799999998</v>
      </c>
      <c r="G36" s="90"/>
      <c r="L36"/>
      <c r="M36"/>
      <c r="N36"/>
      <c r="O36"/>
      <c r="P36"/>
      <c r="Q36"/>
    </row>
    <row r="37" spans="1:17" ht="15.4" x14ac:dyDescent="0.45">
      <c r="A37" s="16" t="s">
        <v>99</v>
      </c>
      <c r="B37" s="90">
        <v>10000</v>
      </c>
      <c r="D37" s="145">
        <f>H30</f>
        <v>31777000</v>
      </c>
      <c r="E37" s="10">
        <f>'Rates_%'!F15</f>
        <v>6.74</v>
      </c>
      <c r="F37" s="12">
        <f>E37*(D37/1000)</f>
        <v>214176.98</v>
      </c>
      <c r="G37" s="90"/>
      <c r="L37"/>
      <c r="M37"/>
      <c r="N37"/>
      <c r="O37"/>
      <c r="P37"/>
      <c r="Q37"/>
    </row>
    <row r="38" spans="1:17" x14ac:dyDescent="0.45">
      <c r="A38" s="16" t="s">
        <v>44</v>
      </c>
      <c r="B38" s="150">
        <f>B29</f>
        <v>70000</v>
      </c>
      <c r="C38" s="154"/>
      <c r="D38" s="152">
        <f>I30</f>
        <v>6746600</v>
      </c>
      <c r="E38" s="24">
        <f>'Rates_%'!F16</f>
        <v>6.19</v>
      </c>
      <c r="F38" s="17">
        <f>E38*(D38/1000)</f>
        <v>41761.454000000005</v>
      </c>
      <c r="G38" s="90"/>
      <c r="O38" s="12">
        <f>O31/12</f>
        <v>0</v>
      </c>
    </row>
    <row r="39" spans="1:17" x14ac:dyDescent="0.45">
      <c r="A39" s="16"/>
      <c r="B39" s="90" t="s">
        <v>48</v>
      </c>
      <c r="C39" s="12">
        <f>SUM(C34:C38)</f>
        <v>69299</v>
      </c>
      <c r="D39" s="18">
        <f>SUM(D34:D38)</f>
        <v>265201000</v>
      </c>
      <c r="F39" s="22">
        <f>SUM(F34:F38)</f>
        <v>2747035.6319999998</v>
      </c>
      <c r="G39" s="22"/>
      <c r="H39" s="90"/>
      <c r="I39" s="155"/>
    </row>
    <row r="40" spans="1:17" x14ac:dyDescent="0.45">
      <c r="A40" s="16"/>
      <c r="B40" s="90"/>
      <c r="C40" s="12"/>
      <c r="D40" s="18"/>
      <c r="F40" s="22"/>
      <c r="G40" s="90"/>
      <c r="H40" s="90"/>
      <c r="I40" s="90"/>
    </row>
    <row r="41" spans="1:17" ht="15.75" x14ac:dyDescent="0.5">
      <c r="A41" s="508" t="s">
        <v>380</v>
      </c>
      <c r="B41" s="508"/>
    </row>
    <row r="42" spans="1:17" x14ac:dyDescent="0.45">
      <c r="E42" s="15" t="s">
        <v>43</v>
      </c>
      <c r="F42" s="15" t="s">
        <v>99</v>
      </c>
      <c r="G42" s="15" t="s">
        <v>99</v>
      </c>
      <c r="H42" s="15" t="s">
        <v>99</v>
      </c>
      <c r="I42" s="15" t="s">
        <v>44</v>
      </c>
      <c r="J42" s="1"/>
    </row>
    <row r="43" spans="1:17" x14ac:dyDescent="0.45">
      <c r="B43" s="141" t="s">
        <v>45</v>
      </c>
      <c r="C43" s="148" t="s">
        <v>46</v>
      </c>
      <c r="D43" s="86" t="s">
        <v>47</v>
      </c>
      <c r="E43" s="148">
        <f>B44</f>
        <v>2000</v>
      </c>
      <c r="F43" s="148">
        <f>B45</f>
        <v>3000</v>
      </c>
      <c r="G43" s="148">
        <f>B46</f>
        <v>5000</v>
      </c>
      <c r="H43" s="148">
        <f>B47</f>
        <v>60000</v>
      </c>
      <c r="I43" s="148">
        <f>B48</f>
        <v>70000</v>
      </c>
      <c r="J43" s="141" t="s">
        <v>48</v>
      </c>
    </row>
    <row r="44" spans="1:17" x14ac:dyDescent="0.45">
      <c r="A44" s="16" t="s">
        <v>43</v>
      </c>
      <c r="B44" s="90">
        <v>2000</v>
      </c>
      <c r="C44" s="149">
        <v>2752</v>
      </c>
      <c r="D44" s="145">
        <v>1369000</v>
      </c>
      <c r="E44" s="145">
        <f>D44</f>
        <v>1369000</v>
      </c>
      <c r="F44" s="145">
        <v>0</v>
      </c>
      <c r="G44" s="6">
        <v>0</v>
      </c>
      <c r="H44" s="6">
        <v>0</v>
      </c>
      <c r="I44" s="145">
        <v>0</v>
      </c>
      <c r="J44" s="145">
        <f>SUM(E44:I44)</f>
        <v>1369000</v>
      </c>
    </row>
    <row r="45" spans="1:17" x14ac:dyDescent="0.45">
      <c r="A45" s="16" t="s">
        <v>99</v>
      </c>
      <c r="B45" s="90">
        <v>3000</v>
      </c>
      <c r="C45" s="149">
        <v>1251</v>
      </c>
      <c r="D45" s="145">
        <v>4202000</v>
      </c>
      <c r="E45" s="145">
        <f>C45*$E$43</f>
        <v>2502000</v>
      </c>
      <c r="F45" s="145">
        <f>D45-E45</f>
        <v>1700000</v>
      </c>
      <c r="G45" s="6">
        <v>0</v>
      </c>
      <c r="H45" s="6">
        <v>0</v>
      </c>
      <c r="I45" s="145">
        <v>0</v>
      </c>
      <c r="J45" s="145">
        <f>SUM(E45:I45)</f>
        <v>4202000</v>
      </c>
    </row>
    <row r="46" spans="1:17" x14ac:dyDescent="0.45">
      <c r="A46" s="16" t="s">
        <v>99</v>
      </c>
      <c r="B46" s="90">
        <v>5000</v>
      </c>
      <c r="C46" s="149">
        <v>457</v>
      </c>
      <c r="D46" s="145">
        <v>3108200</v>
      </c>
      <c r="E46" s="145">
        <f>C46*$E$43</f>
        <v>914000</v>
      </c>
      <c r="F46" s="145">
        <f>$C$46*$F$43</f>
        <v>1371000</v>
      </c>
      <c r="G46" s="2">
        <f>D46-E46-F46</f>
        <v>823200</v>
      </c>
      <c r="H46" s="6">
        <v>0</v>
      </c>
      <c r="I46" s="145">
        <v>0</v>
      </c>
      <c r="J46" s="145">
        <f>SUM(E46:I46)</f>
        <v>3108200</v>
      </c>
    </row>
    <row r="47" spans="1:17" x14ac:dyDescent="0.45">
      <c r="A47" s="16" t="s">
        <v>99</v>
      </c>
      <c r="B47" s="90">
        <v>60000</v>
      </c>
      <c r="C47" s="149">
        <v>278</v>
      </c>
      <c r="D47" s="145">
        <v>6686400</v>
      </c>
      <c r="E47" s="145">
        <f>C47*$E$43</f>
        <v>556000</v>
      </c>
      <c r="F47" s="145">
        <f>$C$47*$F$43</f>
        <v>834000</v>
      </c>
      <c r="G47" s="2">
        <f>$C$47*$G$43</f>
        <v>1390000</v>
      </c>
      <c r="H47" s="2">
        <f>D47-E47-F47-G47</f>
        <v>3906400</v>
      </c>
      <c r="I47" s="145">
        <v>0</v>
      </c>
      <c r="J47" s="145">
        <f>SUM(E47:I47)</f>
        <v>6686400</v>
      </c>
    </row>
    <row r="48" spans="1:17" x14ac:dyDescent="0.45">
      <c r="A48" s="16" t="s">
        <v>44</v>
      </c>
      <c r="B48" s="150">
        <v>70000</v>
      </c>
      <c r="C48" s="151">
        <v>94</v>
      </c>
      <c r="D48" s="152">
        <v>23065300</v>
      </c>
      <c r="E48" s="152">
        <f>C48*$E$43</f>
        <v>188000</v>
      </c>
      <c r="F48" s="152">
        <f>$C$48*$F$43</f>
        <v>282000</v>
      </c>
      <c r="G48" s="21">
        <f xml:space="preserve"> $C$48*$G$43</f>
        <v>470000</v>
      </c>
      <c r="H48" s="21">
        <f>$C$48*$H$43</f>
        <v>5640000</v>
      </c>
      <c r="I48" s="152">
        <f>D48-E48-G48-H48-F48</f>
        <v>16485300</v>
      </c>
      <c r="J48" s="152">
        <f>SUM(E48:I48)</f>
        <v>23065300</v>
      </c>
    </row>
    <row r="49" spans="1:19" x14ac:dyDescent="0.45">
      <c r="A49" s="16"/>
      <c r="B49" s="90"/>
      <c r="C49" s="18">
        <f t="shared" ref="C49:H49" si="3">SUM(C44:C48)</f>
        <v>4832</v>
      </c>
      <c r="D49" s="18">
        <f t="shared" si="3"/>
        <v>38430900</v>
      </c>
      <c r="E49" s="18">
        <f t="shared" si="3"/>
        <v>5529000</v>
      </c>
      <c r="F49" s="18">
        <f t="shared" si="3"/>
        <v>4187000</v>
      </c>
      <c r="G49" s="18">
        <f t="shared" si="3"/>
        <v>2683200</v>
      </c>
      <c r="H49" s="18">
        <f t="shared" si="3"/>
        <v>9546400</v>
      </c>
      <c r="I49" s="18">
        <f>SUM(I44:I48)</f>
        <v>16485300</v>
      </c>
      <c r="J49" s="18">
        <f>SUM(J44:J48)</f>
        <v>38430900</v>
      </c>
      <c r="K49" s="12"/>
    </row>
    <row r="50" spans="1:19" x14ac:dyDescent="0.45">
      <c r="A50" s="16"/>
      <c r="B50" s="90"/>
      <c r="E50" s="90"/>
      <c r="F50" s="90"/>
      <c r="G50" s="90"/>
      <c r="H50" s="90"/>
      <c r="I50" s="90"/>
    </row>
    <row r="51" spans="1:19" x14ac:dyDescent="0.45">
      <c r="A51" s="91" t="s">
        <v>158</v>
      </c>
      <c r="B51" s="91"/>
      <c r="E51" s="90"/>
      <c r="F51" s="90"/>
      <c r="G51" s="90"/>
      <c r="H51" s="90"/>
      <c r="I51" s="90"/>
    </row>
    <row r="52" spans="1:19" x14ac:dyDescent="0.45">
      <c r="A52" s="16"/>
      <c r="B52" s="141"/>
      <c r="C52" s="148" t="s">
        <v>46</v>
      </c>
      <c r="D52" s="86" t="s">
        <v>47</v>
      </c>
      <c r="E52" s="148" t="s">
        <v>49</v>
      </c>
      <c r="F52" s="148" t="s">
        <v>50</v>
      </c>
      <c r="G52" s="90"/>
      <c r="H52" s="90"/>
      <c r="I52" s="90"/>
    </row>
    <row r="53" spans="1:19" x14ac:dyDescent="0.45">
      <c r="A53" s="16" t="s">
        <v>43</v>
      </c>
      <c r="B53" s="90">
        <f>B44</f>
        <v>2000</v>
      </c>
      <c r="C53" s="12">
        <f>C49</f>
        <v>4832</v>
      </c>
      <c r="D53" s="145">
        <f>E49</f>
        <v>5529000</v>
      </c>
      <c r="E53" s="153">
        <f>'Rates_%'!F12</f>
        <v>22.09</v>
      </c>
      <c r="F53" s="22">
        <f>E53*C53</f>
        <v>106738.88</v>
      </c>
      <c r="G53" s="90"/>
    </row>
    <row r="54" spans="1:19" x14ac:dyDescent="0.45">
      <c r="A54" s="16" t="s">
        <v>99</v>
      </c>
      <c r="B54" s="90">
        <v>5000</v>
      </c>
      <c r="C54" s="12"/>
      <c r="D54" s="145">
        <f>F49</f>
        <v>4187000</v>
      </c>
      <c r="E54" s="10">
        <f>'Rates_%'!F13</f>
        <v>8.6999999999999993</v>
      </c>
      <c r="F54" s="18">
        <f>E54*(D54/1000)</f>
        <v>36426.899999999994</v>
      </c>
      <c r="G54" s="90"/>
    </row>
    <row r="55" spans="1:19" x14ac:dyDescent="0.45">
      <c r="A55" s="16" t="s">
        <v>99</v>
      </c>
      <c r="B55" s="90">
        <v>10000</v>
      </c>
      <c r="C55" s="12"/>
      <c r="D55" s="145">
        <f>G49</f>
        <v>2683200</v>
      </c>
      <c r="E55" s="10">
        <f>'Rates_%'!F14</f>
        <v>7.38</v>
      </c>
      <c r="F55" s="18">
        <f>E55*(D55/1000)</f>
        <v>19802.016</v>
      </c>
      <c r="G55" s="90"/>
    </row>
    <row r="56" spans="1:19" x14ac:dyDescent="0.45">
      <c r="A56" s="16" t="s">
        <v>99</v>
      </c>
      <c r="B56" s="90">
        <v>30000</v>
      </c>
      <c r="C56" s="12"/>
      <c r="D56" s="145">
        <f>H49</f>
        <v>9546400</v>
      </c>
      <c r="E56" s="10">
        <f>'Rates_%'!F15</f>
        <v>6.74</v>
      </c>
      <c r="F56" s="18">
        <f>E56*(D56/1000)</f>
        <v>64342.735999999997</v>
      </c>
      <c r="G56" s="90"/>
    </row>
    <row r="57" spans="1:19" x14ac:dyDescent="0.45">
      <c r="A57" s="16" t="s">
        <v>44</v>
      </c>
      <c r="B57" s="150">
        <f>B48</f>
        <v>70000</v>
      </c>
      <c r="C57" s="154"/>
      <c r="D57" s="152">
        <f>I49</f>
        <v>16485300</v>
      </c>
      <c r="E57" s="24">
        <f>'Rates_%'!F16</f>
        <v>6.19</v>
      </c>
      <c r="F57" s="17">
        <f>E57*(D57/1000)</f>
        <v>102044.007</v>
      </c>
      <c r="G57" s="90"/>
    </row>
    <row r="58" spans="1:19" x14ac:dyDescent="0.45">
      <c r="A58" s="16"/>
      <c r="B58" s="90" t="s">
        <v>48</v>
      </c>
      <c r="C58" s="12">
        <f>SUM(C53:C57)</f>
        <v>4832</v>
      </c>
      <c r="D58" s="18">
        <f>SUM(D53:D57)</f>
        <v>38430900</v>
      </c>
      <c r="F58" s="22">
        <f>SUM(F53:F57)</f>
        <v>329354.53899999999</v>
      </c>
      <c r="G58" s="22"/>
      <c r="H58" s="90"/>
      <c r="I58" s="155"/>
    </row>
    <row r="59" spans="1:19" x14ac:dyDescent="0.45">
      <c r="A59" s="16"/>
      <c r="B59" s="90"/>
      <c r="C59" s="3"/>
      <c r="D59" s="18"/>
      <c r="F59" s="153"/>
      <c r="G59" s="90"/>
      <c r="H59" s="90"/>
      <c r="I59" s="90"/>
    </row>
    <row r="60" spans="1:19" ht="15.75" x14ac:dyDescent="0.5">
      <c r="A60" s="508" t="s">
        <v>381</v>
      </c>
      <c r="B60" s="508"/>
    </row>
    <row r="61" spans="1:19" ht="15.4" x14ac:dyDescent="0.45">
      <c r="E61" s="15" t="s">
        <v>43</v>
      </c>
      <c r="F61" s="15" t="s">
        <v>99</v>
      </c>
      <c r="G61" s="15" t="s">
        <v>44</v>
      </c>
      <c r="H61"/>
      <c r="I61"/>
      <c r="J61" s="1"/>
      <c r="M61" s="12"/>
    </row>
    <row r="62" spans="1:19" ht="15.4" x14ac:dyDescent="0.45">
      <c r="B62" s="141" t="s">
        <v>45</v>
      </c>
      <c r="C62" s="148" t="s">
        <v>46</v>
      </c>
      <c r="D62" s="86" t="s">
        <v>47</v>
      </c>
      <c r="E62" s="148">
        <f>B63</f>
        <v>55000</v>
      </c>
      <c r="F62" s="148">
        <f>B64</f>
        <v>15000</v>
      </c>
      <c r="G62" s="148">
        <f>B65</f>
        <v>70000</v>
      </c>
      <c r="H62"/>
      <c r="I62"/>
      <c r="J62" s="141" t="s">
        <v>48</v>
      </c>
      <c r="S62" s="1" t="s">
        <v>139</v>
      </c>
    </row>
    <row r="63" spans="1:19" ht="15.4" x14ac:dyDescent="0.45">
      <c r="A63" s="16" t="s">
        <v>43</v>
      </c>
      <c r="B63" s="90">
        <v>55000</v>
      </c>
      <c r="C63" s="157">
        <v>5</v>
      </c>
      <c r="D63" s="145">
        <v>300</v>
      </c>
      <c r="E63" s="157">
        <f>D63</f>
        <v>300</v>
      </c>
      <c r="F63" s="6">
        <v>0</v>
      </c>
      <c r="G63" s="157">
        <v>0</v>
      </c>
      <c r="H63"/>
      <c r="I63"/>
      <c r="J63" s="145">
        <f>SUM(E63:G63)</f>
        <v>300</v>
      </c>
      <c r="M63" s="156"/>
    </row>
    <row r="64" spans="1:19" ht="15.4" x14ac:dyDescent="0.45">
      <c r="A64" s="16" t="s">
        <v>99</v>
      </c>
      <c r="B64" s="90">
        <v>15000</v>
      </c>
      <c r="C64" s="157">
        <v>0</v>
      </c>
      <c r="D64" s="145">
        <v>0</v>
      </c>
      <c r="E64" s="157">
        <f>E62*C64</f>
        <v>0</v>
      </c>
      <c r="F64" s="6">
        <f>D64-E64</f>
        <v>0</v>
      </c>
      <c r="G64" s="157">
        <v>0</v>
      </c>
      <c r="H64"/>
      <c r="I64"/>
      <c r="J64" s="145">
        <f>SUM(E64:G64)</f>
        <v>0</v>
      </c>
      <c r="M64" s="156"/>
    </row>
    <row r="65" spans="1:19" ht="15.4" x14ac:dyDescent="0.45">
      <c r="A65" s="16" t="s">
        <v>44</v>
      </c>
      <c r="B65" s="150">
        <v>70000</v>
      </c>
      <c r="C65" s="158">
        <v>7</v>
      </c>
      <c r="D65" s="152">
        <v>1672300</v>
      </c>
      <c r="E65" s="158">
        <f>E62*C65</f>
        <v>385000</v>
      </c>
      <c r="F65" s="4">
        <f>C65*F62</f>
        <v>105000</v>
      </c>
      <c r="G65" s="158">
        <f>D65-E65-F65</f>
        <v>1182300</v>
      </c>
      <c r="H65"/>
      <c r="I65"/>
      <c r="J65" s="152">
        <f>SUM(E65:G65)</f>
        <v>1672300</v>
      </c>
      <c r="L65" s="2"/>
      <c r="M65" s="15"/>
    </row>
    <row r="66" spans="1:19" ht="15.4" x14ac:dyDescent="0.45">
      <c r="A66" s="16"/>
      <c r="B66" s="90"/>
      <c r="C66" s="12">
        <f t="shared" ref="C66:J66" si="4">SUM(C63:C65)</f>
        <v>12</v>
      </c>
      <c r="D66" s="18">
        <f t="shared" si="4"/>
        <v>1672600</v>
      </c>
      <c r="E66" s="18">
        <f t="shared" si="4"/>
        <v>385300</v>
      </c>
      <c r="F66" s="18">
        <f t="shared" si="4"/>
        <v>105000</v>
      </c>
      <c r="G66" s="18">
        <f t="shared" si="4"/>
        <v>1182300</v>
      </c>
      <c r="H66"/>
      <c r="I66"/>
      <c r="J66" s="18">
        <f t="shared" si="4"/>
        <v>1672600</v>
      </c>
      <c r="N66" s="12"/>
    </row>
    <row r="67" spans="1:19" ht="15.4" x14ac:dyDescent="0.45">
      <c r="A67" s="16"/>
      <c r="B67" s="90"/>
      <c r="E67" s="90"/>
      <c r="F67" s="90"/>
      <c r="G67" s="90"/>
      <c r="H67"/>
      <c r="I67"/>
      <c r="J67" s="90"/>
      <c r="K67" s="90"/>
      <c r="N67" s="12"/>
    </row>
    <row r="68" spans="1:19" x14ac:dyDescent="0.45">
      <c r="A68" s="91" t="s">
        <v>158</v>
      </c>
      <c r="B68" s="91"/>
      <c r="E68" s="90"/>
      <c r="F68" s="90"/>
      <c r="G68" s="90"/>
      <c r="H68" s="90"/>
      <c r="I68" s="90"/>
    </row>
    <row r="69" spans="1:19" x14ac:dyDescent="0.45">
      <c r="A69" s="16"/>
      <c r="B69" s="141"/>
      <c r="C69" s="148" t="s">
        <v>46</v>
      </c>
      <c r="D69" s="86" t="s">
        <v>47</v>
      </c>
      <c r="E69" s="148" t="s">
        <v>49</v>
      </c>
      <c r="F69" s="148" t="s">
        <v>50</v>
      </c>
      <c r="G69" s="90"/>
      <c r="H69" s="90"/>
      <c r="I69" s="90"/>
    </row>
    <row r="70" spans="1:19" x14ac:dyDescent="0.45">
      <c r="A70" s="16" t="s">
        <v>43</v>
      </c>
      <c r="B70" s="90">
        <f>B63</f>
        <v>55000</v>
      </c>
      <c r="C70" s="12">
        <f>C66</f>
        <v>12</v>
      </c>
      <c r="D70" s="145">
        <f>E66</f>
        <v>385300</v>
      </c>
      <c r="E70" s="153">
        <f>'Rates_%'!F19</f>
        <v>419.74</v>
      </c>
      <c r="F70" s="22">
        <f>E70*C70</f>
        <v>5036.88</v>
      </c>
      <c r="G70" s="90"/>
      <c r="H70" s="90"/>
      <c r="I70" s="90"/>
    </row>
    <row r="71" spans="1:19" x14ac:dyDescent="0.45">
      <c r="A71" s="16" t="s">
        <v>99</v>
      </c>
      <c r="B71" s="90">
        <f>B64</f>
        <v>15000</v>
      </c>
      <c r="C71" s="12"/>
      <c r="D71" s="145">
        <f>F66</f>
        <v>105000</v>
      </c>
      <c r="E71" s="10">
        <f>'Rates_%'!F20</f>
        <v>6.74</v>
      </c>
      <c r="F71" s="10">
        <f>(D71*E71)/1000</f>
        <v>707.7</v>
      </c>
      <c r="G71" s="90"/>
      <c r="H71" s="90"/>
      <c r="I71" s="90"/>
    </row>
    <row r="72" spans="1:19" x14ac:dyDescent="0.45">
      <c r="A72" s="16" t="s">
        <v>44</v>
      </c>
      <c r="B72" s="150">
        <f>B65</f>
        <v>70000</v>
      </c>
      <c r="C72" s="17"/>
      <c r="D72" s="152">
        <f>G66</f>
        <v>1182300</v>
      </c>
      <c r="E72" s="24">
        <f>'Rates_%'!F21</f>
        <v>6.19</v>
      </c>
      <c r="F72" s="24">
        <f>(D72*E72)/1000</f>
        <v>7318.4369999999999</v>
      </c>
      <c r="G72" s="90"/>
      <c r="H72" s="90"/>
      <c r="I72" s="90"/>
    </row>
    <row r="73" spans="1:19" x14ac:dyDescent="0.45">
      <c r="A73" s="16"/>
      <c r="B73" s="90" t="s">
        <v>48</v>
      </c>
      <c r="C73" s="12">
        <f>SUM(C70:C72)</f>
        <v>12</v>
      </c>
      <c r="D73" s="18">
        <f>SUM(D70:D72)</f>
        <v>1672600</v>
      </c>
      <c r="F73" s="22">
        <f>SUM(F70:F72)</f>
        <v>13063.017</v>
      </c>
      <c r="G73" s="22"/>
      <c r="H73" s="90"/>
      <c r="I73" s="155"/>
    </row>
    <row r="74" spans="1:19" ht="13.9" customHeight="1" x14ac:dyDescent="0.45">
      <c r="A74" s="16"/>
      <c r="B74" s="90"/>
      <c r="C74" s="18"/>
      <c r="D74" s="18"/>
      <c r="E74" s="18"/>
      <c r="F74" s="18"/>
      <c r="G74" s="18"/>
      <c r="H74" s="18"/>
      <c r="I74" s="18"/>
      <c r="J74" s="18"/>
    </row>
    <row r="75" spans="1:19" ht="15.75" x14ac:dyDescent="0.5">
      <c r="A75" s="147" t="s">
        <v>461</v>
      </c>
      <c r="B75" s="147"/>
    </row>
    <row r="76" spans="1:19" ht="15.4" x14ac:dyDescent="0.45">
      <c r="E76" s="15" t="s">
        <v>43</v>
      </c>
      <c r="F76" s="15" t="s">
        <v>99</v>
      </c>
      <c r="G76" s="15" t="s">
        <v>44</v>
      </c>
      <c r="H76"/>
      <c r="I76"/>
      <c r="J76" s="1"/>
      <c r="M76" s="12"/>
    </row>
    <row r="77" spans="1:19" ht="15.4" x14ac:dyDescent="0.45">
      <c r="B77" s="141" t="s">
        <v>45</v>
      </c>
      <c r="C77" s="148" t="s">
        <v>46</v>
      </c>
      <c r="D77" s="86" t="s">
        <v>47</v>
      </c>
      <c r="E77" s="148">
        <f>B78</f>
        <v>10000</v>
      </c>
      <c r="F77" s="148">
        <f>B79</f>
        <v>60000</v>
      </c>
      <c r="G77" s="148">
        <f>B80</f>
        <v>70000</v>
      </c>
      <c r="H77"/>
      <c r="I77"/>
      <c r="J77" s="141" t="s">
        <v>48</v>
      </c>
      <c r="S77" s="1" t="s">
        <v>139</v>
      </c>
    </row>
    <row r="78" spans="1:19" ht="15.4" x14ac:dyDescent="0.45">
      <c r="A78" s="16" t="s">
        <v>43</v>
      </c>
      <c r="B78" s="90">
        <v>10000</v>
      </c>
      <c r="C78" s="157">
        <v>0</v>
      </c>
      <c r="D78" s="145">
        <v>0</v>
      </c>
      <c r="E78" s="157">
        <f>D78</f>
        <v>0</v>
      </c>
      <c r="F78" s="6">
        <v>0</v>
      </c>
      <c r="G78" s="157">
        <v>0</v>
      </c>
      <c r="H78"/>
      <c r="I78"/>
      <c r="J78" s="145">
        <f>SUM(E78:G78)</f>
        <v>0</v>
      </c>
      <c r="M78" s="156"/>
    </row>
    <row r="79" spans="1:19" ht="15.4" x14ac:dyDescent="0.45">
      <c r="A79" s="16" t="s">
        <v>99</v>
      </c>
      <c r="B79" s="90">
        <v>60000</v>
      </c>
      <c r="C79" s="157">
        <v>0</v>
      </c>
      <c r="D79" s="145">
        <v>0</v>
      </c>
      <c r="E79" s="157">
        <f>E77*C79</f>
        <v>0</v>
      </c>
      <c r="F79" s="6">
        <f>D79-E79</f>
        <v>0</v>
      </c>
      <c r="G79" s="157">
        <v>0</v>
      </c>
      <c r="H79"/>
      <c r="I79"/>
      <c r="J79" s="145">
        <f>SUM(E79:G79)</f>
        <v>0</v>
      </c>
      <c r="M79" s="156"/>
    </row>
    <row r="80" spans="1:19" ht="15.4" x14ac:dyDescent="0.45">
      <c r="A80" s="16" t="s">
        <v>44</v>
      </c>
      <c r="B80" s="150">
        <v>70000</v>
      </c>
      <c r="C80" s="158">
        <v>0</v>
      </c>
      <c r="D80" s="152">
        <v>0</v>
      </c>
      <c r="E80" s="158">
        <f>E77*C80</f>
        <v>0</v>
      </c>
      <c r="F80" s="4">
        <f>C80*F77</f>
        <v>0</v>
      </c>
      <c r="G80" s="158">
        <f>D80-E80-F80</f>
        <v>0</v>
      </c>
      <c r="H80"/>
      <c r="I80"/>
      <c r="J80" s="152">
        <f>SUM(E80:G80)</f>
        <v>0</v>
      </c>
      <c r="L80" s="2"/>
      <c r="M80" s="15"/>
    </row>
    <row r="81" spans="1:14" ht="15.4" x14ac:dyDescent="0.45">
      <c r="A81" s="16"/>
      <c r="B81" s="90"/>
      <c r="C81" s="12">
        <f t="shared" ref="C81:G81" si="5">SUM(C78:C80)</f>
        <v>0</v>
      </c>
      <c r="D81" s="18">
        <f t="shared" si="5"/>
        <v>0</v>
      </c>
      <c r="E81" s="18">
        <f t="shared" si="5"/>
        <v>0</v>
      </c>
      <c r="F81" s="18">
        <f t="shared" si="5"/>
        <v>0</v>
      </c>
      <c r="G81" s="18">
        <f t="shared" si="5"/>
        <v>0</v>
      </c>
      <c r="H81"/>
      <c r="I81"/>
      <c r="J81" s="18">
        <f t="shared" ref="J81" si="6">SUM(J78:J80)</f>
        <v>0</v>
      </c>
      <c r="N81" s="12"/>
    </row>
    <row r="82" spans="1:14" ht="15.4" x14ac:dyDescent="0.45">
      <c r="A82" s="16"/>
      <c r="B82" s="90"/>
      <c r="E82" s="90"/>
      <c r="F82" s="90"/>
      <c r="G82" s="90"/>
      <c r="H82"/>
      <c r="I82"/>
      <c r="J82" s="90"/>
      <c r="K82" s="90"/>
      <c r="N82" s="12"/>
    </row>
    <row r="83" spans="1:14" x14ac:dyDescent="0.45">
      <c r="A83" s="91" t="s">
        <v>158</v>
      </c>
      <c r="B83" s="91"/>
      <c r="E83" s="90"/>
      <c r="F83" s="90"/>
      <c r="G83" s="90"/>
      <c r="H83" s="90"/>
      <c r="I83" s="90"/>
    </row>
    <row r="84" spans="1:14" x14ac:dyDescent="0.45">
      <c r="A84" s="16"/>
      <c r="B84" s="141"/>
      <c r="C84" s="148" t="s">
        <v>46</v>
      </c>
      <c r="D84" s="86" t="s">
        <v>47</v>
      </c>
      <c r="E84" s="148" t="s">
        <v>49</v>
      </c>
      <c r="F84" s="148" t="s">
        <v>50</v>
      </c>
      <c r="G84" s="90"/>
      <c r="H84" s="90"/>
      <c r="I84" s="90"/>
    </row>
    <row r="85" spans="1:14" x14ac:dyDescent="0.45">
      <c r="A85" s="16" t="s">
        <v>43</v>
      </c>
      <c r="B85" s="90">
        <f>B78</f>
        <v>10000</v>
      </c>
      <c r="C85" s="12">
        <f>C81</f>
        <v>0</v>
      </c>
      <c r="D85" s="145">
        <f>E81</f>
        <v>0</v>
      </c>
      <c r="E85" s="153">
        <f>'Rates_%'!F24</f>
        <v>77.7</v>
      </c>
      <c r="F85" s="22">
        <f>E85*C85</f>
        <v>0</v>
      </c>
      <c r="G85" s="90"/>
      <c r="H85" s="90"/>
      <c r="I85" s="90"/>
    </row>
    <row r="86" spans="1:14" x14ac:dyDescent="0.45">
      <c r="A86" s="16" t="s">
        <v>99</v>
      </c>
      <c r="B86" s="90">
        <f>B79</f>
        <v>60000</v>
      </c>
      <c r="C86" s="12"/>
      <c r="D86" s="145">
        <f>F81</f>
        <v>0</v>
      </c>
      <c r="E86" s="10">
        <f>'Rates_%'!F25</f>
        <v>6.74</v>
      </c>
      <c r="F86" s="10">
        <f>(D86*E86)/1000</f>
        <v>0</v>
      </c>
      <c r="G86" s="90"/>
      <c r="H86" s="90"/>
      <c r="I86" s="90"/>
    </row>
    <row r="87" spans="1:14" x14ac:dyDescent="0.45">
      <c r="A87" s="16" t="s">
        <v>44</v>
      </c>
      <c r="B87" s="150">
        <f>B80</f>
        <v>70000</v>
      </c>
      <c r="C87" s="17"/>
      <c r="D87" s="152">
        <f>G81</f>
        <v>0</v>
      </c>
      <c r="E87" s="24">
        <f>'Rates_%'!F26</f>
        <v>6.19</v>
      </c>
      <c r="F87" s="24">
        <f>(D87*E87)/1000</f>
        <v>0</v>
      </c>
      <c r="G87" s="90"/>
      <c r="H87" s="90"/>
      <c r="I87" s="90"/>
    </row>
    <row r="88" spans="1:14" x14ac:dyDescent="0.45">
      <c r="A88" s="16"/>
      <c r="B88" s="90" t="s">
        <v>48</v>
      </c>
      <c r="C88" s="12">
        <f>SUM(C85:C87)</f>
        <v>0</v>
      </c>
      <c r="D88" s="18">
        <f>SUM(D85:D87)</f>
        <v>0</v>
      </c>
      <c r="F88" s="22">
        <f>SUM(F85:F87)</f>
        <v>0</v>
      </c>
      <c r="G88" s="22"/>
      <c r="H88" s="90"/>
      <c r="I88" s="155"/>
    </row>
    <row r="89" spans="1:14" x14ac:dyDescent="0.45">
      <c r="A89" s="16"/>
      <c r="B89" s="90"/>
      <c r="C89" s="12"/>
      <c r="D89" s="18"/>
      <c r="F89" s="22"/>
      <c r="G89" s="22"/>
      <c r="H89" s="90"/>
      <c r="I89" s="155"/>
    </row>
    <row r="90" spans="1:14" ht="15.75" x14ac:dyDescent="0.5">
      <c r="A90" s="508" t="s">
        <v>351</v>
      </c>
      <c r="B90" s="508"/>
      <c r="D90" s="1"/>
    </row>
    <row r="91" spans="1:14" x14ac:dyDescent="0.45">
      <c r="D91" s="15" t="s">
        <v>48</v>
      </c>
      <c r="E91" s="15"/>
      <c r="F91" s="15"/>
    </row>
    <row r="92" spans="1:14" x14ac:dyDescent="0.45">
      <c r="D92" s="141" t="s">
        <v>47</v>
      </c>
      <c r="E92" s="141" t="s">
        <v>49</v>
      </c>
      <c r="F92" s="141" t="s">
        <v>50</v>
      </c>
    </row>
    <row r="93" spans="1:14" ht="15.75" customHeight="1" x14ac:dyDescent="0.45">
      <c r="B93" s="501" t="s">
        <v>352</v>
      </c>
      <c r="C93" s="501"/>
      <c r="D93" s="312">
        <v>18243000</v>
      </c>
      <c r="E93" s="153">
        <f>'Rates_%'!F29</f>
        <v>3.85</v>
      </c>
      <c r="F93" s="22">
        <f>E93*(D93/1000)</f>
        <v>70235.55</v>
      </c>
    </row>
  </sheetData>
  <mergeCells count="6">
    <mergeCell ref="A2:I2"/>
    <mergeCell ref="B93:C93"/>
    <mergeCell ref="A22:B22"/>
    <mergeCell ref="A41:B41"/>
    <mergeCell ref="A60:B60"/>
    <mergeCell ref="A90:B90"/>
  </mergeCells>
  <pageMargins left="0.7" right="0.7" top="0.75" bottom="0.75" header="0.3" footer="0.3"/>
  <pageSetup fitToHeight="0" orientation="landscape" horizontalDpi="4294967293" r:id="rId1"/>
  <ignoredErrors>
    <ignoredError sqref="F46 G47 G13 E13:F1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Q47"/>
  <sheetViews>
    <sheetView workbookViewId="0">
      <selection activeCell="J23" sqref="J23"/>
    </sheetView>
  </sheetViews>
  <sheetFormatPr defaultColWidth="8.88671875" defaultRowHeight="14.25" x14ac:dyDescent="0.45"/>
  <cols>
    <col min="1" max="1" width="6.21875" style="1" customWidth="1"/>
    <col min="2" max="2" width="2.21875" style="1" customWidth="1"/>
    <col min="3" max="3" width="9.6640625" style="1" customWidth="1"/>
    <col min="4" max="4" width="12.609375" style="12" customWidth="1"/>
    <col min="5" max="7" width="12.609375" style="1" customWidth="1"/>
    <col min="8" max="8" width="6.5546875" style="1" customWidth="1"/>
    <col min="9" max="9" width="9.77734375" style="1" customWidth="1"/>
    <col min="10" max="10" width="10.21875" style="1" bestFit="1" customWidth="1"/>
    <col min="11" max="11" width="9.88671875" style="1" bestFit="1" customWidth="1"/>
    <col min="12" max="12" width="15.88671875" style="12" customWidth="1"/>
    <col min="13" max="13" width="9" style="6" bestFit="1" customWidth="1"/>
    <col min="14" max="14" width="11" style="6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477" t="s">
        <v>387</v>
      </c>
      <c r="B1" s="477"/>
      <c r="C1" s="477"/>
      <c r="D1" s="477"/>
      <c r="E1" s="477"/>
      <c r="F1" s="477"/>
      <c r="G1" s="477"/>
      <c r="H1" s="477"/>
      <c r="I1" s="19"/>
    </row>
    <row r="2" spans="1:17" ht="18" x14ac:dyDescent="0.55000000000000004">
      <c r="A2" s="477" t="s">
        <v>407</v>
      </c>
      <c r="B2" s="477"/>
      <c r="C2" s="477"/>
      <c r="D2" s="477"/>
      <c r="E2" s="477"/>
      <c r="F2" s="477"/>
      <c r="G2" s="477"/>
      <c r="H2" s="477"/>
      <c r="I2" s="19"/>
    </row>
    <row r="3" spans="1:17" ht="18" x14ac:dyDescent="0.45">
      <c r="A3" s="479" t="s">
        <v>179</v>
      </c>
      <c r="B3" s="479"/>
      <c r="C3" s="479"/>
      <c r="D3" s="479"/>
      <c r="E3" s="479"/>
      <c r="F3" s="479"/>
      <c r="G3" s="479"/>
      <c r="H3" s="479"/>
      <c r="I3" s="23"/>
    </row>
    <row r="4" spans="1:17" ht="18" x14ac:dyDescent="0.45">
      <c r="A4" s="23"/>
      <c r="B4" s="23"/>
      <c r="C4" s="23"/>
      <c r="D4" s="23"/>
      <c r="E4" s="23"/>
      <c r="F4" s="23"/>
      <c r="G4" s="23"/>
      <c r="H4" s="23"/>
      <c r="I4" s="23"/>
    </row>
    <row r="5" spans="1:17" x14ac:dyDescent="0.45">
      <c r="L5" s="202"/>
      <c r="Q5" s="12"/>
    </row>
    <row r="6" spans="1:17" ht="15.75" x14ac:dyDescent="0.5">
      <c r="B6" s="371" t="s">
        <v>152</v>
      </c>
      <c r="L6" s="202"/>
      <c r="Q6" s="12"/>
    </row>
    <row r="7" spans="1:17" x14ac:dyDescent="0.45">
      <c r="C7" s="140"/>
      <c r="D7" s="17"/>
      <c r="E7" s="141" t="s">
        <v>153</v>
      </c>
      <c r="F7" s="141" t="s">
        <v>154</v>
      </c>
      <c r="G7" s="141" t="s">
        <v>155</v>
      </c>
      <c r="L7" s="202"/>
      <c r="Q7" s="12"/>
    </row>
    <row r="8" spans="1:17" ht="15.75" x14ac:dyDescent="0.5">
      <c r="C8" s="370" t="s">
        <v>392</v>
      </c>
      <c r="E8" s="12">
        <f>M15</f>
        <v>73003</v>
      </c>
      <c r="F8" s="143">
        <f>N15</f>
        <v>268393745</v>
      </c>
      <c r="G8" s="22">
        <f>G23</f>
        <v>3093978.1274499996</v>
      </c>
      <c r="L8" s="202"/>
      <c r="Q8" s="12"/>
    </row>
    <row r="9" spans="1:17" ht="15.75" x14ac:dyDescent="0.5">
      <c r="C9" s="370" t="s">
        <v>156</v>
      </c>
      <c r="E9" s="12">
        <f t="shared" ref="E9:E11" si="0">M16</f>
        <v>744</v>
      </c>
      <c r="F9" s="143">
        <f t="shared" ref="F9:F11" si="1">N16</f>
        <v>12888926</v>
      </c>
      <c r="G9" s="12">
        <f>G29</f>
        <v>133742.54926</v>
      </c>
      <c r="L9" s="202"/>
      <c r="Q9" s="12"/>
    </row>
    <row r="10" spans="1:17" ht="15.75" x14ac:dyDescent="0.5">
      <c r="C10" s="370" t="s">
        <v>393</v>
      </c>
      <c r="E10" s="12">
        <f t="shared" si="0"/>
        <v>372</v>
      </c>
      <c r="F10" s="143">
        <f t="shared" si="1"/>
        <v>21093629</v>
      </c>
      <c r="G10" s="12">
        <f>G35</f>
        <v>214588.22628999999</v>
      </c>
      <c r="L10" s="202"/>
      <c r="Q10" s="12"/>
    </row>
    <row r="11" spans="1:17" ht="17.649999999999999" x14ac:dyDescent="0.75">
      <c r="C11" s="370" t="s">
        <v>159</v>
      </c>
      <c r="E11" s="229">
        <f t="shared" si="0"/>
        <v>24</v>
      </c>
      <c r="F11" s="313">
        <f t="shared" si="1"/>
        <v>2928200</v>
      </c>
      <c r="G11" s="243">
        <f>G41</f>
        <v>30047.362000000001</v>
      </c>
      <c r="L11" s="202"/>
      <c r="Q11" s="12"/>
    </row>
    <row r="12" spans="1:17" x14ac:dyDescent="0.45">
      <c r="C12" s="1" t="s">
        <v>353</v>
      </c>
      <c r="E12" s="2">
        <f>SUM(E8:E11)</f>
        <v>74143</v>
      </c>
      <c r="F12" s="18">
        <f>SUM(F8:F11)</f>
        <v>305304500</v>
      </c>
      <c r="G12" s="88">
        <f>SUM(G8:G11)</f>
        <v>3472356.2649999997</v>
      </c>
      <c r="L12" s="202"/>
      <c r="N12" s="1"/>
      <c r="Q12" s="12"/>
    </row>
    <row r="13" spans="1:17" x14ac:dyDescent="0.45">
      <c r="C13" s="1" t="s">
        <v>354</v>
      </c>
      <c r="E13" s="2"/>
      <c r="F13" s="18"/>
      <c r="G13" s="4">
        <f>(-23274-33511)*(1+SAO!H54)</f>
        <v>-63798.617721545139</v>
      </c>
      <c r="L13" s="202"/>
      <c r="Q13" s="12"/>
    </row>
    <row r="14" spans="1:17" x14ac:dyDescent="0.45">
      <c r="C14" s="1" t="s">
        <v>355</v>
      </c>
      <c r="E14" s="2"/>
      <c r="F14" s="18"/>
      <c r="G14" s="5">
        <f>G12+G13</f>
        <v>3408557.6472784546</v>
      </c>
      <c r="L14" s="202"/>
      <c r="Q14" s="12"/>
    </row>
    <row r="15" spans="1:17" ht="15.75" x14ac:dyDescent="0.5">
      <c r="C15" s="1" t="s">
        <v>356</v>
      </c>
      <c r="E15" s="2"/>
      <c r="F15" s="18"/>
      <c r="G15" s="4">
        <f>F45</f>
        <v>76985.459999999992</v>
      </c>
      <c r="J15" s="126" t="s">
        <v>396</v>
      </c>
      <c r="L15" s="370" t="s">
        <v>392</v>
      </c>
      <c r="M15" s="6">
        <v>73003</v>
      </c>
      <c r="N15" s="6">
        <f>305304500-SUM(N16:N18)</f>
        <v>268393745</v>
      </c>
      <c r="Q15" s="12"/>
    </row>
    <row r="16" spans="1:17" ht="15.75" x14ac:dyDescent="0.5">
      <c r="C16" s="1" t="s">
        <v>394</v>
      </c>
      <c r="D16" s="145"/>
      <c r="F16" s="13"/>
      <c r="G16" s="89">
        <f>G14+G15</f>
        <v>3485543.1072784546</v>
      </c>
      <c r="J16" s="129">
        <f>SAO!H50</f>
        <v>3486148.9725704929</v>
      </c>
      <c r="L16" s="370" t="s">
        <v>156</v>
      </c>
      <c r="M16" s="6">
        <v>744</v>
      </c>
      <c r="N16" s="6">
        <v>12888926</v>
      </c>
      <c r="Q16" s="12"/>
    </row>
    <row r="17" spans="1:14" ht="15.75" x14ac:dyDescent="0.5">
      <c r="L17" s="370" t="s">
        <v>393</v>
      </c>
      <c r="M17" s="6">
        <v>372</v>
      </c>
      <c r="N17" s="6">
        <v>21093629</v>
      </c>
    </row>
    <row r="18" spans="1:14" ht="17.649999999999999" x14ac:dyDescent="0.75">
      <c r="L18" s="370" t="s">
        <v>159</v>
      </c>
      <c r="M18" s="20">
        <v>24</v>
      </c>
      <c r="N18" s="20">
        <v>2928200</v>
      </c>
    </row>
    <row r="19" spans="1:14" ht="15.75" x14ac:dyDescent="0.5">
      <c r="A19"/>
      <c r="B19" s="369" t="s">
        <v>383</v>
      </c>
      <c r="D19" s="1"/>
      <c r="M19" s="6">
        <f>SUM(M15:M18)</f>
        <v>74143</v>
      </c>
      <c r="N19" s="6">
        <f>SUM(N15:N18)</f>
        <v>305304500</v>
      </c>
    </row>
    <row r="20" spans="1:14" ht="15.4" x14ac:dyDescent="0.45">
      <c r="A20"/>
      <c r="B20" s="16"/>
      <c r="D20" s="148" t="s">
        <v>46</v>
      </c>
      <c r="E20" s="141" t="s">
        <v>47</v>
      </c>
      <c r="F20" s="148" t="s">
        <v>49</v>
      </c>
      <c r="G20" s="148" t="s">
        <v>50</v>
      </c>
      <c r="H20" s="90"/>
    </row>
    <row r="21" spans="1:14" ht="15.4" x14ac:dyDescent="0.45">
      <c r="A21"/>
      <c r="B21" s="16"/>
      <c r="C21" s="16" t="s">
        <v>391</v>
      </c>
      <c r="D21" s="12">
        <f>E8</f>
        <v>73003</v>
      </c>
      <c r="E21" s="12">
        <v>0</v>
      </c>
      <c r="F21" s="153">
        <f>COS_rates!K13</f>
        <v>5.58</v>
      </c>
      <c r="G21" s="22">
        <f>F21*D21</f>
        <v>407356.74</v>
      </c>
      <c r="H21" s="90"/>
    </row>
    <row r="22" spans="1:14" ht="15.4" x14ac:dyDescent="0.45">
      <c r="A22"/>
      <c r="B22" s="16"/>
      <c r="C22" s="16" t="s">
        <v>390</v>
      </c>
      <c r="D22" s="154"/>
      <c r="E22" s="17">
        <f>F8</f>
        <v>268393745</v>
      </c>
      <c r="F22" s="363">
        <f>COS_rates!K21</f>
        <v>10.01</v>
      </c>
      <c r="G22" s="17">
        <f>F22*(E22/1000)</f>
        <v>2686621.3874499998</v>
      </c>
      <c r="H22" s="90"/>
    </row>
    <row r="23" spans="1:14" ht="15.4" x14ac:dyDescent="0.45">
      <c r="A23"/>
      <c r="B23" s="16"/>
      <c r="C23" s="90" t="s">
        <v>64</v>
      </c>
      <c r="D23" s="12">
        <f>SUM(D21:D22)</f>
        <v>73003</v>
      </c>
      <c r="E23" s="12">
        <f>SUM(E21:E22)</f>
        <v>268393745</v>
      </c>
      <c r="G23" s="22">
        <f>SUM(G21:G22)</f>
        <v>3093978.1274499996</v>
      </c>
      <c r="H23" s="90"/>
    </row>
    <row r="24" spans="1:14" ht="15.4" x14ac:dyDescent="0.45">
      <c r="A24"/>
      <c r="B24" s="16"/>
      <c r="C24" s="90"/>
      <c r="E24" s="12"/>
      <c r="G24" s="22"/>
      <c r="H24" s="90"/>
    </row>
    <row r="25" spans="1:14" ht="15.75" x14ac:dyDescent="0.5">
      <c r="A25"/>
      <c r="B25" s="369" t="s">
        <v>251</v>
      </c>
      <c r="D25" s="1"/>
    </row>
    <row r="26" spans="1:14" ht="15.4" x14ac:dyDescent="0.45">
      <c r="A26"/>
      <c r="B26" s="16"/>
      <c r="D26" s="148" t="s">
        <v>46</v>
      </c>
      <c r="E26" s="141" t="s">
        <v>47</v>
      </c>
      <c r="F26" s="148" t="s">
        <v>49</v>
      </c>
      <c r="G26" s="148" t="s">
        <v>50</v>
      </c>
      <c r="H26" s="90"/>
    </row>
    <row r="27" spans="1:14" ht="15.4" x14ac:dyDescent="0.45">
      <c r="A27"/>
      <c r="B27" s="16"/>
      <c r="C27" s="16" t="s">
        <v>391</v>
      </c>
      <c r="D27" s="12">
        <f>E9</f>
        <v>744</v>
      </c>
      <c r="E27" s="12">
        <v>0</v>
      </c>
      <c r="F27" s="153">
        <f>COS_rates!K14</f>
        <v>6.35</v>
      </c>
      <c r="G27" s="22">
        <f>F27*D27</f>
        <v>4724.3999999999996</v>
      </c>
      <c r="H27" s="90"/>
    </row>
    <row r="28" spans="1:14" ht="15.4" x14ac:dyDescent="0.45">
      <c r="A28"/>
      <c r="B28" s="16"/>
      <c r="C28" s="16" t="s">
        <v>390</v>
      </c>
      <c r="D28" s="154"/>
      <c r="E28" s="17">
        <f>F9</f>
        <v>12888926</v>
      </c>
      <c r="F28" s="363">
        <f>COS_rates!K21</f>
        <v>10.01</v>
      </c>
      <c r="G28" s="17">
        <f>F28*(E28/1000)</f>
        <v>129018.14925999999</v>
      </c>
      <c r="H28" s="90"/>
    </row>
    <row r="29" spans="1:14" ht="15.4" x14ac:dyDescent="0.45">
      <c r="A29"/>
      <c r="B29" s="16"/>
      <c r="C29" s="90" t="s">
        <v>64</v>
      </c>
      <c r="D29" s="12">
        <f>SUM(D27:D28)</f>
        <v>744</v>
      </c>
      <c r="E29" s="12">
        <f>SUM(E27:E28)</f>
        <v>12888926</v>
      </c>
      <c r="G29" s="22">
        <f>SUM(G27:G28)</f>
        <v>133742.54926</v>
      </c>
      <c r="H29" s="90"/>
    </row>
    <row r="30" spans="1:14" ht="15.4" x14ac:dyDescent="0.45">
      <c r="A30"/>
      <c r="B30" s="16"/>
      <c r="C30" s="90"/>
      <c r="E30" s="12"/>
      <c r="G30" s="22"/>
      <c r="H30" s="90"/>
    </row>
    <row r="31" spans="1:14" ht="15.75" x14ac:dyDescent="0.5">
      <c r="A31"/>
      <c r="B31" s="369" t="s">
        <v>384</v>
      </c>
      <c r="D31" s="1"/>
    </row>
    <row r="32" spans="1:14" ht="15.4" x14ac:dyDescent="0.45">
      <c r="A32"/>
      <c r="B32" s="16"/>
      <c r="D32" s="148" t="s">
        <v>46</v>
      </c>
      <c r="E32" s="141" t="s">
        <v>47</v>
      </c>
      <c r="F32" s="148" t="s">
        <v>49</v>
      </c>
      <c r="G32" s="148" t="s">
        <v>50</v>
      </c>
      <c r="H32" s="90"/>
    </row>
    <row r="33" spans="1:8" ht="15.4" x14ac:dyDescent="0.45">
      <c r="A33"/>
      <c r="B33" s="16"/>
      <c r="C33" s="16" t="s">
        <v>391</v>
      </c>
      <c r="D33" s="12">
        <f>E10</f>
        <v>372</v>
      </c>
      <c r="E33" s="12">
        <v>0</v>
      </c>
      <c r="F33" s="153">
        <f>COS_rates!K16</f>
        <v>9.25</v>
      </c>
      <c r="G33" s="22">
        <f>F33*D33</f>
        <v>3441</v>
      </c>
      <c r="H33" s="90"/>
    </row>
    <row r="34" spans="1:8" ht="15.4" x14ac:dyDescent="0.45">
      <c r="A34"/>
      <c r="B34" s="16"/>
      <c r="C34" s="16" t="s">
        <v>390</v>
      </c>
      <c r="D34" s="154"/>
      <c r="E34" s="17">
        <f>F10</f>
        <v>21093629</v>
      </c>
      <c r="F34" s="363">
        <f>COS_rates!K21</f>
        <v>10.01</v>
      </c>
      <c r="G34" s="17">
        <f>F34*(E34/1000)</f>
        <v>211147.22628999999</v>
      </c>
      <c r="H34" s="90"/>
    </row>
    <row r="35" spans="1:8" ht="15.4" x14ac:dyDescent="0.45">
      <c r="A35"/>
      <c r="B35" s="16"/>
      <c r="C35" s="90" t="s">
        <v>64</v>
      </c>
      <c r="D35" s="12">
        <f>SUM(D33:D34)</f>
        <v>372</v>
      </c>
      <c r="E35" s="12">
        <f>SUM(E33:E34)</f>
        <v>21093629</v>
      </c>
      <c r="G35" s="22">
        <f>SUM(G33:G34)</f>
        <v>214588.22628999999</v>
      </c>
      <c r="H35" s="90"/>
    </row>
    <row r="36" spans="1:8" ht="15.4" x14ac:dyDescent="0.45">
      <c r="A36"/>
      <c r="B36" s="16"/>
      <c r="C36" s="90"/>
      <c r="E36" s="12"/>
      <c r="G36" s="22"/>
      <c r="H36" s="90"/>
    </row>
    <row r="37" spans="1:8" ht="15.75" x14ac:dyDescent="0.5">
      <c r="A37"/>
      <c r="B37" s="369" t="s">
        <v>385</v>
      </c>
      <c r="D37" s="1"/>
    </row>
    <row r="38" spans="1:8" ht="15.4" x14ac:dyDescent="0.45">
      <c r="A38"/>
      <c r="B38" s="16"/>
      <c r="D38" s="148" t="s">
        <v>46</v>
      </c>
      <c r="E38" s="141" t="s">
        <v>47</v>
      </c>
      <c r="F38" s="148" t="s">
        <v>49</v>
      </c>
      <c r="G38" s="148" t="s">
        <v>50</v>
      </c>
      <c r="H38" s="90"/>
    </row>
    <row r="39" spans="1:8" ht="15.4" x14ac:dyDescent="0.45">
      <c r="A39"/>
      <c r="B39" s="16"/>
      <c r="C39" s="16" t="s">
        <v>391</v>
      </c>
      <c r="D39" s="12">
        <f>E11</f>
        <v>24</v>
      </c>
      <c r="E39" s="12">
        <v>0</v>
      </c>
      <c r="F39" s="153">
        <f>COS_rates!K18</f>
        <v>30.67</v>
      </c>
      <c r="G39" s="22">
        <f>F39*D39</f>
        <v>736.08</v>
      </c>
      <c r="H39" s="90"/>
    </row>
    <row r="40" spans="1:8" ht="15.4" x14ac:dyDescent="0.45">
      <c r="A40"/>
      <c r="B40" s="16"/>
      <c r="C40" s="16" t="s">
        <v>390</v>
      </c>
      <c r="D40" s="154"/>
      <c r="E40" s="17">
        <f>F11</f>
        <v>2928200</v>
      </c>
      <c r="F40" s="363">
        <f>COS_rates!K21</f>
        <v>10.01</v>
      </c>
      <c r="G40" s="17">
        <f>F40*(E40/1000)</f>
        <v>29311.281999999999</v>
      </c>
      <c r="H40" s="90"/>
    </row>
    <row r="41" spans="1:8" ht="15.4" x14ac:dyDescent="0.45">
      <c r="A41"/>
      <c r="B41" s="16"/>
      <c r="C41" s="90" t="s">
        <v>64</v>
      </c>
      <c r="D41" s="12">
        <f>SUM(D39:D40)</f>
        <v>24</v>
      </c>
      <c r="E41" s="12">
        <f>SUM(E39:E40)</f>
        <v>2928200</v>
      </c>
      <c r="G41" s="22">
        <f>SUM(G39:G40)</f>
        <v>30047.362000000001</v>
      </c>
      <c r="H41" s="90"/>
    </row>
    <row r="42" spans="1:8" ht="15.4" x14ac:dyDescent="0.45">
      <c r="A42"/>
      <c r="B42" s="16"/>
      <c r="C42" s="90"/>
      <c r="E42" s="12"/>
      <c r="G42" s="22"/>
      <c r="H42" s="90"/>
    </row>
    <row r="43" spans="1:8" ht="15.75" x14ac:dyDescent="0.5">
      <c r="A43"/>
      <c r="B43" s="147" t="s">
        <v>388</v>
      </c>
      <c r="D43" s="1"/>
    </row>
    <row r="44" spans="1:8" ht="15.4" x14ac:dyDescent="0.45">
      <c r="A44"/>
      <c r="D44" s="148" t="s">
        <v>47</v>
      </c>
      <c r="E44" s="148" t="s">
        <v>49</v>
      </c>
      <c r="F44" s="141" t="s">
        <v>48</v>
      </c>
    </row>
    <row r="45" spans="1:8" ht="15.4" x14ac:dyDescent="0.45">
      <c r="A45"/>
      <c r="C45" s="15" t="s">
        <v>389</v>
      </c>
      <c r="D45" s="12">
        <f>ExBA!D93</f>
        <v>18243000</v>
      </c>
      <c r="E45" s="134">
        <f>COS_rates!K29</f>
        <v>4.22</v>
      </c>
      <c r="F45" s="22">
        <f>(D45/1000)*E45</f>
        <v>76985.459999999992</v>
      </c>
    </row>
    <row r="46" spans="1:8" ht="15.4" x14ac:dyDescent="0.45">
      <c r="A46"/>
      <c r="B46"/>
      <c r="C46"/>
      <c r="D46"/>
      <c r="E46"/>
      <c r="F46"/>
      <c r="G46"/>
      <c r="H46"/>
    </row>
    <row r="47" spans="1:8" ht="15.4" x14ac:dyDescent="0.45">
      <c r="A47"/>
      <c r="B47"/>
      <c r="C47"/>
      <c r="D47"/>
      <c r="E47"/>
      <c r="F47"/>
      <c r="G47"/>
      <c r="H47"/>
    </row>
  </sheetData>
  <mergeCells count="3">
    <mergeCell ref="A1:H1"/>
    <mergeCell ref="A3:H3"/>
    <mergeCell ref="A2:H2"/>
  </mergeCells>
  <pageMargins left="0.7" right="0.7" top="0.75" bottom="0.75" header="0.3" footer="0.3"/>
  <pageSetup orientation="landscape" horizontalDpi="4294967293" r:id="rId1"/>
  <ignoredErrors>
    <ignoredError sqref="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K49"/>
  <sheetViews>
    <sheetView topLeftCell="A16" workbookViewId="0">
      <selection activeCell="G47" sqref="G47"/>
    </sheetView>
  </sheetViews>
  <sheetFormatPr defaultColWidth="8.88671875" defaultRowHeight="14.25" x14ac:dyDescent="0.45"/>
  <cols>
    <col min="1" max="1" width="17.6640625" style="1" customWidth="1"/>
    <col min="2" max="2" width="10.88671875" style="1" customWidth="1"/>
    <col min="3" max="10" width="12.5546875" style="10" customWidth="1"/>
    <col min="11" max="11" width="5.609375" style="16" customWidth="1"/>
    <col min="12" max="16384" width="8.88671875" style="1"/>
  </cols>
  <sheetData>
    <row r="1" spans="1:11" x14ac:dyDescent="0.45">
      <c r="B1" s="1" t="s">
        <v>67</v>
      </c>
    </row>
    <row r="2" spans="1:11" x14ac:dyDescent="0.45">
      <c r="C2" s="87"/>
      <c r="D2" s="87"/>
      <c r="E2" s="87"/>
      <c r="F2" s="87"/>
      <c r="G2" s="87"/>
      <c r="H2" s="87"/>
      <c r="I2" s="87"/>
      <c r="J2" s="87" t="s">
        <v>13</v>
      </c>
    </row>
    <row r="3" spans="1:11" x14ac:dyDescent="0.45">
      <c r="C3" s="87" t="s">
        <v>68</v>
      </c>
      <c r="D3" s="87" t="s">
        <v>68</v>
      </c>
      <c r="E3" s="87" t="s">
        <v>69</v>
      </c>
      <c r="F3" s="87" t="s">
        <v>68</v>
      </c>
      <c r="G3" s="87" t="s">
        <v>68</v>
      </c>
      <c r="H3" s="87" t="s">
        <v>165</v>
      </c>
      <c r="J3" s="87" t="s">
        <v>68</v>
      </c>
    </row>
    <row r="4" spans="1:11" x14ac:dyDescent="0.45">
      <c r="B4" s="1" t="s">
        <v>70</v>
      </c>
      <c r="C4" s="87" t="s">
        <v>71</v>
      </c>
      <c r="D4" s="87" t="s">
        <v>72</v>
      </c>
      <c r="E4" s="87" t="s">
        <v>73</v>
      </c>
      <c r="F4" s="87" t="s">
        <v>74</v>
      </c>
      <c r="G4" s="87" t="s">
        <v>75</v>
      </c>
      <c r="H4" s="87" t="s">
        <v>166</v>
      </c>
      <c r="I4" s="87" t="s">
        <v>169</v>
      </c>
      <c r="J4" s="87" t="s">
        <v>76</v>
      </c>
    </row>
    <row r="5" spans="1:11" x14ac:dyDescent="0.45">
      <c r="A5" s="1" t="s">
        <v>184</v>
      </c>
      <c r="B5" s="1" t="s">
        <v>142</v>
      </c>
      <c r="C5" s="10">
        <f>1940+68+72</f>
        <v>2080</v>
      </c>
      <c r="D5" s="10">
        <v>178.5</v>
      </c>
      <c r="E5" s="10">
        <v>21</v>
      </c>
      <c r="F5" s="10">
        <f>C5*E5</f>
        <v>43680</v>
      </c>
      <c r="G5" s="10">
        <f>D5*E5*1.5</f>
        <v>5622.75</v>
      </c>
      <c r="J5" s="10">
        <f>F5+G5+H5+I5</f>
        <v>49302.75</v>
      </c>
    </row>
    <row r="6" spans="1:11" x14ac:dyDescent="0.45">
      <c r="A6" s="232" t="s">
        <v>185</v>
      </c>
      <c r="B6" s="1" t="s">
        <v>143</v>
      </c>
      <c r="C6" s="10">
        <f>1949.5+35+80</f>
        <v>2064.5</v>
      </c>
      <c r="D6" s="10">
        <v>75.5</v>
      </c>
      <c r="E6" s="10">
        <v>22.5</v>
      </c>
      <c r="F6" s="10">
        <f>C6*E6</f>
        <v>46451.25</v>
      </c>
      <c r="G6" s="10">
        <f>D6*E6*1.5</f>
        <v>2548.125</v>
      </c>
      <c r="J6" s="233">
        <f t="shared" ref="J6:J21" si="0">F6+G6+H6+I6</f>
        <v>48999.375</v>
      </c>
    </row>
    <row r="7" spans="1:11" x14ac:dyDescent="0.45">
      <c r="A7" s="1" t="s">
        <v>186</v>
      </c>
      <c r="B7" s="1" t="s">
        <v>160</v>
      </c>
      <c r="C7" s="10">
        <f>1926+72+80</f>
        <v>2078</v>
      </c>
      <c r="D7" s="10">
        <v>135.5</v>
      </c>
      <c r="E7" s="10">
        <v>26.5</v>
      </c>
      <c r="F7" s="10">
        <f t="shared" ref="F7:F11" si="1">C7*E7</f>
        <v>55067</v>
      </c>
      <c r="G7" s="10">
        <f t="shared" ref="G7:G21" si="2">D7*E7*1.5</f>
        <v>5386.125</v>
      </c>
      <c r="J7" s="10">
        <f t="shared" si="0"/>
        <v>60453.125</v>
      </c>
    </row>
    <row r="8" spans="1:11" x14ac:dyDescent="0.45">
      <c r="A8" s="232" t="s">
        <v>187</v>
      </c>
      <c r="B8" s="1" t="s">
        <v>161</v>
      </c>
      <c r="C8" s="10">
        <f>1982+18+80</f>
        <v>2080</v>
      </c>
      <c r="D8" s="10">
        <v>85.5</v>
      </c>
      <c r="E8" s="10">
        <v>28</v>
      </c>
      <c r="F8" s="10">
        <f>C8*E8</f>
        <v>58240</v>
      </c>
      <c r="G8" s="10">
        <f t="shared" si="2"/>
        <v>3591</v>
      </c>
      <c r="J8" s="10">
        <f t="shared" si="0"/>
        <v>61831</v>
      </c>
    </row>
    <row r="9" spans="1:11" x14ac:dyDescent="0.45">
      <c r="A9" s="1" t="s">
        <v>188</v>
      </c>
      <c r="B9" s="1" t="s">
        <v>162</v>
      </c>
      <c r="C9" s="10">
        <f>2034+46+40</f>
        <v>2120</v>
      </c>
      <c r="D9" s="10">
        <v>256.5</v>
      </c>
      <c r="E9" s="10">
        <v>25</v>
      </c>
      <c r="F9" s="10">
        <f>C9*E9</f>
        <v>53000</v>
      </c>
      <c r="G9" s="10">
        <f t="shared" si="2"/>
        <v>9618.75</v>
      </c>
      <c r="J9" s="10">
        <f t="shared" si="0"/>
        <v>62618.75</v>
      </c>
    </row>
    <row r="10" spans="1:11" x14ac:dyDescent="0.45">
      <c r="A10" s="1" t="s">
        <v>189</v>
      </c>
      <c r="B10" s="1" t="s">
        <v>163</v>
      </c>
      <c r="E10" s="10" t="s">
        <v>200</v>
      </c>
      <c r="J10" s="10">
        <v>70657</v>
      </c>
    </row>
    <row r="11" spans="1:11" x14ac:dyDescent="0.45">
      <c r="A11" s="232" t="s">
        <v>190</v>
      </c>
      <c r="B11" s="1" t="s">
        <v>164</v>
      </c>
      <c r="C11" s="10">
        <f>1997.5+40+26</f>
        <v>2063.5</v>
      </c>
      <c r="D11" s="10">
        <v>39.25</v>
      </c>
      <c r="E11" s="10">
        <v>18.75</v>
      </c>
      <c r="F11" s="10">
        <f t="shared" si="1"/>
        <v>38690.625</v>
      </c>
      <c r="G11" s="10">
        <f t="shared" si="2"/>
        <v>1103.90625</v>
      </c>
      <c r="J11" s="233">
        <f t="shared" si="0"/>
        <v>39794.53125</v>
      </c>
    </row>
    <row r="12" spans="1:11" x14ac:dyDescent="0.45">
      <c r="A12" s="232" t="s">
        <v>191</v>
      </c>
      <c r="B12" s="1" t="s">
        <v>167</v>
      </c>
      <c r="C12" s="10">
        <f>1979.5+35+40</f>
        <v>2054.5</v>
      </c>
      <c r="D12" s="10">
        <v>42.75</v>
      </c>
      <c r="E12" s="10">
        <v>16.5</v>
      </c>
      <c r="F12" s="10">
        <f t="shared" ref="F12:F17" si="3">C12*E12</f>
        <v>33899.25</v>
      </c>
      <c r="G12" s="10">
        <f t="shared" ref="G12:G17" si="4">D12*E12*1.5</f>
        <v>1058.0625</v>
      </c>
      <c r="J12" s="233">
        <f t="shared" si="0"/>
        <v>34957.3125</v>
      </c>
    </row>
    <row r="13" spans="1:11" x14ac:dyDescent="0.45">
      <c r="A13" s="232" t="s">
        <v>192</v>
      </c>
      <c r="B13" s="1" t="s">
        <v>168</v>
      </c>
      <c r="C13" s="10">
        <f>1907.25+40+72</f>
        <v>2019.25</v>
      </c>
      <c r="D13" s="10">
        <v>33.5</v>
      </c>
      <c r="E13" s="10">
        <v>19.25</v>
      </c>
      <c r="F13" s="10">
        <f t="shared" si="3"/>
        <v>38870.5625</v>
      </c>
      <c r="G13" s="10">
        <f t="shared" si="4"/>
        <v>967.3125</v>
      </c>
      <c r="J13" s="233">
        <f t="shared" si="0"/>
        <v>39837.875</v>
      </c>
      <c r="K13" s="234"/>
    </row>
    <row r="14" spans="1:11" x14ac:dyDescent="0.45">
      <c r="A14" s="1" t="s">
        <v>193</v>
      </c>
      <c r="B14" s="1" t="s">
        <v>170</v>
      </c>
      <c r="C14" s="10">
        <f>2122+38+40</f>
        <v>2200</v>
      </c>
      <c r="D14" s="10">
        <v>76</v>
      </c>
      <c r="E14" s="10">
        <v>24</v>
      </c>
      <c r="F14" s="10">
        <f t="shared" si="3"/>
        <v>52800</v>
      </c>
      <c r="G14" s="10">
        <f t="shared" si="4"/>
        <v>2736</v>
      </c>
      <c r="J14" s="10">
        <f t="shared" si="0"/>
        <v>55536</v>
      </c>
    </row>
    <row r="15" spans="1:11" x14ac:dyDescent="0.45">
      <c r="A15" s="1" t="s">
        <v>194</v>
      </c>
      <c r="B15" s="1" t="s">
        <v>171</v>
      </c>
      <c r="C15" s="10">
        <f>1949+44+80</f>
        <v>2073</v>
      </c>
      <c r="D15" s="10">
        <v>218</v>
      </c>
      <c r="E15" s="10">
        <v>21.25</v>
      </c>
      <c r="F15" s="10">
        <f t="shared" si="3"/>
        <v>44051.25</v>
      </c>
      <c r="G15" s="10">
        <f t="shared" si="4"/>
        <v>6948.75</v>
      </c>
      <c r="J15" s="10">
        <f t="shared" si="0"/>
        <v>51000</v>
      </c>
    </row>
    <row r="16" spans="1:11" x14ac:dyDescent="0.45">
      <c r="A16" s="1" t="s">
        <v>195</v>
      </c>
      <c r="B16" s="1" t="s">
        <v>172</v>
      </c>
      <c r="C16" s="10">
        <v>1771</v>
      </c>
      <c r="D16" s="10">
        <v>204.5</v>
      </c>
      <c r="E16" s="10">
        <v>17.75</v>
      </c>
      <c r="F16" s="10">
        <f t="shared" si="3"/>
        <v>31435.25</v>
      </c>
      <c r="G16" s="10">
        <f t="shared" si="4"/>
        <v>5444.8125</v>
      </c>
      <c r="J16" s="10">
        <f t="shared" si="0"/>
        <v>36880.0625</v>
      </c>
    </row>
    <row r="17" spans="1:11" x14ac:dyDescent="0.45">
      <c r="A17" s="1" t="s">
        <v>196</v>
      </c>
      <c r="B17" s="1" t="s">
        <v>173</v>
      </c>
      <c r="C17" s="10">
        <f>2108+12</f>
        <v>2120</v>
      </c>
      <c r="D17" s="10">
        <v>244.5</v>
      </c>
      <c r="E17" s="10">
        <v>18</v>
      </c>
      <c r="F17" s="10">
        <f t="shared" si="3"/>
        <v>38160</v>
      </c>
      <c r="G17" s="10">
        <f t="shared" si="4"/>
        <v>6601.5</v>
      </c>
      <c r="J17" s="10">
        <f t="shared" si="0"/>
        <v>44761.5</v>
      </c>
    </row>
    <row r="18" spans="1:11" x14ac:dyDescent="0.45">
      <c r="A18" s="1" t="s">
        <v>197</v>
      </c>
      <c r="B18" s="1" t="s">
        <v>174</v>
      </c>
      <c r="C18" s="10">
        <v>1565</v>
      </c>
      <c r="D18" s="10">
        <v>141</v>
      </c>
      <c r="E18" s="10">
        <v>18</v>
      </c>
      <c r="F18" s="10">
        <f t="shared" ref="F18:F19" si="5">C18*E18</f>
        <v>28170</v>
      </c>
      <c r="G18" s="10">
        <f t="shared" ref="G18:G19" si="6">D18*E18*1.5</f>
        <v>3807</v>
      </c>
      <c r="J18" s="10">
        <f t="shared" ref="J18:J19" si="7">F18+G18+H18+I18</f>
        <v>31977</v>
      </c>
    </row>
    <row r="19" spans="1:11" x14ac:dyDescent="0.45">
      <c r="A19" s="1" t="s">
        <v>198</v>
      </c>
      <c r="B19" s="1" t="s">
        <v>175</v>
      </c>
      <c r="C19" s="10">
        <v>1465.83</v>
      </c>
      <c r="D19" s="10">
        <v>116</v>
      </c>
      <c r="E19" s="10">
        <v>16.25</v>
      </c>
      <c r="F19" s="10">
        <f t="shared" si="5"/>
        <v>23819.737499999999</v>
      </c>
      <c r="G19" s="10">
        <f t="shared" si="6"/>
        <v>2827.5</v>
      </c>
      <c r="J19" s="10">
        <f t="shared" si="7"/>
        <v>26647.237499999999</v>
      </c>
    </row>
    <row r="20" spans="1:11" x14ac:dyDescent="0.45">
      <c r="A20" s="1" t="s">
        <v>199</v>
      </c>
      <c r="B20" s="1" t="s">
        <v>176</v>
      </c>
      <c r="C20" s="10">
        <f>2008+32</f>
        <v>2040</v>
      </c>
      <c r="D20" s="10">
        <v>192</v>
      </c>
      <c r="E20" s="10">
        <v>17</v>
      </c>
      <c r="F20" s="10">
        <f t="shared" ref="F20" si="8">C20*E20</f>
        <v>34680</v>
      </c>
      <c r="G20" s="10">
        <f t="shared" ref="G20" si="9">D20*E20*1.5</f>
        <v>4896</v>
      </c>
      <c r="J20" s="10">
        <f t="shared" ref="J20" si="10">F20+G20+H20+I20</f>
        <v>39576</v>
      </c>
    </row>
    <row r="21" spans="1:11" x14ac:dyDescent="0.45">
      <c r="B21" s="1" t="s">
        <v>177</v>
      </c>
      <c r="F21" s="10">
        <f>C21*E21</f>
        <v>0</v>
      </c>
      <c r="G21" s="10">
        <f t="shared" si="2"/>
        <v>0</v>
      </c>
      <c r="J21" s="10">
        <f t="shared" si="0"/>
        <v>0</v>
      </c>
    </row>
    <row r="23" spans="1:11" x14ac:dyDescent="0.45">
      <c r="C23" s="10">
        <f>SUM(C5:C21)</f>
        <v>29794.58</v>
      </c>
      <c r="D23" s="10">
        <f>SUM(D5:D21)</f>
        <v>2039</v>
      </c>
      <c r="F23" s="10">
        <f>SUM(F5:F21)</f>
        <v>621014.92500000005</v>
      </c>
      <c r="G23" s="10">
        <f>SUM(G5:G21)</f>
        <v>63157.59375</v>
      </c>
      <c r="H23" s="10">
        <f>SUM(H5:H21)</f>
        <v>0</v>
      </c>
      <c r="I23" s="10">
        <f>SUM(I5:I21)</f>
        <v>0</v>
      </c>
      <c r="J23" s="10">
        <f>SUM(J5:J22)</f>
        <v>754829.51875000005</v>
      </c>
    </row>
    <row r="25" spans="1:11" x14ac:dyDescent="0.45">
      <c r="B25" s="1" t="s">
        <v>118</v>
      </c>
      <c r="J25" s="10">
        <f>J23</f>
        <v>754829.51875000005</v>
      </c>
    </row>
    <row r="27" spans="1:11" x14ac:dyDescent="0.45">
      <c r="B27" s="1" t="s">
        <v>119</v>
      </c>
      <c r="J27" s="10">
        <v>0</v>
      </c>
    </row>
    <row r="29" spans="1:11" x14ac:dyDescent="0.45">
      <c r="J29" s="87" t="s">
        <v>32</v>
      </c>
    </row>
    <row r="30" spans="1:11" x14ac:dyDescent="0.45">
      <c r="E30" s="10" t="s">
        <v>77</v>
      </c>
      <c r="J30" s="10">
        <f>J25</f>
        <v>754829.51875000005</v>
      </c>
    </row>
    <row r="31" spans="1:11" x14ac:dyDescent="0.45">
      <c r="E31" s="10" t="s">
        <v>144</v>
      </c>
      <c r="J31" s="24">
        <f>-SAO!E20</f>
        <v>-755457</v>
      </c>
    </row>
    <row r="32" spans="1:11" x14ac:dyDescent="0.45">
      <c r="E32" s="10" t="s">
        <v>78</v>
      </c>
      <c r="J32" s="10">
        <f>J30+J31</f>
        <v>-627.48124999995343</v>
      </c>
      <c r="K32" s="15" t="s">
        <v>410</v>
      </c>
    </row>
    <row r="33" spans="3:11" x14ac:dyDescent="0.45">
      <c r="J33" s="10" t="s">
        <v>79</v>
      </c>
    </row>
    <row r="34" spans="3:11" x14ac:dyDescent="0.45">
      <c r="E34" s="10" t="s">
        <v>80</v>
      </c>
      <c r="J34" s="10">
        <f>J25</f>
        <v>754829.51875000005</v>
      </c>
    </row>
    <row r="35" spans="3:11" x14ac:dyDescent="0.45">
      <c r="E35" s="10" t="s">
        <v>81</v>
      </c>
      <c r="J35" s="409">
        <v>7.6499999999999999E-2</v>
      </c>
    </row>
    <row r="36" spans="3:11" x14ac:dyDescent="0.45">
      <c r="E36" s="10" t="s">
        <v>82</v>
      </c>
      <c r="J36" s="10">
        <f>J34*J35</f>
        <v>57744.458184375006</v>
      </c>
    </row>
    <row r="37" spans="3:11" x14ac:dyDescent="0.45">
      <c r="E37" s="10" t="s">
        <v>178</v>
      </c>
      <c r="J37" s="24">
        <f>-SAO!E37</f>
        <v>-25865</v>
      </c>
    </row>
    <row r="38" spans="3:11" x14ac:dyDescent="0.45">
      <c r="E38" s="10" t="s">
        <v>83</v>
      </c>
      <c r="J38" s="10">
        <f>J36+J37</f>
        <v>31879.458184375006</v>
      </c>
      <c r="K38" s="15" t="s">
        <v>438</v>
      </c>
    </row>
    <row r="40" spans="3:11" x14ac:dyDescent="0.45">
      <c r="E40" s="10" t="s">
        <v>84</v>
      </c>
      <c r="J40" s="10">
        <f>J30</f>
        <v>754829.51875000005</v>
      </c>
    </row>
    <row r="41" spans="3:11" x14ac:dyDescent="0.45">
      <c r="E41" s="10" t="s">
        <v>85</v>
      </c>
      <c r="J41" s="24">
        <v>0</v>
      </c>
    </row>
    <row r="42" spans="3:11" x14ac:dyDescent="0.45">
      <c r="E42" s="10" t="s">
        <v>86</v>
      </c>
      <c r="J42" s="10">
        <f>J40*J41</f>
        <v>0</v>
      </c>
    </row>
    <row r="43" spans="3:11" x14ac:dyDescent="0.45">
      <c r="E43" s="10" t="s">
        <v>87</v>
      </c>
      <c r="J43" s="24">
        <v>0</v>
      </c>
    </row>
    <row r="44" spans="3:11" x14ac:dyDescent="0.45">
      <c r="E44" s="10" t="s">
        <v>88</v>
      </c>
      <c r="J44" s="10">
        <f>J42+J43</f>
        <v>0</v>
      </c>
    </row>
    <row r="47" spans="3:11" x14ac:dyDescent="0.45">
      <c r="D47" s="134"/>
    </row>
    <row r="48" spans="3:11" x14ac:dyDescent="0.45">
      <c r="C48" s="11"/>
      <c r="D48" s="134"/>
    </row>
    <row r="49" spans="3:4" x14ac:dyDescent="0.45">
      <c r="C49" s="24"/>
      <c r="D49" s="134"/>
    </row>
  </sheetData>
  <pageMargins left="0.7" right="0.7" top="0.75" bottom="0.75" header="0.3" footer="0.3"/>
  <pageSetup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9BD3-49F1-48FE-8D26-95620BF42D87}">
  <sheetPr>
    <pageSetUpPr fitToPage="1"/>
  </sheetPr>
  <dimension ref="A1:N89"/>
  <sheetViews>
    <sheetView workbookViewId="0">
      <selection activeCell="I6" sqref="I6:I7"/>
    </sheetView>
  </sheetViews>
  <sheetFormatPr defaultRowHeight="15" x14ac:dyDescent="0.4"/>
  <cols>
    <col min="1" max="1" width="9.5546875" customWidth="1"/>
    <col min="2" max="2" width="7.5546875" customWidth="1"/>
    <col min="3" max="3" width="8" customWidth="1"/>
    <col min="4" max="9" width="12.609375" customWidth="1"/>
    <col min="10" max="10" width="11.77734375" bestFit="1" customWidth="1"/>
    <col min="11" max="11" width="9.88671875" bestFit="1" customWidth="1"/>
    <col min="12" max="12" width="12.33203125" customWidth="1"/>
    <col min="13" max="13" width="9" bestFit="1" customWidth="1"/>
    <col min="14" max="14" width="9.21875" bestFit="1" customWidth="1"/>
  </cols>
  <sheetData>
    <row r="1" spans="1:14" ht="18" x14ac:dyDescent="0.55000000000000004">
      <c r="A1" s="477" t="s">
        <v>387</v>
      </c>
      <c r="B1" s="477"/>
      <c r="C1" s="477"/>
      <c r="D1" s="477"/>
      <c r="E1" s="477"/>
      <c r="F1" s="477"/>
      <c r="G1" s="477"/>
      <c r="H1" s="477"/>
      <c r="I1" s="477"/>
      <c r="J1" s="1"/>
      <c r="K1" s="1"/>
      <c r="L1" s="12"/>
      <c r="M1" s="1"/>
      <c r="N1" s="1"/>
    </row>
    <row r="2" spans="1:14" ht="18" x14ac:dyDescent="0.55000000000000004">
      <c r="A2" s="477" t="s">
        <v>406</v>
      </c>
      <c r="B2" s="477"/>
      <c r="C2" s="477"/>
      <c r="D2" s="477"/>
      <c r="E2" s="477"/>
      <c r="F2" s="477"/>
      <c r="G2" s="477"/>
      <c r="H2" s="477"/>
      <c r="I2" s="477"/>
      <c r="J2" s="1"/>
      <c r="K2" s="1"/>
      <c r="L2" s="12"/>
      <c r="M2" s="1"/>
      <c r="N2" s="1"/>
    </row>
    <row r="3" spans="1:14" ht="18" x14ac:dyDescent="0.45">
      <c r="A3" s="479" t="s">
        <v>179</v>
      </c>
      <c r="B3" s="479"/>
      <c r="C3" s="479"/>
      <c r="D3" s="479"/>
      <c r="E3" s="479"/>
      <c r="F3" s="479"/>
      <c r="G3" s="479"/>
      <c r="H3" s="479"/>
      <c r="I3" s="479"/>
      <c r="J3" s="1"/>
      <c r="K3" s="1"/>
      <c r="L3" s="12"/>
      <c r="M3" s="1"/>
      <c r="N3" s="1"/>
    </row>
    <row r="4" spans="1:14" ht="15.4" x14ac:dyDescent="0.45">
      <c r="A4" s="1"/>
      <c r="B4" s="1"/>
      <c r="C4" s="1"/>
      <c r="D4" s="12"/>
      <c r="E4" s="1"/>
      <c r="F4" s="1"/>
      <c r="G4" s="1"/>
      <c r="H4" s="1"/>
      <c r="I4" s="1"/>
      <c r="J4" s="1"/>
      <c r="K4" s="1"/>
      <c r="L4" s="12"/>
      <c r="M4" s="12"/>
      <c r="N4" s="1"/>
    </row>
    <row r="5" spans="1:14" ht="15.75" x14ac:dyDescent="0.5">
      <c r="A5" s="1"/>
      <c r="B5" s="1"/>
      <c r="C5" s="344" t="s">
        <v>152</v>
      </c>
      <c r="D5" s="12"/>
      <c r="E5" s="1"/>
      <c r="F5" s="1"/>
      <c r="G5" s="1"/>
      <c r="H5" s="1"/>
      <c r="I5" s="1"/>
      <c r="J5" s="1"/>
      <c r="K5" s="1"/>
      <c r="L5" s="12"/>
      <c r="M5" s="89"/>
      <c r="N5" s="1"/>
    </row>
    <row r="6" spans="1:14" ht="15.4" x14ac:dyDescent="0.45">
      <c r="A6" s="1"/>
      <c r="B6" s="1"/>
      <c r="C6" s="140"/>
      <c r="D6" s="17"/>
      <c r="E6" s="141" t="s">
        <v>153</v>
      </c>
      <c r="F6" s="141" t="s">
        <v>154</v>
      </c>
      <c r="G6" s="141" t="s">
        <v>155</v>
      </c>
      <c r="H6" s="15"/>
      <c r="I6" s="1"/>
      <c r="J6" s="142"/>
      <c r="K6" s="12"/>
      <c r="L6" s="142"/>
      <c r="M6" s="12"/>
      <c r="N6" s="1"/>
    </row>
    <row r="7" spans="1:14" ht="15.4" x14ac:dyDescent="0.45">
      <c r="A7" s="1"/>
      <c r="B7" s="1"/>
      <c r="C7" s="1" t="s">
        <v>379</v>
      </c>
      <c r="D7" s="12"/>
      <c r="E7" s="12">
        <f>C26</f>
        <v>69299</v>
      </c>
      <c r="F7" s="143">
        <f>D26</f>
        <v>265201000</v>
      </c>
      <c r="G7" s="22">
        <f>F35</f>
        <v>3085909.8319999999</v>
      </c>
      <c r="H7" s="22"/>
      <c r="I7" s="1"/>
      <c r="J7" s="142"/>
      <c r="K7" s="2"/>
      <c r="L7" s="12"/>
      <c r="M7" s="1"/>
      <c r="N7" s="1"/>
    </row>
    <row r="8" spans="1:14" ht="15.4" x14ac:dyDescent="0.45">
      <c r="A8" s="1"/>
      <c r="B8" s="1"/>
      <c r="C8" s="1" t="s">
        <v>380</v>
      </c>
      <c r="D8" s="12"/>
      <c r="E8" s="12">
        <f>C45</f>
        <v>4832</v>
      </c>
      <c r="F8" s="143">
        <f>D45</f>
        <v>38430900</v>
      </c>
      <c r="G8" s="12">
        <f>F54</f>
        <v>369920.04099999997</v>
      </c>
      <c r="H8" s="12"/>
      <c r="I8" s="1"/>
      <c r="J8" s="142"/>
      <c r="K8" s="12"/>
      <c r="L8" s="12"/>
      <c r="M8" s="1"/>
      <c r="N8" s="1"/>
    </row>
    <row r="9" spans="1:14" ht="15.4" x14ac:dyDescent="0.45">
      <c r="A9" s="1"/>
      <c r="B9" s="1"/>
      <c r="C9" s="1" t="s">
        <v>386</v>
      </c>
      <c r="D9" s="12"/>
      <c r="E9" s="18">
        <f>C66</f>
        <v>12</v>
      </c>
      <c r="F9" s="92">
        <f>D69</f>
        <v>1672600</v>
      </c>
      <c r="G9" s="18">
        <f>F69</f>
        <v>14670.795000000002</v>
      </c>
      <c r="H9" s="12"/>
      <c r="I9" s="1"/>
      <c r="J9" s="142"/>
      <c r="K9" s="12"/>
      <c r="L9" s="12"/>
      <c r="M9" s="1"/>
      <c r="N9" s="1"/>
    </row>
    <row r="10" spans="1:14" ht="17.649999999999999" x14ac:dyDescent="0.75">
      <c r="A10" s="1"/>
      <c r="B10" s="1"/>
      <c r="C10" s="1" t="s">
        <v>462</v>
      </c>
      <c r="D10" s="12"/>
      <c r="E10" s="243">
        <f>C84</f>
        <v>0</v>
      </c>
      <c r="F10" s="313">
        <f>D84</f>
        <v>0</v>
      </c>
      <c r="G10" s="243">
        <f>F84</f>
        <v>0</v>
      </c>
      <c r="H10" s="12"/>
      <c r="I10" s="1"/>
      <c r="J10" s="142"/>
      <c r="K10" s="12"/>
      <c r="L10" s="12"/>
      <c r="M10" s="1"/>
      <c r="N10" s="1"/>
    </row>
    <row r="11" spans="1:14" ht="15.4" x14ac:dyDescent="0.45">
      <c r="A11" s="1"/>
      <c r="B11" s="1"/>
      <c r="C11" s="1" t="s">
        <v>353</v>
      </c>
      <c r="D11" s="12"/>
      <c r="E11" s="2">
        <f>SUM(E7:E10)</f>
        <v>74143</v>
      </c>
      <c r="F11" s="18">
        <f>SUM(F7:F10)</f>
        <v>305304500</v>
      </c>
      <c r="G11" s="88">
        <f>SUM(G7:G10)</f>
        <v>3470500.6679999996</v>
      </c>
      <c r="H11" s="88"/>
      <c r="I11" s="1"/>
      <c r="J11" s="142"/>
      <c r="K11" s="2"/>
      <c r="L11" s="12"/>
      <c r="M11" s="144"/>
      <c r="N11" s="1"/>
    </row>
    <row r="12" spans="1:14" ht="17.649999999999999" x14ac:dyDescent="0.75">
      <c r="A12" s="1"/>
      <c r="B12" s="1"/>
      <c r="C12" s="1" t="s">
        <v>354</v>
      </c>
      <c r="D12" s="12"/>
      <c r="E12" s="124">
        <v>0</v>
      </c>
      <c r="F12" s="243">
        <v>0</v>
      </c>
      <c r="G12" s="329">
        <f>(-23274-33511)*(1+'Rates_%'!R8)</f>
        <v>-63798.617721545139</v>
      </c>
      <c r="H12" s="88"/>
      <c r="I12" s="1"/>
      <c r="J12" s="142"/>
      <c r="K12" s="2"/>
      <c r="L12" s="12"/>
      <c r="M12" s="144"/>
      <c r="N12" s="1"/>
    </row>
    <row r="13" spans="1:14" ht="15.4" x14ac:dyDescent="0.45">
      <c r="A13" s="1"/>
      <c r="B13" s="1"/>
      <c r="C13" s="1" t="s">
        <v>355</v>
      </c>
      <c r="D13" s="12"/>
      <c r="E13" s="5">
        <f t="shared" ref="E13:F13" si="0">E11+E12</f>
        <v>74143</v>
      </c>
      <c r="F13" s="5">
        <f t="shared" si="0"/>
        <v>305304500</v>
      </c>
      <c r="G13" s="5">
        <f>G11+G12</f>
        <v>3406702.0502784546</v>
      </c>
      <c r="H13" s="88"/>
      <c r="I13" s="1"/>
      <c r="J13" s="142"/>
      <c r="K13" s="2"/>
      <c r="L13" s="12"/>
      <c r="M13" s="144"/>
      <c r="N13" s="1"/>
    </row>
    <row r="14" spans="1:14" ht="17.649999999999999" x14ac:dyDescent="0.75">
      <c r="A14" s="1"/>
      <c r="B14" s="1"/>
      <c r="C14" s="1" t="s">
        <v>356</v>
      </c>
      <c r="D14" s="12"/>
      <c r="E14" s="124">
        <f>C69</f>
        <v>12</v>
      </c>
      <c r="F14" s="243">
        <f>D89</f>
        <v>18243000</v>
      </c>
      <c r="G14" s="417">
        <f>F89</f>
        <v>78992.19</v>
      </c>
      <c r="H14" s="88"/>
      <c r="I14" s="1"/>
      <c r="K14" s="126" t="s">
        <v>396</v>
      </c>
      <c r="L14" s="6"/>
      <c r="M14" s="1"/>
      <c r="N14" s="1"/>
    </row>
    <row r="15" spans="1:14" ht="15.4" x14ac:dyDescent="0.45">
      <c r="A15" s="1"/>
      <c r="B15" s="1"/>
      <c r="C15" s="1" t="s">
        <v>357</v>
      </c>
      <c r="D15" s="145"/>
      <c r="E15" s="89">
        <f t="shared" ref="E15:F15" si="1">E13+E14</f>
        <v>74155</v>
      </c>
      <c r="F15" s="89">
        <f t="shared" si="1"/>
        <v>323547500</v>
      </c>
      <c r="G15" s="89">
        <f>G13+G14</f>
        <v>3485694.2402784545</v>
      </c>
      <c r="H15" s="146"/>
      <c r="I15" s="89"/>
      <c r="K15" s="129">
        <f>SAO!H50</f>
        <v>3486148.9725704929</v>
      </c>
      <c r="L15" s="12"/>
      <c r="M15" s="1"/>
      <c r="N15" s="1"/>
    </row>
    <row r="16" spans="1:14" ht="15.4" x14ac:dyDescent="0.45">
      <c r="A16" s="1"/>
      <c r="B16" s="1"/>
      <c r="C16" s="1"/>
      <c r="D16" s="145"/>
      <c r="E16" s="1"/>
      <c r="F16" s="13"/>
      <c r="G16" s="89"/>
      <c r="H16" s="146"/>
      <c r="I16" s="89"/>
      <c r="J16" s="142"/>
      <c r="K16" s="1"/>
      <c r="L16" s="12"/>
      <c r="M16" s="1"/>
      <c r="N16" s="1"/>
    </row>
    <row r="17" spans="1:14" ht="15.4" x14ac:dyDescent="0.45">
      <c r="A17" s="1"/>
      <c r="B17" s="1"/>
      <c r="C17" s="1"/>
      <c r="D17" s="145"/>
      <c r="E17" s="1"/>
      <c r="F17" s="13"/>
      <c r="G17" s="138"/>
      <c r="H17" s="1"/>
      <c r="I17" s="89"/>
      <c r="J17" s="142"/>
      <c r="K17" s="1"/>
      <c r="L17" s="12"/>
      <c r="M17" s="1"/>
      <c r="N17" s="1"/>
    </row>
    <row r="18" spans="1:14" ht="15.75" x14ac:dyDescent="0.5">
      <c r="A18" s="508" t="s">
        <v>379</v>
      </c>
      <c r="B18" s="508"/>
      <c r="C18" s="1"/>
      <c r="D18" s="12"/>
      <c r="E18" s="1"/>
      <c r="F18" s="1"/>
      <c r="G18" s="1"/>
      <c r="H18" s="1"/>
      <c r="I18" s="1"/>
      <c r="J18" s="1"/>
      <c r="K18" s="1"/>
      <c r="L18" s="12"/>
      <c r="M18" s="1"/>
    </row>
    <row r="19" spans="1:14" ht="15.4" x14ac:dyDescent="0.45">
      <c r="A19" s="1"/>
      <c r="B19" s="1"/>
      <c r="C19" s="1"/>
      <c r="D19" s="12"/>
      <c r="E19" s="15" t="s">
        <v>43</v>
      </c>
      <c r="F19" s="15" t="s">
        <v>99</v>
      </c>
      <c r="G19" s="15" t="s">
        <v>99</v>
      </c>
      <c r="H19" s="15" t="s">
        <v>99</v>
      </c>
      <c r="I19" s="15" t="s">
        <v>44</v>
      </c>
      <c r="L19" s="1"/>
      <c r="M19" s="1"/>
    </row>
    <row r="20" spans="1:14" ht="15.4" x14ac:dyDescent="0.45">
      <c r="A20" s="1"/>
      <c r="B20" s="141" t="s">
        <v>45</v>
      </c>
      <c r="C20" s="148" t="s">
        <v>46</v>
      </c>
      <c r="D20" s="86" t="s">
        <v>47</v>
      </c>
      <c r="E20" s="148">
        <f>B21</f>
        <v>2000</v>
      </c>
      <c r="F20" s="148">
        <f>B22</f>
        <v>3000</v>
      </c>
      <c r="G20" s="148">
        <f>B23</f>
        <v>5000</v>
      </c>
      <c r="H20" s="148">
        <f>B24</f>
        <v>60000</v>
      </c>
      <c r="I20" s="148">
        <f>B25</f>
        <v>70000</v>
      </c>
      <c r="L20" s="141" t="s">
        <v>48</v>
      </c>
      <c r="M20" s="1"/>
    </row>
    <row r="21" spans="1:14" ht="15.4" x14ac:dyDescent="0.45">
      <c r="A21" s="16" t="s">
        <v>43</v>
      </c>
      <c r="B21" s="90">
        <v>2000</v>
      </c>
      <c r="C21" s="149">
        <v>25975</v>
      </c>
      <c r="D21" s="145">
        <v>24351400</v>
      </c>
      <c r="E21" s="145">
        <f>D21</f>
        <v>24351400</v>
      </c>
      <c r="F21" s="145">
        <v>0</v>
      </c>
      <c r="G21" s="145">
        <v>0</v>
      </c>
      <c r="H21" s="145">
        <v>0</v>
      </c>
      <c r="I21" s="145">
        <v>0</v>
      </c>
      <c r="L21" s="145">
        <f>SUM(E21:I21)</f>
        <v>24351400</v>
      </c>
      <c r="M21" s="1"/>
    </row>
    <row r="22" spans="1:14" ht="15.4" x14ac:dyDescent="0.45">
      <c r="A22" s="16" t="s">
        <v>99</v>
      </c>
      <c r="B22" s="90">
        <v>3000</v>
      </c>
      <c r="C22" s="149">
        <v>29372</v>
      </c>
      <c r="D22" s="145">
        <v>97629400</v>
      </c>
      <c r="E22" s="145">
        <f>C22*E$20</f>
        <v>58744000</v>
      </c>
      <c r="F22" s="145">
        <f>D22-E22</f>
        <v>38885400</v>
      </c>
      <c r="G22" s="145">
        <v>0</v>
      </c>
      <c r="H22" s="145">
        <v>0</v>
      </c>
      <c r="I22" s="145">
        <v>0</v>
      </c>
      <c r="L22" s="145">
        <f>SUM(E22:I22)</f>
        <v>97629400</v>
      </c>
      <c r="M22" s="1"/>
    </row>
    <row r="23" spans="1:14" ht="15.4" x14ac:dyDescent="0.45">
      <c r="A23" s="16" t="s">
        <v>99</v>
      </c>
      <c r="B23" s="90">
        <v>5000</v>
      </c>
      <c r="C23" s="149">
        <v>10644</v>
      </c>
      <c r="D23" s="145">
        <v>71616600</v>
      </c>
      <c r="E23" s="145">
        <f>C23*E$20</f>
        <v>21288000</v>
      </c>
      <c r="F23" s="145">
        <f>$C23*F$20</f>
        <v>31932000</v>
      </c>
      <c r="G23" s="145">
        <f>D23-(F23+E23)</f>
        <v>18396600</v>
      </c>
      <c r="H23" s="145">
        <v>0</v>
      </c>
      <c r="I23" s="145">
        <v>0</v>
      </c>
      <c r="L23" s="145">
        <f>SUM(E23:I23)</f>
        <v>71616600</v>
      </c>
      <c r="M23" s="1"/>
    </row>
    <row r="24" spans="1:14" ht="15.4" x14ac:dyDescent="0.45">
      <c r="A24" s="16" t="s">
        <v>99</v>
      </c>
      <c r="B24" s="90">
        <v>60000</v>
      </c>
      <c r="C24" s="149">
        <v>3217</v>
      </c>
      <c r="D24" s="145">
        <v>58487000</v>
      </c>
      <c r="E24" s="145">
        <f>C24*E$20</f>
        <v>6434000</v>
      </c>
      <c r="F24" s="145">
        <f>$C24*F$20</f>
        <v>9651000</v>
      </c>
      <c r="G24" s="145">
        <f>C24*G20</f>
        <v>16085000</v>
      </c>
      <c r="H24" s="2">
        <f>D24-E24-F24-G24</f>
        <v>26317000</v>
      </c>
      <c r="I24" s="145">
        <v>0</v>
      </c>
      <c r="L24" s="145">
        <f>SUM(E24:I24)</f>
        <v>58487000</v>
      </c>
      <c r="M24" s="1"/>
    </row>
    <row r="25" spans="1:14" ht="15.4" x14ac:dyDescent="0.45">
      <c r="A25" s="16" t="s">
        <v>44</v>
      </c>
      <c r="B25" s="150">
        <v>70000</v>
      </c>
      <c r="C25" s="151">
        <v>91</v>
      </c>
      <c r="D25" s="152">
        <v>13116600</v>
      </c>
      <c r="E25" s="152">
        <f>C25*E$20</f>
        <v>182000</v>
      </c>
      <c r="F25" s="152">
        <f>$C25*F$20</f>
        <v>273000</v>
      </c>
      <c r="G25" s="152">
        <f>$C25*G$20</f>
        <v>455000</v>
      </c>
      <c r="H25" s="21">
        <f>C25*H20</f>
        <v>5460000</v>
      </c>
      <c r="I25" s="152">
        <f>D25-E25-F25-G25-H25</f>
        <v>6746600</v>
      </c>
      <c r="L25" s="152">
        <f>SUM(E25:I25)</f>
        <v>13116600</v>
      </c>
      <c r="M25" s="1"/>
    </row>
    <row r="26" spans="1:14" ht="15.4" x14ac:dyDescent="0.45">
      <c r="A26" s="16"/>
      <c r="B26" s="90" t="s">
        <v>48</v>
      </c>
      <c r="C26" s="18">
        <f t="shared" ref="C26:L26" si="2">SUM(C21:C25)</f>
        <v>69299</v>
      </c>
      <c r="D26" s="18">
        <f t="shared" si="2"/>
        <v>265201000</v>
      </c>
      <c r="E26" s="18">
        <f t="shared" si="2"/>
        <v>110999400</v>
      </c>
      <c r="F26" s="18">
        <f t="shared" si="2"/>
        <v>80741400</v>
      </c>
      <c r="G26" s="18">
        <f t="shared" si="2"/>
        <v>34936600</v>
      </c>
      <c r="H26" s="18">
        <f t="shared" si="2"/>
        <v>31777000</v>
      </c>
      <c r="I26" s="18">
        <f>SUM(I21:I25)</f>
        <v>6746600</v>
      </c>
      <c r="L26" s="18">
        <f t="shared" si="2"/>
        <v>265201000</v>
      </c>
      <c r="M26" s="12"/>
    </row>
    <row r="27" spans="1:14" ht="15.4" x14ac:dyDescent="0.45">
      <c r="A27" s="16"/>
      <c r="B27" s="90"/>
      <c r="C27" s="1"/>
      <c r="D27" s="12"/>
      <c r="E27" s="90"/>
      <c r="F27" s="90"/>
      <c r="G27" s="90"/>
      <c r="H27" s="90"/>
      <c r="I27" s="90"/>
      <c r="J27" s="1"/>
      <c r="K27" s="1"/>
      <c r="L27" s="12"/>
      <c r="M27" s="1"/>
    </row>
    <row r="28" spans="1:14" ht="15.4" x14ac:dyDescent="0.45">
      <c r="A28" s="91" t="s">
        <v>158</v>
      </c>
      <c r="B28" s="91"/>
      <c r="C28" s="1"/>
      <c r="D28" s="12"/>
      <c r="E28" s="90"/>
      <c r="F28" s="90"/>
      <c r="G28" s="90"/>
      <c r="H28" s="90"/>
      <c r="I28" s="90"/>
      <c r="J28" s="1"/>
      <c r="K28" s="1"/>
      <c r="L28" s="12"/>
      <c r="M28" s="1"/>
    </row>
    <row r="29" spans="1:14" ht="15.4" x14ac:dyDescent="0.45">
      <c r="A29" s="16"/>
      <c r="B29" s="141"/>
      <c r="C29" s="148" t="s">
        <v>46</v>
      </c>
      <c r="D29" s="86" t="s">
        <v>47</v>
      </c>
      <c r="E29" s="148" t="s">
        <v>49</v>
      </c>
      <c r="F29" s="148" t="s">
        <v>50</v>
      </c>
      <c r="G29" s="90"/>
      <c r="H29" s="90"/>
      <c r="I29" s="90"/>
      <c r="J29" s="1"/>
      <c r="K29" s="1"/>
      <c r="L29" s="12"/>
      <c r="M29" s="1"/>
    </row>
    <row r="30" spans="1:14" ht="15.4" x14ac:dyDescent="0.45">
      <c r="A30" s="16" t="s">
        <v>43</v>
      </c>
      <c r="B30" s="90">
        <f>B21</f>
        <v>2000</v>
      </c>
      <c r="C30" s="12">
        <f>C26</f>
        <v>69299</v>
      </c>
      <c r="D30" s="145">
        <f>E26</f>
        <v>110999400</v>
      </c>
      <c r="E30" s="153">
        <f>'Rates_%'!L12</f>
        <v>24.82</v>
      </c>
      <c r="F30" s="22">
        <f>E30*C30</f>
        <v>1720001.18</v>
      </c>
      <c r="G30" s="90"/>
      <c r="H30" s="1"/>
      <c r="I30" s="1"/>
      <c r="J30" s="1"/>
      <c r="K30" s="1"/>
      <c r="L30" s="12"/>
      <c r="M30" s="1"/>
    </row>
    <row r="31" spans="1:14" ht="15.4" x14ac:dyDescent="0.45">
      <c r="A31" s="16" t="s">
        <v>99</v>
      </c>
      <c r="B31" s="90">
        <f>B22</f>
        <v>3000</v>
      </c>
      <c r="C31" s="1"/>
      <c r="D31" s="145">
        <f>F26</f>
        <v>80741400</v>
      </c>
      <c r="E31" s="10">
        <f>'Rates_%'!L13</f>
        <v>9.77</v>
      </c>
      <c r="F31" s="12">
        <f>E31*(D31/1000)</f>
        <v>788843.47799999989</v>
      </c>
      <c r="G31" s="90"/>
      <c r="H31" s="1"/>
      <c r="I31" s="1"/>
      <c r="J31" s="1"/>
      <c r="K31" s="1"/>
      <c r="L31" s="12"/>
      <c r="M31" s="1"/>
    </row>
    <row r="32" spans="1:14" ht="15.4" x14ac:dyDescent="0.45">
      <c r="A32" s="16" t="s">
        <v>99</v>
      </c>
      <c r="B32" s="90">
        <f>B23</f>
        <v>5000</v>
      </c>
      <c r="C32" s="1"/>
      <c r="D32" s="145">
        <f>G26</f>
        <v>34936600</v>
      </c>
      <c r="E32" s="10">
        <f>'Rates_%'!L14</f>
        <v>8.2899999999999991</v>
      </c>
      <c r="F32" s="12">
        <f>E32*(D32/1000)</f>
        <v>289624.41399999993</v>
      </c>
      <c r="G32" s="90"/>
      <c r="H32" s="1"/>
      <c r="I32" s="1"/>
      <c r="J32" s="1"/>
      <c r="K32" s="1"/>
      <c r="L32" s="12"/>
      <c r="M32" s="1"/>
    </row>
    <row r="33" spans="1:14" ht="15.4" x14ac:dyDescent="0.45">
      <c r="A33" s="16" t="s">
        <v>99</v>
      </c>
      <c r="B33" s="90">
        <v>10000</v>
      </c>
      <c r="C33" s="1"/>
      <c r="D33" s="145">
        <f>H26</f>
        <v>31777000</v>
      </c>
      <c r="E33" s="10">
        <f>'Rates_%'!L15</f>
        <v>7.57</v>
      </c>
      <c r="F33" s="12">
        <f>E33*(D33/1000)</f>
        <v>240551.89</v>
      </c>
      <c r="G33" s="90"/>
      <c r="H33" s="1"/>
      <c r="I33" s="1"/>
      <c r="J33" s="1"/>
      <c r="K33" s="1"/>
      <c r="L33" s="12"/>
      <c r="M33" s="1"/>
    </row>
    <row r="34" spans="1:14" ht="15.4" x14ac:dyDescent="0.45">
      <c r="A34" s="16" t="s">
        <v>44</v>
      </c>
      <c r="B34" s="150">
        <f>B25</f>
        <v>70000</v>
      </c>
      <c r="C34" s="154"/>
      <c r="D34" s="152">
        <f>I26</f>
        <v>6746600</v>
      </c>
      <c r="E34" s="24">
        <f>'Rates_%'!L16</f>
        <v>6.95</v>
      </c>
      <c r="F34" s="17">
        <f>E34*(D34/1000)</f>
        <v>46888.87</v>
      </c>
      <c r="G34" s="90"/>
      <c r="H34" s="1"/>
      <c r="I34" s="1"/>
      <c r="J34" s="1"/>
      <c r="K34" s="1"/>
      <c r="L34" s="12"/>
      <c r="M34" s="1"/>
      <c r="N34" s="1"/>
    </row>
    <row r="35" spans="1:14" ht="15.4" x14ac:dyDescent="0.45">
      <c r="A35" s="16"/>
      <c r="B35" s="90" t="s">
        <v>48</v>
      </c>
      <c r="C35" s="12">
        <f>SUM(C30:C34)</f>
        <v>69299</v>
      </c>
      <c r="D35" s="18">
        <f>SUM(D30:D34)</f>
        <v>265201000</v>
      </c>
      <c r="E35" s="1"/>
      <c r="F35" s="22">
        <f>SUM(F30:F34)</f>
        <v>3085909.8319999999</v>
      </c>
      <c r="G35" s="22"/>
      <c r="H35" s="90"/>
      <c r="I35" s="155"/>
      <c r="J35" s="1"/>
      <c r="K35" s="1"/>
      <c r="L35" s="12"/>
      <c r="M35" s="1"/>
      <c r="N35" s="1"/>
    </row>
    <row r="36" spans="1:14" ht="15.4" x14ac:dyDescent="0.45">
      <c r="A36" s="16"/>
      <c r="B36" s="90"/>
      <c r="C36" s="12"/>
      <c r="D36" s="18"/>
      <c r="E36" s="1"/>
      <c r="F36" s="22"/>
      <c r="G36" s="90"/>
      <c r="H36" s="90"/>
      <c r="I36" s="90"/>
      <c r="J36" s="1"/>
      <c r="K36" s="1"/>
      <c r="L36" s="12"/>
      <c r="M36" s="1"/>
      <c r="N36" s="1"/>
    </row>
    <row r="37" spans="1:14" ht="15.75" x14ac:dyDescent="0.5">
      <c r="A37" s="508" t="s">
        <v>380</v>
      </c>
      <c r="B37" s="508"/>
      <c r="C37" s="1"/>
      <c r="D37" s="12"/>
      <c r="E37" s="1"/>
      <c r="F37" s="1"/>
      <c r="G37" s="1"/>
      <c r="H37" s="1"/>
      <c r="I37" s="1"/>
      <c r="J37" s="1"/>
      <c r="K37" s="1"/>
      <c r="L37" s="12"/>
      <c r="M37" s="1"/>
      <c r="N37" s="1"/>
    </row>
    <row r="38" spans="1:14" ht="15.4" x14ac:dyDescent="0.45">
      <c r="A38" s="1"/>
      <c r="B38" s="1"/>
      <c r="C38" s="1"/>
      <c r="D38" s="12"/>
      <c r="E38" s="15" t="s">
        <v>43</v>
      </c>
      <c r="F38" s="15" t="s">
        <v>99</v>
      </c>
      <c r="G38" s="15" t="s">
        <v>99</v>
      </c>
      <c r="H38" s="15" t="s">
        <v>99</v>
      </c>
      <c r="I38" s="15" t="s">
        <v>44</v>
      </c>
      <c r="L38" s="1"/>
      <c r="M38" s="1"/>
      <c r="N38" s="1"/>
    </row>
    <row r="39" spans="1:14" ht="15.4" x14ac:dyDescent="0.45">
      <c r="A39" s="1"/>
      <c r="B39" s="141" t="s">
        <v>45</v>
      </c>
      <c r="C39" s="148" t="s">
        <v>46</v>
      </c>
      <c r="D39" s="86" t="s">
        <v>47</v>
      </c>
      <c r="E39" s="148">
        <f>B40</f>
        <v>2000</v>
      </c>
      <c r="F39" s="148">
        <f>B41</f>
        <v>3000</v>
      </c>
      <c r="G39" s="148">
        <f>B42</f>
        <v>5000</v>
      </c>
      <c r="H39" s="148">
        <f>B43</f>
        <v>60000</v>
      </c>
      <c r="I39" s="148">
        <f>B44</f>
        <v>70000</v>
      </c>
      <c r="L39" s="141" t="s">
        <v>48</v>
      </c>
      <c r="M39" s="1"/>
      <c r="N39" s="1"/>
    </row>
    <row r="40" spans="1:14" ht="15.4" x14ac:dyDescent="0.45">
      <c r="A40" s="16" t="s">
        <v>43</v>
      </c>
      <c r="B40" s="90">
        <v>2000</v>
      </c>
      <c r="C40" s="149">
        <v>2752</v>
      </c>
      <c r="D40" s="145">
        <v>1369000</v>
      </c>
      <c r="E40" s="145">
        <f>D40</f>
        <v>1369000</v>
      </c>
      <c r="F40" s="145">
        <v>0</v>
      </c>
      <c r="G40" s="6">
        <v>0</v>
      </c>
      <c r="H40" s="6">
        <v>0</v>
      </c>
      <c r="I40" s="145">
        <v>0</v>
      </c>
      <c r="L40" s="145">
        <f>SUM(E40:I40)</f>
        <v>1369000</v>
      </c>
      <c r="M40" s="1"/>
      <c r="N40" s="1"/>
    </row>
    <row r="41" spans="1:14" ht="15.4" x14ac:dyDescent="0.45">
      <c r="A41" s="16" t="s">
        <v>99</v>
      </c>
      <c r="B41" s="90">
        <v>3000</v>
      </c>
      <c r="C41" s="149">
        <v>1251</v>
      </c>
      <c r="D41" s="145">
        <v>4202000</v>
      </c>
      <c r="E41" s="145">
        <f>C41*$E$39</f>
        <v>2502000</v>
      </c>
      <c r="F41" s="145">
        <f>D41-E41</f>
        <v>1700000</v>
      </c>
      <c r="G41" s="6">
        <v>0</v>
      </c>
      <c r="H41" s="6">
        <v>0</v>
      </c>
      <c r="I41" s="145">
        <v>0</v>
      </c>
      <c r="L41" s="145">
        <f>SUM(E41:I41)</f>
        <v>4202000</v>
      </c>
      <c r="M41" s="1"/>
      <c r="N41" s="1"/>
    </row>
    <row r="42" spans="1:14" ht="15.4" x14ac:dyDescent="0.45">
      <c r="A42" s="16" t="s">
        <v>99</v>
      </c>
      <c r="B42" s="90">
        <v>5000</v>
      </c>
      <c r="C42" s="149">
        <v>457</v>
      </c>
      <c r="D42" s="145">
        <v>3108200</v>
      </c>
      <c r="E42" s="145">
        <f>C42*$E$39</f>
        <v>914000</v>
      </c>
      <c r="F42" s="145">
        <f>$C$42*$F$39</f>
        <v>1371000</v>
      </c>
      <c r="G42" s="2">
        <f>D42-E42-F42</f>
        <v>823200</v>
      </c>
      <c r="H42" s="6">
        <v>0</v>
      </c>
      <c r="I42" s="145">
        <v>0</v>
      </c>
      <c r="L42" s="145">
        <f>SUM(E42:I42)</f>
        <v>3108200</v>
      </c>
      <c r="M42" s="1"/>
      <c r="N42" s="1"/>
    </row>
    <row r="43" spans="1:14" ht="15.4" x14ac:dyDescent="0.45">
      <c r="A43" s="16" t="s">
        <v>99</v>
      </c>
      <c r="B43" s="90">
        <v>60000</v>
      </c>
      <c r="C43" s="149">
        <v>278</v>
      </c>
      <c r="D43" s="145">
        <v>6686400</v>
      </c>
      <c r="E43" s="145">
        <f>C43*$E$39</f>
        <v>556000</v>
      </c>
      <c r="F43" s="145">
        <f>$C$43*$F$39</f>
        <v>834000</v>
      </c>
      <c r="G43" s="2">
        <f>$C$43*$G$39</f>
        <v>1390000</v>
      </c>
      <c r="H43" s="2">
        <f>D43-E43-F43-G43</f>
        <v>3906400</v>
      </c>
      <c r="I43" s="145">
        <v>0</v>
      </c>
      <c r="L43" s="145">
        <f>SUM(E43:I43)</f>
        <v>6686400</v>
      </c>
      <c r="M43" s="1"/>
      <c r="N43" s="1"/>
    </row>
    <row r="44" spans="1:14" ht="15.4" x14ac:dyDescent="0.45">
      <c r="A44" s="16" t="s">
        <v>44</v>
      </c>
      <c r="B44" s="150">
        <v>70000</v>
      </c>
      <c r="C44" s="151">
        <v>94</v>
      </c>
      <c r="D44" s="152">
        <v>23065300</v>
      </c>
      <c r="E44" s="152">
        <f>C44*$E$39</f>
        <v>188000</v>
      </c>
      <c r="F44" s="152">
        <f>$C$44*$F$39</f>
        <v>282000</v>
      </c>
      <c r="G44" s="21">
        <f xml:space="preserve"> $C$44*$G$39</f>
        <v>470000</v>
      </c>
      <c r="H44" s="21">
        <f>$C$44*$H$39</f>
        <v>5640000</v>
      </c>
      <c r="I44" s="152">
        <f>D44-E44-G44-H44-F44</f>
        <v>16485300</v>
      </c>
      <c r="L44" s="152">
        <f>SUM(E44:I44)</f>
        <v>23065300</v>
      </c>
      <c r="M44" s="1"/>
      <c r="N44" s="1"/>
    </row>
    <row r="45" spans="1:14" ht="15.4" x14ac:dyDescent="0.45">
      <c r="A45" s="16"/>
      <c r="B45" s="90"/>
      <c r="C45" s="18">
        <f t="shared" ref="C45:H45" si="3">SUM(C40:C44)</f>
        <v>4832</v>
      </c>
      <c r="D45" s="18">
        <f t="shared" si="3"/>
        <v>38430900</v>
      </c>
      <c r="E45" s="18">
        <f t="shared" si="3"/>
        <v>5529000</v>
      </c>
      <c r="F45" s="18">
        <f t="shared" si="3"/>
        <v>4187000</v>
      </c>
      <c r="G45" s="18">
        <f t="shared" si="3"/>
        <v>2683200</v>
      </c>
      <c r="H45" s="18">
        <f t="shared" si="3"/>
        <v>9546400</v>
      </c>
      <c r="I45" s="18">
        <f>SUM(I40:I44)</f>
        <v>16485300</v>
      </c>
      <c r="L45" s="18">
        <f>SUM(L40:L44)</f>
        <v>38430900</v>
      </c>
      <c r="M45" s="12"/>
      <c r="N45" s="1"/>
    </row>
    <row r="46" spans="1:14" ht="15.4" x14ac:dyDescent="0.45">
      <c r="A46" s="16"/>
      <c r="B46" s="90"/>
      <c r="C46" s="1"/>
      <c r="D46" s="12"/>
      <c r="E46" s="90"/>
      <c r="F46" s="90"/>
      <c r="G46" s="90"/>
      <c r="H46" s="90"/>
      <c r="I46" s="90"/>
      <c r="J46" s="1"/>
      <c r="K46" s="1"/>
      <c r="L46" s="12"/>
      <c r="M46" s="1"/>
      <c r="N46" s="1"/>
    </row>
    <row r="47" spans="1:14" ht="15.4" x14ac:dyDescent="0.45">
      <c r="A47" s="91" t="s">
        <v>158</v>
      </c>
      <c r="B47" s="91"/>
      <c r="C47" s="1"/>
      <c r="D47" s="12"/>
      <c r="E47" s="90"/>
      <c r="F47" s="90"/>
      <c r="G47" s="90"/>
      <c r="H47" s="90"/>
      <c r="I47" s="90"/>
      <c r="J47" s="1"/>
      <c r="K47" s="1"/>
      <c r="L47" s="12"/>
      <c r="M47" s="1"/>
      <c r="N47" s="1"/>
    </row>
    <row r="48" spans="1:14" ht="15.4" x14ac:dyDescent="0.45">
      <c r="A48" s="16"/>
      <c r="B48" s="141"/>
      <c r="C48" s="148" t="s">
        <v>46</v>
      </c>
      <c r="D48" s="86" t="s">
        <v>47</v>
      </c>
      <c r="E48" s="148" t="s">
        <v>49</v>
      </c>
      <c r="F48" s="148" t="s">
        <v>50</v>
      </c>
      <c r="G48" s="90"/>
      <c r="H48" s="90"/>
      <c r="I48" s="90"/>
      <c r="J48" s="1"/>
      <c r="K48" s="1"/>
      <c r="L48" s="12"/>
      <c r="M48" s="1"/>
      <c r="N48" s="1"/>
    </row>
    <row r="49" spans="1:14" ht="15.4" x14ac:dyDescent="0.45">
      <c r="A49" s="16" t="s">
        <v>43</v>
      </c>
      <c r="B49" s="90">
        <f>B40</f>
        <v>2000</v>
      </c>
      <c r="C49" s="12">
        <f>C45</f>
        <v>4832</v>
      </c>
      <c r="D49" s="145">
        <f>E45</f>
        <v>5529000</v>
      </c>
      <c r="E49" s="153">
        <f>'Rates_%'!L12</f>
        <v>24.82</v>
      </c>
      <c r="F49" s="22">
        <f>E49*C49</f>
        <v>119930.24000000001</v>
      </c>
      <c r="G49" s="90"/>
      <c r="H49" s="1"/>
      <c r="I49" s="1"/>
      <c r="J49" s="1"/>
      <c r="K49" s="1"/>
      <c r="L49" s="12"/>
      <c r="M49" s="1"/>
      <c r="N49" s="1"/>
    </row>
    <row r="50" spans="1:14" ht="15.4" x14ac:dyDescent="0.45">
      <c r="A50" s="16" t="s">
        <v>99</v>
      </c>
      <c r="B50" s="90">
        <v>5000</v>
      </c>
      <c r="C50" s="12"/>
      <c r="D50" s="145">
        <f>F45</f>
        <v>4187000</v>
      </c>
      <c r="E50" s="10">
        <f>'Rates_%'!L13</f>
        <v>9.77</v>
      </c>
      <c r="F50" s="18">
        <f>E50*(D50/1000)</f>
        <v>40906.99</v>
      </c>
      <c r="G50" s="90"/>
      <c r="H50" s="1"/>
      <c r="I50" s="1"/>
      <c r="J50" s="1"/>
      <c r="K50" s="1"/>
      <c r="L50" s="12"/>
      <c r="M50" s="1"/>
      <c r="N50" s="1"/>
    </row>
    <row r="51" spans="1:14" ht="15.4" x14ac:dyDescent="0.45">
      <c r="A51" s="16" t="s">
        <v>99</v>
      </c>
      <c r="B51" s="90">
        <v>10000</v>
      </c>
      <c r="C51" s="12"/>
      <c r="D51" s="145">
        <f>G45</f>
        <v>2683200</v>
      </c>
      <c r="E51" s="10">
        <f>'Rates_%'!L14</f>
        <v>8.2899999999999991</v>
      </c>
      <c r="F51" s="18">
        <f>E51*(D51/1000)</f>
        <v>22243.727999999996</v>
      </c>
      <c r="G51" s="90"/>
      <c r="H51" s="1"/>
      <c r="I51" s="1"/>
      <c r="J51" s="1"/>
      <c r="K51" s="1"/>
      <c r="L51" s="12"/>
      <c r="M51" s="1"/>
      <c r="N51" s="1"/>
    </row>
    <row r="52" spans="1:14" ht="15.4" x14ac:dyDescent="0.45">
      <c r="A52" s="16" t="s">
        <v>99</v>
      </c>
      <c r="B52" s="90">
        <v>30000</v>
      </c>
      <c r="C52" s="12"/>
      <c r="D52" s="145">
        <f>H45</f>
        <v>9546400</v>
      </c>
      <c r="E52" s="10">
        <f>'Rates_%'!L15</f>
        <v>7.57</v>
      </c>
      <c r="F52" s="18">
        <f>E52*(D52/1000)</f>
        <v>72266.248000000007</v>
      </c>
      <c r="G52" s="90"/>
      <c r="H52" s="1"/>
      <c r="I52" s="1"/>
      <c r="J52" s="1"/>
      <c r="K52" s="1"/>
      <c r="L52" s="12"/>
      <c r="M52" s="1"/>
      <c r="N52" s="1"/>
    </row>
    <row r="53" spans="1:14" ht="15.4" x14ac:dyDescent="0.45">
      <c r="A53" s="16" t="s">
        <v>44</v>
      </c>
      <c r="B53" s="150">
        <f>B44</f>
        <v>70000</v>
      </c>
      <c r="C53" s="154"/>
      <c r="D53" s="152">
        <f>I45</f>
        <v>16485300</v>
      </c>
      <c r="E53" s="24">
        <f>'Rates_%'!L16</f>
        <v>6.95</v>
      </c>
      <c r="F53" s="17">
        <f>E53*(D53/1000)</f>
        <v>114572.83499999999</v>
      </c>
      <c r="G53" s="90"/>
      <c r="H53" s="1"/>
      <c r="I53" s="1"/>
      <c r="J53" s="1"/>
      <c r="K53" s="1"/>
      <c r="L53" s="12"/>
      <c r="M53" s="1"/>
      <c r="N53" s="1"/>
    </row>
    <row r="54" spans="1:14" ht="15.4" x14ac:dyDescent="0.45">
      <c r="A54" s="16"/>
      <c r="B54" s="90" t="s">
        <v>48</v>
      </c>
      <c r="C54" s="12">
        <f>SUM(C49:C53)</f>
        <v>4832</v>
      </c>
      <c r="D54" s="18">
        <f>SUM(D49:D53)</f>
        <v>38430900</v>
      </c>
      <c r="E54" s="1"/>
      <c r="F54" s="22">
        <f>SUM(F49:F53)</f>
        <v>369920.04099999997</v>
      </c>
      <c r="G54" s="22"/>
      <c r="H54" s="90"/>
      <c r="I54" s="155"/>
      <c r="J54" s="1"/>
      <c r="K54" s="1"/>
      <c r="L54" s="12"/>
      <c r="M54" s="1"/>
      <c r="N54" s="1"/>
    </row>
    <row r="55" spans="1:14" ht="15.4" x14ac:dyDescent="0.45">
      <c r="A55" s="16"/>
      <c r="B55" s="90"/>
      <c r="C55" s="3"/>
      <c r="D55" s="18"/>
      <c r="E55" s="1"/>
      <c r="F55" s="153"/>
      <c r="G55" s="90"/>
      <c r="H55" s="90"/>
      <c r="I55" s="90"/>
      <c r="J55" s="1"/>
      <c r="K55" s="1"/>
      <c r="L55" s="12"/>
      <c r="M55" s="1"/>
      <c r="N55" s="1"/>
    </row>
    <row r="56" spans="1:14" ht="15.75" x14ac:dyDescent="0.5">
      <c r="A56" s="508" t="s">
        <v>381</v>
      </c>
      <c r="B56" s="508"/>
      <c r="C56" s="1"/>
      <c r="D56" s="12"/>
      <c r="E56" s="1"/>
      <c r="F56" s="1"/>
      <c r="G56" s="1"/>
      <c r="H56" s="1"/>
      <c r="I56" s="1"/>
      <c r="J56" s="1"/>
      <c r="K56" s="1"/>
      <c r="L56" s="12"/>
      <c r="M56" s="1"/>
      <c r="N56" s="1"/>
    </row>
    <row r="57" spans="1:14" ht="15.4" x14ac:dyDescent="0.45">
      <c r="A57" s="1"/>
      <c r="B57" s="1"/>
      <c r="C57" s="1"/>
      <c r="D57" s="12"/>
      <c r="E57" s="15" t="s">
        <v>43</v>
      </c>
      <c r="F57" s="15" t="s">
        <v>99</v>
      </c>
      <c r="G57" s="15" t="s">
        <v>44</v>
      </c>
      <c r="L57" s="1"/>
      <c r="M57" s="1"/>
      <c r="N57" s="1"/>
    </row>
    <row r="58" spans="1:14" ht="15.4" x14ac:dyDescent="0.45">
      <c r="A58" s="1"/>
      <c r="B58" s="141" t="s">
        <v>45</v>
      </c>
      <c r="C58" s="148" t="s">
        <v>46</v>
      </c>
      <c r="D58" s="86" t="s">
        <v>47</v>
      </c>
      <c r="E58" s="148">
        <f>B59</f>
        <v>55000</v>
      </c>
      <c r="F58" s="148">
        <f>B60</f>
        <v>15000</v>
      </c>
      <c r="G58" s="148">
        <f>B61</f>
        <v>70000</v>
      </c>
      <c r="L58" s="141" t="s">
        <v>48</v>
      </c>
      <c r="M58" s="1"/>
      <c r="N58" s="1"/>
    </row>
    <row r="59" spans="1:14" ht="15.4" x14ac:dyDescent="0.45">
      <c r="A59" s="16" t="s">
        <v>43</v>
      </c>
      <c r="B59" s="90">
        <v>55000</v>
      </c>
      <c r="C59" s="157">
        <v>5</v>
      </c>
      <c r="D59" s="145">
        <v>300</v>
      </c>
      <c r="E59" s="157">
        <f>D59</f>
        <v>300</v>
      </c>
      <c r="F59" s="6">
        <v>0</v>
      </c>
      <c r="G59" s="157">
        <v>0</v>
      </c>
      <c r="L59" s="145">
        <f>SUM(E59:G59)</f>
        <v>300</v>
      </c>
      <c r="M59" s="1"/>
      <c r="N59" s="1"/>
    </row>
    <row r="60" spans="1:14" ht="15.4" x14ac:dyDescent="0.45">
      <c r="A60" s="16" t="s">
        <v>99</v>
      </c>
      <c r="B60" s="90">
        <v>15000</v>
      </c>
      <c r="C60" s="157">
        <v>0</v>
      </c>
      <c r="D60" s="145">
        <v>0</v>
      </c>
      <c r="E60" s="157">
        <f>E58*C60</f>
        <v>0</v>
      </c>
      <c r="F60" s="6">
        <f>D60-E60</f>
        <v>0</v>
      </c>
      <c r="G60" s="157">
        <v>0</v>
      </c>
      <c r="L60" s="145">
        <f>SUM(E60:G60)</f>
        <v>0</v>
      </c>
      <c r="M60" s="1"/>
      <c r="N60" s="1"/>
    </row>
    <row r="61" spans="1:14" ht="15.4" x14ac:dyDescent="0.45">
      <c r="A61" s="16" t="s">
        <v>44</v>
      </c>
      <c r="B61" s="150">
        <v>70000</v>
      </c>
      <c r="C61" s="158">
        <v>7</v>
      </c>
      <c r="D61" s="152">
        <v>1672300</v>
      </c>
      <c r="E61" s="158">
        <f>E58*C61</f>
        <v>385000</v>
      </c>
      <c r="F61" s="4">
        <f>C61*F58</f>
        <v>105000</v>
      </c>
      <c r="G61" s="158">
        <f>D61-E61-F61</f>
        <v>1182300</v>
      </c>
      <c r="L61" s="152">
        <f>SUM(E61:G61)</f>
        <v>1672300</v>
      </c>
      <c r="M61" s="1"/>
      <c r="N61" s="2">
        <f>L61/7</f>
        <v>238900</v>
      </c>
    </row>
    <row r="62" spans="1:14" ht="15.4" x14ac:dyDescent="0.45">
      <c r="A62" s="16"/>
      <c r="B62" s="90"/>
      <c r="C62" s="12">
        <f t="shared" ref="C62:L62" si="4">SUM(C59:C61)</f>
        <v>12</v>
      </c>
      <c r="D62" s="18">
        <f t="shared" si="4"/>
        <v>1672600</v>
      </c>
      <c r="E62" s="18">
        <f t="shared" si="4"/>
        <v>385300</v>
      </c>
      <c r="F62" s="18">
        <f t="shared" si="4"/>
        <v>105000</v>
      </c>
      <c r="G62" s="18">
        <f t="shared" si="4"/>
        <v>1182300</v>
      </c>
      <c r="L62" s="18">
        <f t="shared" si="4"/>
        <v>1672600</v>
      </c>
      <c r="M62" s="1"/>
      <c r="N62" s="1"/>
    </row>
    <row r="63" spans="1:14" ht="15.4" x14ac:dyDescent="0.45">
      <c r="A63" s="16"/>
      <c r="B63" s="90"/>
      <c r="C63" s="1"/>
      <c r="D63" s="12"/>
      <c r="E63" s="90"/>
      <c r="F63" s="90"/>
      <c r="G63" s="90"/>
      <c r="L63" s="90"/>
      <c r="M63" s="90"/>
      <c r="N63" s="1"/>
    </row>
    <row r="64" spans="1:14" ht="15.4" x14ac:dyDescent="0.45">
      <c r="A64" s="91" t="s">
        <v>158</v>
      </c>
      <c r="B64" s="91"/>
      <c r="C64" s="1"/>
      <c r="D64" s="12"/>
      <c r="E64" s="90"/>
      <c r="F64" s="90"/>
      <c r="G64" s="90"/>
      <c r="H64" s="90"/>
      <c r="I64" s="90"/>
      <c r="J64" s="1"/>
      <c r="K64" s="1"/>
      <c r="L64" s="12"/>
      <c r="M64" s="1"/>
      <c r="N64" s="1"/>
    </row>
    <row r="65" spans="1:14" ht="15.4" x14ac:dyDescent="0.45">
      <c r="A65" s="16"/>
      <c r="B65" s="141"/>
      <c r="C65" s="148" t="s">
        <v>46</v>
      </c>
      <c r="D65" s="86" t="s">
        <v>47</v>
      </c>
      <c r="E65" s="148" t="s">
        <v>49</v>
      </c>
      <c r="F65" s="148" t="s">
        <v>50</v>
      </c>
      <c r="G65" s="90"/>
      <c r="H65" s="90"/>
      <c r="I65" s="90"/>
      <c r="J65" s="1"/>
      <c r="K65" s="1"/>
      <c r="L65" s="12"/>
      <c r="M65" s="1"/>
      <c r="N65" s="1"/>
    </row>
    <row r="66" spans="1:14" ht="15.4" x14ac:dyDescent="0.45">
      <c r="A66" s="16" t="s">
        <v>43</v>
      </c>
      <c r="B66" s="90">
        <f>B59</f>
        <v>55000</v>
      </c>
      <c r="C66" s="12">
        <f>C62</f>
        <v>12</v>
      </c>
      <c r="D66" s="145">
        <f>E62</f>
        <v>385300</v>
      </c>
      <c r="E66" s="153">
        <f>'Rates_%'!L19</f>
        <v>471.58</v>
      </c>
      <c r="F66" s="22">
        <f>E66*C66</f>
        <v>5658.96</v>
      </c>
      <c r="G66" s="90"/>
      <c r="H66" s="90"/>
      <c r="I66" s="90"/>
      <c r="J66" s="1"/>
      <c r="K66" s="1"/>
      <c r="L66" s="12"/>
      <c r="M66" s="1"/>
      <c r="N66" s="1"/>
    </row>
    <row r="67" spans="1:14" ht="15.4" x14ac:dyDescent="0.45">
      <c r="A67" s="16" t="s">
        <v>99</v>
      </c>
      <c r="B67" s="90">
        <f>B60</f>
        <v>15000</v>
      </c>
      <c r="C67" s="12"/>
      <c r="D67" s="145">
        <f>F62</f>
        <v>105000</v>
      </c>
      <c r="E67" s="10">
        <f>'Rates_%'!L20</f>
        <v>7.57</v>
      </c>
      <c r="F67" s="6">
        <f>(D67*E67)/1000</f>
        <v>794.85</v>
      </c>
      <c r="G67" s="90"/>
      <c r="H67" s="90"/>
      <c r="I67" s="90"/>
      <c r="J67" s="1"/>
      <c r="K67" s="1"/>
      <c r="L67" s="12"/>
      <c r="M67" s="1"/>
      <c r="N67" s="1"/>
    </row>
    <row r="68" spans="1:14" ht="15.4" x14ac:dyDescent="0.45">
      <c r="A68" s="16" t="s">
        <v>44</v>
      </c>
      <c r="B68" s="150">
        <f>B61</f>
        <v>70000</v>
      </c>
      <c r="C68" s="17"/>
      <c r="D68" s="152">
        <f>G62</f>
        <v>1182300</v>
      </c>
      <c r="E68" s="24">
        <f>'Rates_%'!L21</f>
        <v>6.95</v>
      </c>
      <c r="F68" s="4">
        <f>(D68*E68)/1000</f>
        <v>8216.9850000000006</v>
      </c>
      <c r="G68" s="90"/>
      <c r="H68" s="90"/>
      <c r="I68" s="90"/>
      <c r="J68" s="1"/>
      <c r="K68" s="1"/>
      <c r="L68" s="12"/>
      <c r="M68" s="1"/>
      <c r="N68" s="1"/>
    </row>
    <row r="69" spans="1:14" ht="15.4" x14ac:dyDescent="0.45">
      <c r="A69" s="16"/>
      <c r="B69" s="90" t="s">
        <v>48</v>
      </c>
      <c r="C69" s="12">
        <f>SUM(C66:C68)</f>
        <v>12</v>
      </c>
      <c r="D69" s="18">
        <f>SUM(D66:D68)</f>
        <v>1672600</v>
      </c>
      <c r="E69" s="1"/>
      <c r="F69" s="22">
        <f>SUM(F66:F68)</f>
        <v>14670.795000000002</v>
      </c>
      <c r="G69" s="22"/>
      <c r="H69" s="90"/>
      <c r="I69" s="155"/>
      <c r="J69" s="1"/>
      <c r="K69" s="1"/>
      <c r="L69" s="12"/>
      <c r="M69" s="1"/>
      <c r="N69" s="1"/>
    </row>
    <row r="70" spans="1:14" ht="15.4" x14ac:dyDescent="0.45">
      <c r="A70" s="16"/>
      <c r="B70" s="90"/>
      <c r="C70" s="18"/>
      <c r="D70" s="18"/>
      <c r="E70" s="18"/>
      <c r="F70" s="18"/>
      <c r="G70" s="18"/>
      <c r="H70" s="18"/>
      <c r="I70" s="18"/>
      <c r="J70" s="1"/>
      <c r="K70" s="1"/>
      <c r="L70" s="18"/>
      <c r="M70" s="1"/>
      <c r="N70" s="1"/>
    </row>
    <row r="71" spans="1:14" ht="15.75" x14ac:dyDescent="0.5">
      <c r="A71" s="147" t="s">
        <v>461</v>
      </c>
      <c r="B71" s="147"/>
      <c r="C71" s="1"/>
      <c r="D71" s="12"/>
      <c r="E71" s="1"/>
      <c r="F71" s="1"/>
      <c r="G71" s="1"/>
      <c r="H71" s="1"/>
      <c r="I71" s="1"/>
      <c r="J71" s="1"/>
      <c r="K71" s="1"/>
      <c r="L71" s="12"/>
      <c r="M71" s="1"/>
      <c r="N71" s="1"/>
    </row>
    <row r="72" spans="1:14" ht="15.4" x14ac:dyDescent="0.45">
      <c r="A72" s="1"/>
      <c r="B72" s="1"/>
      <c r="C72" s="1"/>
      <c r="D72" s="12"/>
      <c r="E72" s="15" t="s">
        <v>43</v>
      </c>
      <c r="F72" s="15" t="s">
        <v>99</v>
      </c>
      <c r="G72" s="15" t="s">
        <v>44</v>
      </c>
      <c r="L72" s="1"/>
      <c r="M72" s="1"/>
      <c r="N72" s="1"/>
    </row>
    <row r="73" spans="1:14" ht="15.4" x14ac:dyDescent="0.45">
      <c r="A73" s="1"/>
      <c r="B73" s="141" t="s">
        <v>45</v>
      </c>
      <c r="C73" s="148" t="s">
        <v>46</v>
      </c>
      <c r="D73" s="86" t="s">
        <v>47</v>
      </c>
      <c r="E73" s="148">
        <f>B74</f>
        <v>10000</v>
      </c>
      <c r="F73" s="148">
        <f>B75</f>
        <v>50000</v>
      </c>
      <c r="G73" s="148">
        <f>B76</f>
        <v>70000</v>
      </c>
      <c r="L73" s="141" t="s">
        <v>48</v>
      </c>
      <c r="M73" s="1"/>
      <c r="N73" s="1"/>
    </row>
    <row r="74" spans="1:14" ht="15.4" x14ac:dyDescent="0.45">
      <c r="A74" s="16" t="s">
        <v>43</v>
      </c>
      <c r="B74" s="90">
        <v>10000</v>
      </c>
      <c r="C74" s="157">
        <v>0</v>
      </c>
      <c r="D74" s="145">
        <v>0</v>
      </c>
      <c r="E74" s="157">
        <f>D74</f>
        <v>0</v>
      </c>
      <c r="F74" s="6">
        <v>0</v>
      </c>
      <c r="G74" s="157">
        <v>0</v>
      </c>
      <c r="L74" s="145">
        <f>SUM(E74:G74)</f>
        <v>0</v>
      </c>
      <c r="M74" s="1"/>
      <c r="N74" s="1"/>
    </row>
    <row r="75" spans="1:14" ht="15.4" x14ac:dyDescent="0.45">
      <c r="A75" s="16" t="s">
        <v>99</v>
      </c>
      <c r="B75" s="90">
        <v>50000</v>
      </c>
      <c r="C75" s="157">
        <v>0</v>
      </c>
      <c r="D75" s="145">
        <v>0</v>
      </c>
      <c r="E75" s="157">
        <f>E73*C75</f>
        <v>0</v>
      </c>
      <c r="F75" s="6">
        <f>D75-E75</f>
        <v>0</v>
      </c>
      <c r="G75" s="157">
        <v>0</v>
      </c>
      <c r="L75" s="145">
        <f>SUM(E75:G75)</f>
        <v>0</v>
      </c>
      <c r="M75" s="1"/>
      <c r="N75" s="1"/>
    </row>
    <row r="76" spans="1:14" ht="15.4" x14ac:dyDescent="0.45">
      <c r="A76" s="16" t="s">
        <v>44</v>
      </c>
      <c r="B76" s="150">
        <v>70000</v>
      </c>
      <c r="C76" s="158">
        <v>0</v>
      </c>
      <c r="D76" s="152">
        <v>0</v>
      </c>
      <c r="E76" s="158">
        <f>E73*C76</f>
        <v>0</v>
      </c>
      <c r="F76" s="4">
        <f>C76*F73</f>
        <v>0</v>
      </c>
      <c r="G76" s="158">
        <f>D76-E76-F76</f>
        <v>0</v>
      </c>
      <c r="L76" s="152">
        <f>SUM(E76:G76)</f>
        <v>0</v>
      </c>
      <c r="M76" s="1"/>
      <c r="N76" s="2">
        <f>L76/7</f>
        <v>0</v>
      </c>
    </row>
    <row r="77" spans="1:14" ht="15.4" x14ac:dyDescent="0.45">
      <c r="A77" s="16"/>
      <c r="B77" s="90"/>
      <c r="C77" s="12">
        <f t="shared" ref="C77:G77" si="5">SUM(C74:C76)</f>
        <v>0</v>
      </c>
      <c r="D77" s="18">
        <f t="shared" si="5"/>
        <v>0</v>
      </c>
      <c r="E77" s="18">
        <f t="shared" si="5"/>
        <v>0</v>
      </c>
      <c r="F77" s="18">
        <f t="shared" si="5"/>
        <v>0</v>
      </c>
      <c r="G77" s="18">
        <f t="shared" si="5"/>
        <v>0</v>
      </c>
      <c r="L77" s="18">
        <f t="shared" ref="L77" si="6">SUM(L74:L76)</f>
        <v>0</v>
      </c>
      <c r="M77" s="1"/>
      <c r="N77" s="1"/>
    </row>
    <row r="78" spans="1:14" ht="15.4" x14ac:dyDescent="0.45">
      <c r="A78" s="16"/>
      <c r="B78" s="90"/>
      <c r="C78" s="1"/>
      <c r="D78" s="12"/>
      <c r="E78" s="90"/>
      <c r="F78" s="90"/>
      <c r="G78" s="90"/>
      <c r="L78" s="90"/>
      <c r="M78" s="90"/>
      <c r="N78" s="1"/>
    </row>
    <row r="79" spans="1:14" ht="15.4" x14ac:dyDescent="0.45">
      <c r="A79" s="91" t="s">
        <v>158</v>
      </c>
      <c r="B79" s="91"/>
      <c r="C79" s="1"/>
      <c r="D79" s="12"/>
      <c r="E79" s="90"/>
      <c r="F79" s="90"/>
      <c r="G79" s="90"/>
      <c r="H79" s="90"/>
      <c r="I79" s="90"/>
      <c r="J79" s="1"/>
      <c r="K79" s="1"/>
      <c r="L79" s="12"/>
      <c r="M79" s="1"/>
      <c r="N79" s="1"/>
    </row>
    <row r="80" spans="1:14" ht="15.4" x14ac:dyDescent="0.45">
      <c r="A80" s="16"/>
      <c r="B80" s="141"/>
      <c r="C80" s="148" t="s">
        <v>46</v>
      </c>
      <c r="D80" s="86" t="s">
        <v>47</v>
      </c>
      <c r="E80" s="148" t="s">
        <v>49</v>
      </c>
      <c r="F80" s="148" t="s">
        <v>50</v>
      </c>
      <c r="G80" s="90"/>
      <c r="H80" s="90"/>
      <c r="I80" s="90"/>
      <c r="J80" s="1"/>
      <c r="K80" s="1"/>
      <c r="L80" s="12"/>
      <c r="M80" s="1"/>
      <c r="N80" s="1"/>
    </row>
    <row r="81" spans="1:14" ht="15.4" x14ac:dyDescent="0.45">
      <c r="A81" s="16" t="s">
        <v>43</v>
      </c>
      <c r="B81" s="90">
        <f>B74</f>
        <v>10000</v>
      </c>
      <c r="C81" s="12">
        <f>C77</f>
        <v>0</v>
      </c>
      <c r="D81" s="145">
        <f>E77</f>
        <v>0</v>
      </c>
      <c r="E81" s="153">
        <f>'Rates_%'!L24</f>
        <v>87.3</v>
      </c>
      <c r="F81" s="22">
        <f>E81*C81</f>
        <v>0</v>
      </c>
      <c r="G81" s="90"/>
      <c r="H81" s="90"/>
      <c r="I81" s="90"/>
      <c r="J81" s="1"/>
      <c r="K81" s="1"/>
      <c r="L81" s="12"/>
      <c r="M81" s="1"/>
      <c r="N81" s="1"/>
    </row>
    <row r="82" spans="1:14" ht="15.4" x14ac:dyDescent="0.45">
      <c r="A82" s="16" t="s">
        <v>99</v>
      </c>
      <c r="B82" s="90">
        <f>B75</f>
        <v>50000</v>
      </c>
      <c r="C82" s="12"/>
      <c r="D82" s="145">
        <f>F77</f>
        <v>0</v>
      </c>
      <c r="E82" s="10">
        <f>'Rates_%'!L25</f>
        <v>7.57</v>
      </c>
      <c r="F82" s="6">
        <f>(D82*E82)/1000</f>
        <v>0</v>
      </c>
      <c r="G82" s="90"/>
      <c r="H82" s="90"/>
      <c r="I82" s="90"/>
      <c r="J82" s="1"/>
      <c r="K82" s="1"/>
      <c r="L82" s="12"/>
      <c r="M82" s="1"/>
      <c r="N82" s="1"/>
    </row>
    <row r="83" spans="1:14" ht="15.4" x14ac:dyDescent="0.45">
      <c r="A83" s="16" t="s">
        <v>44</v>
      </c>
      <c r="B83" s="150">
        <f>B76</f>
        <v>70000</v>
      </c>
      <c r="C83" s="17"/>
      <c r="D83" s="152">
        <f>G77</f>
        <v>0</v>
      </c>
      <c r="E83" s="24">
        <f>'Rates_%'!L26</f>
        <v>6.95</v>
      </c>
      <c r="F83" s="4">
        <f>(D83*E83)/1000</f>
        <v>0</v>
      </c>
      <c r="G83" s="90"/>
      <c r="H83" s="90"/>
      <c r="I83" s="90"/>
      <c r="J83" s="1"/>
      <c r="K83" s="1"/>
      <c r="L83" s="12"/>
      <c r="M83" s="1"/>
      <c r="N83" s="1"/>
    </row>
    <row r="84" spans="1:14" ht="15.4" x14ac:dyDescent="0.45">
      <c r="A84" s="16"/>
      <c r="B84" s="90" t="s">
        <v>48</v>
      </c>
      <c r="C84" s="12">
        <f>SUM(C81:C83)</f>
        <v>0</v>
      </c>
      <c r="D84" s="18">
        <f>SUM(D81:D83)</f>
        <v>0</v>
      </c>
      <c r="E84" s="1"/>
      <c r="F84" s="22">
        <f>SUM(F81:F83)</f>
        <v>0</v>
      </c>
      <c r="G84" s="22"/>
      <c r="H84" s="90"/>
      <c r="I84" s="155"/>
      <c r="J84" s="1"/>
      <c r="K84" s="1"/>
      <c r="L84" s="12"/>
      <c r="M84" s="1"/>
      <c r="N84" s="1"/>
    </row>
    <row r="85" spans="1:14" ht="15.4" x14ac:dyDescent="0.45">
      <c r="A85" s="16"/>
      <c r="B85" s="90"/>
      <c r="C85" s="18"/>
      <c r="D85" s="18"/>
      <c r="E85" s="18"/>
      <c r="F85" s="18"/>
      <c r="G85" s="18"/>
      <c r="H85" s="18"/>
      <c r="I85" s="18"/>
      <c r="J85" s="1"/>
      <c r="K85" s="1"/>
      <c r="L85" s="18"/>
      <c r="M85" s="1"/>
      <c r="N85" s="1"/>
    </row>
    <row r="86" spans="1:14" ht="15.75" x14ac:dyDescent="0.5">
      <c r="A86" s="508" t="s">
        <v>351</v>
      </c>
      <c r="B86" s="508"/>
      <c r="C86" s="1"/>
      <c r="D86" s="1"/>
      <c r="E86" s="1"/>
      <c r="F86" s="1"/>
      <c r="G86" s="1"/>
      <c r="H86" s="1"/>
      <c r="I86" s="1"/>
      <c r="J86" s="1"/>
      <c r="K86" s="1"/>
      <c r="L86" s="12"/>
      <c r="M86" s="1"/>
      <c r="N86" s="1"/>
    </row>
    <row r="87" spans="1:14" ht="15.4" x14ac:dyDescent="0.45">
      <c r="A87" s="1"/>
      <c r="B87" s="1"/>
      <c r="C87" s="1"/>
      <c r="D87" s="15" t="s">
        <v>48</v>
      </c>
      <c r="E87" s="15"/>
      <c r="F87" s="15"/>
      <c r="G87" s="1"/>
      <c r="H87" s="1"/>
      <c r="I87" s="1"/>
      <c r="J87" s="1"/>
      <c r="K87" s="1"/>
      <c r="L87" s="12"/>
      <c r="M87" s="1"/>
      <c r="N87" s="1"/>
    </row>
    <row r="88" spans="1:14" ht="15.4" x14ac:dyDescent="0.45">
      <c r="A88" s="1"/>
      <c r="B88" s="1"/>
      <c r="C88" s="1"/>
      <c r="D88" s="141" t="s">
        <v>47</v>
      </c>
      <c r="E88" s="141" t="s">
        <v>49</v>
      </c>
      <c r="F88" s="141" t="s">
        <v>50</v>
      </c>
      <c r="G88" s="1"/>
      <c r="H88" s="1"/>
      <c r="I88" s="1"/>
      <c r="J88" s="1"/>
      <c r="K88" s="1"/>
      <c r="L88" s="12"/>
      <c r="M88" s="1"/>
      <c r="N88" s="1"/>
    </row>
    <row r="89" spans="1:14" ht="15.4" x14ac:dyDescent="0.45">
      <c r="A89" s="1"/>
      <c r="B89" s="501" t="s">
        <v>352</v>
      </c>
      <c r="C89" s="501"/>
      <c r="D89" s="312">
        <v>18243000</v>
      </c>
      <c r="E89" s="153">
        <f>'Rates_%'!L29</f>
        <v>4.33</v>
      </c>
      <c r="F89" s="22">
        <f>E89*(D89/1000)</f>
        <v>78992.19</v>
      </c>
      <c r="G89" s="1"/>
      <c r="H89" s="1"/>
      <c r="I89" s="1"/>
      <c r="J89" s="1"/>
      <c r="K89" s="1"/>
      <c r="L89" s="12"/>
      <c r="M89" s="1"/>
      <c r="N89" s="1"/>
    </row>
  </sheetData>
  <mergeCells count="8">
    <mergeCell ref="A56:B56"/>
    <mergeCell ref="A86:B86"/>
    <mergeCell ref="B89:C89"/>
    <mergeCell ref="A1:I1"/>
    <mergeCell ref="A2:I2"/>
    <mergeCell ref="A3:I3"/>
    <mergeCell ref="A18:B18"/>
    <mergeCell ref="A37:B37"/>
  </mergeCells>
  <pageMargins left="0.7" right="0.7" top="0.75" bottom="0.75" header="0.3" footer="0.3"/>
  <pageSetup fitToHeight="0" orientation="landscape" r:id="rId1"/>
  <ignoredErrors>
    <ignoredError sqref="G14 E14:F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E16" sqref="E16"/>
    </sheetView>
  </sheetViews>
  <sheetFormatPr defaultColWidth="8.88671875" defaultRowHeight="14.25" x14ac:dyDescent="0.45"/>
  <cols>
    <col min="1" max="1" width="12.6640625" style="1" customWidth="1"/>
    <col min="2" max="2" width="11.5546875" style="101" bestFit="1" customWidth="1"/>
    <col min="3" max="3" width="10.33203125" style="101" bestFit="1" customWidth="1"/>
    <col min="4" max="4" width="9.77734375" style="108" customWidth="1"/>
    <col min="5" max="5" width="9.77734375" style="102" customWidth="1"/>
    <col min="6" max="6" width="11.44140625" style="101" customWidth="1"/>
    <col min="7" max="7" width="10.6640625" style="103" customWidth="1"/>
    <col min="8" max="8" width="10.109375" style="101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77734375" style="1" bestFit="1" customWidth="1"/>
    <col min="15" max="16384" width="8.88671875" style="1"/>
  </cols>
  <sheetData>
    <row r="1" spans="1:12" x14ac:dyDescent="0.45">
      <c r="A1" s="1" t="s">
        <v>120</v>
      </c>
    </row>
    <row r="2" spans="1:12" x14ac:dyDescent="0.45">
      <c r="B2" s="104"/>
    </row>
    <row r="3" spans="1:12" x14ac:dyDescent="0.45">
      <c r="C3" s="101" t="s">
        <v>121</v>
      </c>
      <c r="F3" s="101" t="s">
        <v>122</v>
      </c>
      <c r="G3" s="103" t="s">
        <v>123</v>
      </c>
      <c r="H3" s="101" t="s">
        <v>123</v>
      </c>
    </row>
    <row r="4" spans="1:12" x14ac:dyDescent="0.45">
      <c r="B4" s="105" t="s">
        <v>121</v>
      </c>
      <c r="C4" s="101" t="s">
        <v>124</v>
      </c>
      <c r="D4" s="108" t="s">
        <v>124</v>
      </c>
      <c r="E4" s="102" t="s">
        <v>125</v>
      </c>
      <c r="F4" s="101" t="s">
        <v>126</v>
      </c>
      <c r="G4" s="103" t="s">
        <v>127</v>
      </c>
      <c r="H4" s="101" t="s">
        <v>127</v>
      </c>
    </row>
    <row r="5" spans="1:12" x14ac:dyDescent="0.45">
      <c r="B5" s="101" t="s">
        <v>128</v>
      </c>
      <c r="C5" s="101" t="s">
        <v>129</v>
      </c>
      <c r="D5" s="108" t="s">
        <v>130</v>
      </c>
      <c r="E5" s="102" t="s">
        <v>130</v>
      </c>
      <c r="F5" s="101" t="s">
        <v>128</v>
      </c>
      <c r="G5" s="103" t="s">
        <v>131</v>
      </c>
      <c r="H5" s="101" t="s">
        <v>132</v>
      </c>
      <c r="I5" s="15"/>
    </row>
    <row r="6" spans="1:12" x14ac:dyDescent="0.45">
      <c r="A6" s="1" t="s">
        <v>135</v>
      </c>
      <c r="B6" s="101">
        <f>801.49*16</f>
        <v>12823.84</v>
      </c>
      <c r="C6" s="101">
        <v>0</v>
      </c>
      <c r="D6" s="108">
        <v>0</v>
      </c>
      <c r="E6" s="102">
        <v>1</v>
      </c>
      <c r="F6" s="101">
        <f>B6*12</f>
        <v>153886.08000000002</v>
      </c>
      <c r="G6" s="103">
        <v>0.79</v>
      </c>
      <c r="H6" s="101">
        <f>F6*G6</f>
        <v>121570.00320000002</v>
      </c>
      <c r="I6" s="15"/>
    </row>
    <row r="7" spans="1:12" x14ac:dyDescent="0.45">
      <c r="A7" s="1" t="s">
        <v>137</v>
      </c>
      <c r="B7" s="101">
        <f>5.87+16</f>
        <v>21.87</v>
      </c>
      <c r="C7" s="101">
        <v>0</v>
      </c>
      <c r="D7" s="108">
        <v>0</v>
      </c>
      <c r="E7" s="102">
        <v>1</v>
      </c>
      <c r="F7" s="101">
        <f>B7*12</f>
        <v>262.44</v>
      </c>
      <c r="G7" s="113">
        <v>1</v>
      </c>
      <c r="H7" s="101">
        <f>F7*G7</f>
        <v>262.44</v>
      </c>
      <c r="I7" s="25"/>
    </row>
    <row r="8" spans="1:12" x14ac:dyDescent="0.45">
      <c r="A8" s="1" t="s">
        <v>136</v>
      </c>
      <c r="B8" s="107">
        <f>19.68*16</f>
        <v>314.88</v>
      </c>
      <c r="C8" s="106">
        <v>0</v>
      </c>
      <c r="D8" s="108">
        <v>0</v>
      </c>
      <c r="E8" s="103">
        <v>1</v>
      </c>
      <c r="F8" s="107">
        <f>B8*12</f>
        <v>3778.56</v>
      </c>
      <c r="G8" s="103">
        <v>0.6</v>
      </c>
      <c r="H8" s="107">
        <f>F8*G8</f>
        <v>2267.136</v>
      </c>
      <c r="I8" s="98"/>
      <c r="K8" s="2"/>
      <c r="L8" s="99"/>
    </row>
    <row r="9" spans="1:12" x14ac:dyDescent="0.45">
      <c r="A9" s="95" t="s">
        <v>48</v>
      </c>
      <c r="B9" s="101">
        <f>SUM(B6:B8)</f>
        <v>13160.59</v>
      </c>
      <c r="C9" s="101">
        <f>SUM(C6:C8)</f>
        <v>0</v>
      </c>
      <c r="F9" s="101">
        <f>SUM(F6:F8)</f>
        <v>157927.08000000002</v>
      </c>
      <c r="G9" s="114"/>
      <c r="H9" s="116">
        <f>SUM(H6:H8)</f>
        <v>124099.57920000002</v>
      </c>
      <c r="I9" s="25"/>
    </row>
    <row r="10" spans="1:12" x14ac:dyDescent="0.45">
      <c r="C10" s="106"/>
      <c r="E10" s="103"/>
      <c r="H10" s="117"/>
      <c r="I10" s="98"/>
    </row>
    <row r="11" spans="1:12" x14ac:dyDescent="0.45">
      <c r="A11" s="1" t="s">
        <v>133</v>
      </c>
      <c r="C11" s="106">
        <f>H9</f>
        <v>124099.57920000002</v>
      </c>
      <c r="E11" s="103"/>
      <c r="H11" s="117"/>
      <c r="I11" s="96"/>
    </row>
    <row r="12" spans="1:12" ht="16.5" x14ac:dyDescent="0.75">
      <c r="A12" s="1" t="s">
        <v>138</v>
      </c>
      <c r="C12" s="106">
        <f>-F9</f>
        <v>-157927.08000000002</v>
      </c>
      <c r="E12" s="103"/>
      <c r="G12" s="115"/>
      <c r="H12" s="117"/>
      <c r="I12" s="100"/>
    </row>
    <row r="13" spans="1:12" x14ac:dyDescent="0.45">
      <c r="A13" s="1" t="s">
        <v>134</v>
      </c>
      <c r="C13" s="101">
        <f>C11+C12</f>
        <v>-33827.500799999994</v>
      </c>
      <c r="D13" s="121" t="s">
        <v>411</v>
      </c>
    </row>
    <row r="14" spans="1:12" x14ac:dyDescent="0.45">
      <c r="I14" s="98"/>
    </row>
    <row r="15" spans="1:12" x14ac:dyDescent="0.45">
      <c r="I15" s="98"/>
    </row>
    <row r="16" spans="1:12" x14ac:dyDescent="0.45">
      <c r="I16" s="98"/>
    </row>
    <row r="17" spans="1:12" x14ac:dyDescent="0.45">
      <c r="E17" s="110"/>
      <c r="H17" s="118"/>
      <c r="I17" s="25"/>
      <c r="K17" s="97"/>
      <c r="L17" s="97"/>
    </row>
    <row r="18" spans="1:12" x14ac:dyDescent="0.45">
      <c r="D18" s="109"/>
      <c r="E18" s="111"/>
      <c r="H18" s="119"/>
      <c r="I18" s="93"/>
      <c r="K18" s="2"/>
    </row>
    <row r="19" spans="1:12" ht="16.5" x14ac:dyDescent="0.75">
      <c r="E19" s="112"/>
      <c r="H19" s="120"/>
      <c r="I19" s="94"/>
    </row>
    <row r="20" spans="1:12" x14ac:dyDescent="0.45">
      <c r="E20" s="111"/>
      <c r="H20" s="119"/>
      <c r="I20" s="93"/>
    </row>
    <row r="25" spans="1:12" x14ac:dyDescent="0.45">
      <c r="A25" s="10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2C10-1D1D-43F2-AC64-82727EBE8FCD}">
  <sheetPr>
    <pageSetUpPr fitToPage="1"/>
  </sheetPr>
  <dimension ref="A1:R49"/>
  <sheetViews>
    <sheetView workbookViewId="0">
      <selection sqref="A1:M42"/>
    </sheetView>
  </sheetViews>
  <sheetFormatPr defaultRowHeight="15.4" x14ac:dyDescent="0.45"/>
  <cols>
    <col min="1" max="1" width="2" customWidth="1"/>
    <col min="2" max="3" width="1.88671875" customWidth="1"/>
    <col min="4" max="4" width="27.44140625" style="1" customWidth="1"/>
    <col min="5" max="5" width="8.33203125" style="1" customWidth="1"/>
    <col min="6" max="6" width="10.6640625" style="161" customWidth="1"/>
    <col min="7" max="7" width="6.109375" style="1" customWidth="1"/>
    <col min="8" max="8" width="9.33203125" style="199" customWidth="1"/>
    <col min="9" max="9" width="6.109375" customWidth="1"/>
    <col min="10" max="10" width="9.33203125" style="199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62"/>
      <c r="H1" s="13"/>
      <c r="I1" s="162"/>
      <c r="J1" s="13"/>
      <c r="K1" s="3"/>
      <c r="L1" s="3"/>
      <c r="M1" s="3"/>
    </row>
    <row r="2" spans="1:13" x14ac:dyDescent="0.45">
      <c r="A2" s="1"/>
      <c r="B2" s="163"/>
      <c r="C2" s="164"/>
      <c r="D2" s="164"/>
      <c r="E2" s="164"/>
      <c r="F2" s="165"/>
      <c r="G2" s="166"/>
      <c r="H2" s="167"/>
      <c r="I2" s="166"/>
      <c r="J2" s="167"/>
      <c r="K2" s="164"/>
      <c r="L2" s="168"/>
      <c r="M2" s="169"/>
    </row>
    <row r="3" spans="1:13" ht="18" x14ac:dyDescent="0.55000000000000004">
      <c r="A3" s="1"/>
      <c r="B3" s="170"/>
      <c r="C3" s="468" t="s">
        <v>29</v>
      </c>
      <c r="D3" s="468"/>
      <c r="E3" s="468"/>
      <c r="F3" s="468"/>
      <c r="G3" s="468"/>
      <c r="H3" s="468"/>
      <c r="I3" s="468"/>
      <c r="J3" s="468"/>
      <c r="K3" s="468"/>
      <c r="L3" s="171"/>
      <c r="M3" s="169"/>
    </row>
    <row r="4" spans="1:13" ht="18" x14ac:dyDescent="0.55000000000000004">
      <c r="A4" s="1"/>
      <c r="B4" s="170"/>
      <c r="C4" s="469" t="s">
        <v>204</v>
      </c>
      <c r="D4" s="469"/>
      <c r="E4" s="469"/>
      <c r="F4" s="469"/>
      <c r="G4" s="469"/>
      <c r="H4" s="469"/>
      <c r="I4" s="469"/>
      <c r="J4" s="469"/>
      <c r="K4" s="469"/>
      <c r="L4" s="171"/>
      <c r="M4" s="169"/>
    </row>
    <row r="5" spans="1:13" ht="15.75" x14ac:dyDescent="0.45">
      <c r="A5" s="1"/>
      <c r="B5" s="170"/>
      <c r="C5" s="470" t="s">
        <v>179</v>
      </c>
      <c r="D5" s="470"/>
      <c r="E5" s="470"/>
      <c r="F5" s="470"/>
      <c r="G5" s="470"/>
      <c r="H5" s="470"/>
      <c r="I5" s="470"/>
      <c r="J5" s="470"/>
      <c r="K5" s="470"/>
      <c r="L5" s="171"/>
      <c r="M5" s="169"/>
    </row>
    <row r="6" spans="1:13" ht="15.75" x14ac:dyDescent="0.45">
      <c r="A6" s="1"/>
      <c r="B6" s="193"/>
      <c r="C6" s="378"/>
      <c r="D6" s="378"/>
      <c r="E6" s="378"/>
      <c r="F6" s="378"/>
      <c r="G6" s="378"/>
      <c r="H6" s="378"/>
      <c r="I6" s="378"/>
      <c r="J6" s="378"/>
      <c r="K6" s="378"/>
      <c r="L6" s="197"/>
      <c r="M6" s="169"/>
    </row>
    <row r="7" spans="1:13" ht="15.75" x14ac:dyDescent="0.45">
      <c r="A7" s="1"/>
      <c r="B7" s="170"/>
      <c r="C7" s="340"/>
      <c r="D7" s="340"/>
      <c r="E7" s="340"/>
      <c r="F7" s="340"/>
      <c r="G7" s="340"/>
      <c r="H7" s="340"/>
      <c r="I7" s="340"/>
      <c r="J7" s="340"/>
      <c r="K7" s="340"/>
      <c r="L7" s="171"/>
      <c r="M7" s="169"/>
    </row>
    <row r="8" spans="1:13" x14ac:dyDescent="0.45">
      <c r="A8" s="1"/>
      <c r="B8" s="170"/>
      <c r="C8" s="3"/>
      <c r="D8" s="3"/>
      <c r="E8" s="3"/>
      <c r="G8" s="172"/>
      <c r="H8" s="13"/>
      <c r="I8" s="172"/>
      <c r="J8" s="13"/>
      <c r="K8" s="173" t="s">
        <v>205</v>
      </c>
      <c r="L8" s="171"/>
      <c r="M8" s="169"/>
    </row>
    <row r="9" spans="1:13" x14ac:dyDescent="0.45">
      <c r="A9" s="1"/>
      <c r="B9" s="170"/>
      <c r="C9" s="174"/>
      <c r="D9" s="174"/>
      <c r="E9" s="174" t="s">
        <v>206</v>
      </c>
      <c r="F9" s="175" t="s">
        <v>207</v>
      </c>
      <c r="G9" s="471" t="s">
        <v>208</v>
      </c>
      <c r="H9" s="471"/>
      <c r="I9" s="471" t="s">
        <v>34</v>
      </c>
      <c r="J9" s="471"/>
      <c r="K9" s="173" t="s">
        <v>209</v>
      </c>
      <c r="L9" s="171"/>
      <c r="M9" s="169"/>
    </row>
    <row r="10" spans="1:13" ht="17.649999999999999" x14ac:dyDescent="0.75">
      <c r="A10" s="1"/>
      <c r="B10" s="170"/>
      <c r="C10" s="173"/>
      <c r="D10" s="177" t="s">
        <v>210</v>
      </c>
      <c r="E10" s="173" t="s">
        <v>211</v>
      </c>
      <c r="F10" s="178" t="s">
        <v>212</v>
      </c>
      <c r="G10" s="176" t="s">
        <v>213</v>
      </c>
      <c r="H10" s="173" t="s">
        <v>214</v>
      </c>
      <c r="I10" s="176" t="s">
        <v>213</v>
      </c>
      <c r="J10" s="173" t="s">
        <v>214</v>
      </c>
      <c r="K10" s="173" t="s">
        <v>40</v>
      </c>
      <c r="L10" s="171"/>
      <c r="M10" s="169"/>
    </row>
    <row r="11" spans="1:13" x14ac:dyDescent="0.45">
      <c r="A11" s="1"/>
      <c r="B11" s="170"/>
      <c r="C11" s="179" t="s">
        <v>215</v>
      </c>
      <c r="D11" s="3"/>
      <c r="E11" s="180"/>
      <c r="G11" s="172"/>
      <c r="H11" s="181"/>
      <c r="I11" s="172"/>
      <c r="J11" s="181"/>
      <c r="K11" s="2"/>
      <c r="L11" s="171"/>
      <c r="M11" s="169"/>
    </row>
    <row r="12" spans="1:13" x14ac:dyDescent="0.45">
      <c r="A12" s="1"/>
      <c r="B12" s="170"/>
      <c r="C12" s="179"/>
      <c r="D12" s="3" t="s">
        <v>216</v>
      </c>
      <c r="E12" s="180" t="s">
        <v>217</v>
      </c>
      <c r="F12" s="182">
        <v>573878</v>
      </c>
      <c r="G12" s="159" t="s">
        <v>217</v>
      </c>
      <c r="H12" s="92">
        <v>19354</v>
      </c>
      <c r="I12" s="172">
        <v>37.5</v>
      </c>
      <c r="J12" s="92">
        <f>F12/I12</f>
        <v>15303.413333333334</v>
      </c>
      <c r="K12" s="18">
        <f>J12-H12</f>
        <v>-4050.5866666666661</v>
      </c>
      <c r="L12" s="171"/>
      <c r="M12" s="169"/>
    </row>
    <row r="13" spans="1:13" x14ac:dyDescent="0.45">
      <c r="A13" s="1"/>
      <c r="B13" s="170"/>
      <c r="C13" s="179"/>
      <c r="D13" s="3" t="s">
        <v>218</v>
      </c>
      <c r="E13" s="180" t="s">
        <v>217</v>
      </c>
      <c r="F13" s="183">
        <f>22523+11688+26547</f>
        <v>60758</v>
      </c>
      <c r="G13" s="159" t="s">
        <v>217</v>
      </c>
      <c r="H13" s="92">
        <f>2252+1192+5309</f>
        <v>8753</v>
      </c>
      <c r="I13" s="172">
        <v>10</v>
      </c>
      <c r="J13" s="92">
        <f>F13/I13</f>
        <v>6075.8</v>
      </c>
      <c r="K13" s="18">
        <f>J13-H13</f>
        <v>-2677.2</v>
      </c>
      <c r="L13" s="171"/>
      <c r="M13" s="169"/>
    </row>
    <row r="14" spans="1:13" x14ac:dyDescent="0.45">
      <c r="A14" s="1"/>
      <c r="B14" s="170"/>
      <c r="C14" s="3"/>
      <c r="D14" s="3" t="s">
        <v>219</v>
      </c>
      <c r="E14" s="180" t="s">
        <v>217</v>
      </c>
      <c r="F14" s="183">
        <f>2677+3422+3990+338+900</f>
        <v>11327</v>
      </c>
      <c r="G14" s="159" t="s">
        <v>217</v>
      </c>
      <c r="H14" s="92">
        <f>268+342+399+34+38</f>
        <v>1081</v>
      </c>
      <c r="I14" s="172">
        <v>22.5</v>
      </c>
      <c r="J14" s="92">
        <f>F14/I14</f>
        <v>503.42222222222222</v>
      </c>
      <c r="K14" s="18">
        <f>J14-H14</f>
        <v>-577.57777777777778</v>
      </c>
      <c r="L14" s="171"/>
      <c r="M14" s="169"/>
    </row>
    <row r="15" spans="1:13" x14ac:dyDescent="0.45">
      <c r="A15" s="1"/>
      <c r="B15" s="170"/>
      <c r="C15" s="3"/>
      <c r="D15" s="3" t="s">
        <v>220</v>
      </c>
      <c r="E15" s="180" t="s">
        <v>217</v>
      </c>
      <c r="F15" s="183">
        <f>3008+53096+54186+1321+344</f>
        <v>111955</v>
      </c>
      <c r="G15" s="159">
        <v>10</v>
      </c>
      <c r="H15" s="92">
        <f>300+5209+5419+132+34+50722+3</f>
        <v>61819</v>
      </c>
      <c r="I15" s="172">
        <v>12.5</v>
      </c>
      <c r="J15" s="92">
        <f t="shared" ref="J15:J16" si="0">F15/I15</f>
        <v>8956.4</v>
      </c>
      <c r="K15" s="18">
        <f t="shared" ref="K15:K16" si="1">J15-H15</f>
        <v>-52862.6</v>
      </c>
      <c r="L15" s="171"/>
      <c r="M15" s="169"/>
    </row>
    <row r="16" spans="1:13" x14ac:dyDescent="0.45">
      <c r="A16" s="1"/>
      <c r="B16" s="170"/>
      <c r="C16" s="3"/>
      <c r="D16" s="3" t="s">
        <v>221</v>
      </c>
      <c r="E16" s="180" t="s">
        <v>217</v>
      </c>
      <c r="F16" s="183">
        <f>6017+11079+12500+8000+4147+1956+6699+3555+1236+274+390+740</f>
        <v>56593</v>
      </c>
      <c r="G16" s="159">
        <v>10</v>
      </c>
      <c r="H16" s="92">
        <v>5720.04</v>
      </c>
      <c r="I16" s="172">
        <v>17.5</v>
      </c>
      <c r="J16" s="92">
        <f t="shared" si="0"/>
        <v>3233.8857142857141</v>
      </c>
      <c r="K16" s="18">
        <f t="shared" si="1"/>
        <v>-2486.1542857142858</v>
      </c>
      <c r="L16" s="171"/>
      <c r="M16" s="169"/>
    </row>
    <row r="17" spans="1:13" x14ac:dyDescent="0.45">
      <c r="A17" s="1"/>
      <c r="B17" s="170"/>
      <c r="C17" s="3"/>
      <c r="D17" s="3"/>
      <c r="E17" s="180"/>
      <c r="F17" s="183"/>
      <c r="G17" s="159"/>
      <c r="H17" s="92"/>
      <c r="I17" s="172"/>
      <c r="J17" s="92"/>
      <c r="K17" s="18"/>
      <c r="L17" s="171"/>
      <c r="M17" s="169"/>
    </row>
    <row r="18" spans="1:13" x14ac:dyDescent="0.45">
      <c r="A18" s="1"/>
      <c r="B18" s="170"/>
      <c r="C18" s="179" t="s">
        <v>222</v>
      </c>
      <c r="D18" s="3"/>
      <c r="E18" s="180"/>
      <c r="F18" s="183"/>
      <c r="G18" s="159"/>
      <c r="H18" s="92"/>
      <c r="I18" s="172"/>
      <c r="J18" s="92"/>
      <c r="K18" s="18"/>
      <c r="L18" s="171"/>
      <c r="M18" s="169"/>
    </row>
    <row r="19" spans="1:13" x14ac:dyDescent="0.45">
      <c r="A19" s="1"/>
      <c r="B19" s="170"/>
      <c r="C19" s="3"/>
      <c r="D19" s="3" t="s">
        <v>223</v>
      </c>
      <c r="E19" s="180"/>
      <c r="F19" s="183"/>
      <c r="G19" s="159"/>
      <c r="H19" s="92"/>
      <c r="I19" s="172">
        <v>62.5</v>
      </c>
      <c r="J19" s="92">
        <f t="shared" ref="J19:J20" si="2">F19/I19</f>
        <v>0</v>
      </c>
      <c r="K19" s="18">
        <f t="shared" ref="K19:K20" si="3">J19-H19</f>
        <v>0</v>
      </c>
      <c r="L19" s="171"/>
      <c r="M19" s="169"/>
    </row>
    <row r="20" spans="1:13" x14ac:dyDescent="0.45">
      <c r="A20" s="1"/>
      <c r="B20" s="170"/>
      <c r="C20" s="3"/>
      <c r="D20" s="3" t="s">
        <v>224</v>
      </c>
      <c r="E20" s="180" t="s">
        <v>217</v>
      </c>
      <c r="F20" s="183">
        <v>0</v>
      </c>
      <c r="G20" s="159" t="s">
        <v>217</v>
      </c>
      <c r="H20" s="92">
        <v>0</v>
      </c>
      <c r="I20" s="172">
        <v>62.5</v>
      </c>
      <c r="J20" s="92">
        <f t="shared" si="2"/>
        <v>0</v>
      </c>
      <c r="K20" s="18">
        <f t="shared" si="3"/>
        <v>0</v>
      </c>
      <c r="L20" s="171"/>
      <c r="M20" s="169"/>
    </row>
    <row r="21" spans="1:13" x14ac:dyDescent="0.45">
      <c r="A21" s="1"/>
      <c r="B21" s="170"/>
      <c r="C21" s="173"/>
      <c r="D21" s="173"/>
      <c r="E21" s="173"/>
      <c r="F21" s="184"/>
      <c r="G21" s="176"/>
      <c r="H21" s="185"/>
      <c r="I21" s="176"/>
      <c r="J21" s="185"/>
      <c r="K21" s="173"/>
      <c r="L21" s="171"/>
      <c r="M21" s="169"/>
    </row>
    <row r="22" spans="1:13" x14ac:dyDescent="0.45">
      <c r="A22" s="1"/>
      <c r="B22" s="170"/>
      <c r="C22" s="179" t="s">
        <v>225</v>
      </c>
      <c r="D22" s="3"/>
      <c r="E22" s="180"/>
      <c r="G22" s="186"/>
      <c r="H22" s="181"/>
      <c r="I22" s="186"/>
      <c r="J22" s="181"/>
      <c r="K22" s="2"/>
      <c r="L22" s="171"/>
      <c r="M22" s="169"/>
    </row>
    <row r="23" spans="1:13" x14ac:dyDescent="0.45">
      <c r="A23" s="1"/>
      <c r="B23" s="170"/>
      <c r="C23" s="179"/>
      <c r="D23" s="3" t="s">
        <v>216</v>
      </c>
      <c r="E23" s="180" t="s">
        <v>217</v>
      </c>
      <c r="F23" s="183">
        <v>1458075</v>
      </c>
      <c r="G23" s="159">
        <v>50</v>
      </c>
      <c r="H23" s="92">
        <v>29161</v>
      </c>
      <c r="I23" s="172">
        <v>37.5</v>
      </c>
      <c r="J23" s="92">
        <f>F23/I23</f>
        <v>38882</v>
      </c>
      <c r="K23" s="18">
        <f>J23-H23</f>
        <v>9721</v>
      </c>
      <c r="L23" s="171"/>
      <c r="M23" s="169"/>
    </row>
    <row r="24" spans="1:13" x14ac:dyDescent="0.45">
      <c r="A24" s="1"/>
      <c r="B24" s="170"/>
      <c r="C24" s="3"/>
      <c r="D24" s="3" t="s">
        <v>226</v>
      </c>
      <c r="E24" s="180"/>
      <c r="G24" s="186"/>
      <c r="H24" s="92"/>
      <c r="I24" s="172">
        <v>10</v>
      </c>
      <c r="J24" s="181">
        <f>F24/I24</f>
        <v>0</v>
      </c>
      <c r="K24" s="18">
        <f>J24-H24</f>
        <v>0</v>
      </c>
      <c r="L24" s="171"/>
      <c r="M24" s="169"/>
    </row>
    <row r="25" spans="1:13" x14ac:dyDescent="0.45">
      <c r="A25" s="1"/>
      <c r="B25" s="170"/>
      <c r="C25" s="3"/>
      <c r="D25" s="3" t="s">
        <v>227</v>
      </c>
      <c r="E25" s="180" t="s">
        <v>217</v>
      </c>
      <c r="F25" s="161">
        <v>737360</v>
      </c>
      <c r="G25" s="186">
        <v>50</v>
      </c>
      <c r="H25" s="92">
        <v>14403</v>
      </c>
      <c r="I25" s="172">
        <v>20</v>
      </c>
      <c r="J25" s="181">
        <f>F25/I25</f>
        <v>36868</v>
      </c>
      <c r="K25" s="18">
        <f>J25-H25</f>
        <v>22465</v>
      </c>
      <c r="L25" s="171"/>
      <c r="M25" s="169"/>
    </row>
    <row r="26" spans="1:13" x14ac:dyDescent="0.45">
      <c r="A26" s="1"/>
      <c r="B26" s="170"/>
      <c r="C26" s="173"/>
      <c r="D26" s="173"/>
      <c r="E26" s="173"/>
      <c r="G26" s="186"/>
      <c r="H26" s="181"/>
      <c r="I26" s="186"/>
      <c r="J26" s="181"/>
      <c r="K26" s="2"/>
      <c r="L26" s="171"/>
      <c r="M26" s="169"/>
    </row>
    <row r="27" spans="1:13" x14ac:dyDescent="0.45">
      <c r="A27" s="1"/>
      <c r="B27" s="170"/>
      <c r="C27" s="179" t="s">
        <v>228</v>
      </c>
      <c r="D27" s="3"/>
      <c r="E27" s="180"/>
      <c r="G27" s="172"/>
      <c r="H27" s="181"/>
      <c r="I27" s="172"/>
      <c r="J27" s="181"/>
      <c r="K27" s="2"/>
      <c r="L27" s="171"/>
      <c r="M27" s="169"/>
    </row>
    <row r="28" spans="1:13" x14ac:dyDescent="0.45">
      <c r="A28" s="1"/>
      <c r="B28" s="170"/>
      <c r="C28" s="179"/>
      <c r="D28" s="3" t="s">
        <v>229</v>
      </c>
      <c r="E28" s="180" t="s">
        <v>217</v>
      </c>
      <c r="F28" s="183">
        <v>43860</v>
      </c>
      <c r="G28" s="159">
        <v>50</v>
      </c>
      <c r="H28" s="92">
        <v>877</v>
      </c>
      <c r="I28" s="172">
        <v>50</v>
      </c>
      <c r="J28" s="92">
        <f>H28</f>
        <v>877</v>
      </c>
      <c r="K28" s="18">
        <f>J28-H28</f>
        <v>0</v>
      </c>
      <c r="L28" s="171"/>
      <c r="M28" s="169"/>
    </row>
    <row r="29" spans="1:13" x14ac:dyDescent="0.45">
      <c r="A29" s="1"/>
      <c r="B29" s="170"/>
      <c r="C29" s="179"/>
      <c r="D29" s="3" t="s">
        <v>230</v>
      </c>
      <c r="E29" s="180" t="s">
        <v>217</v>
      </c>
      <c r="F29" s="182">
        <v>13053989</v>
      </c>
      <c r="G29" s="159">
        <v>50</v>
      </c>
      <c r="H29" s="92">
        <v>260876</v>
      </c>
      <c r="I29" s="172">
        <v>62.5</v>
      </c>
      <c r="J29" s="92">
        <f t="shared" ref="J29:J34" si="4">F29/I29</f>
        <v>208863.82399999999</v>
      </c>
      <c r="K29" s="18">
        <f t="shared" ref="K29:K34" si="5">J29-H29</f>
        <v>-52012.176000000007</v>
      </c>
      <c r="L29" s="171"/>
      <c r="M29" s="169"/>
    </row>
    <row r="30" spans="1:13" x14ac:dyDescent="0.45">
      <c r="A30" s="1"/>
      <c r="B30" s="170"/>
      <c r="C30" s="179"/>
      <c r="D30" s="3" t="s">
        <v>231</v>
      </c>
      <c r="E30" s="180" t="s">
        <v>217</v>
      </c>
      <c r="F30" s="183">
        <v>3028410</v>
      </c>
      <c r="G30" s="159" t="s">
        <v>217</v>
      </c>
      <c r="H30" s="92">
        <v>132584</v>
      </c>
      <c r="I30" s="172">
        <v>15</v>
      </c>
      <c r="J30" s="92">
        <f t="shared" si="4"/>
        <v>201894</v>
      </c>
      <c r="K30" s="18">
        <f t="shared" si="5"/>
        <v>69310</v>
      </c>
      <c r="L30" s="171"/>
      <c r="M30" s="169"/>
    </row>
    <row r="31" spans="1:13" x14ac:dyDescent="0.45">
      <c r="A31" s="1"/>
      <c r="B31" s="170"/>
      <c r="C31" s="179"/>
      <c r="D31" s="3" t="s">
        <v>232</v>
      </c>
      <c r="E31" s="180"/>
      <c r="F31" s="183"/>
      <c r="G31" s="159"/>
      <c r="H31" s="92"/>
      <c r="I31" s="172">
        <v>20</v>
      </c>
      <c r="J31" s="92">
        <f t="shared" si="4"/>
        <v>0</v>
      </c>
      <c r="K31" s="18">
        <f t="shared" si="5"/>
        <v>0</v>
      </c>
      <c r="L31" s="171"/>
      <c r="M31" s="169"/>
    </row>
    <row r="32" spans="1:13" x14ac:dyDescent="0.45">
      <c r="A32" s="1"/>
      <c r="B32" s="170"/>
      <c r="C32" s="179"/>
      <c r="D32" s="3" t="s">
        <v>233</v>
      </c>
      <c r="E32" s="180"/>
      <c r="F32" s="183"/>
      <c r="G32" s="159"/>
      <c r="H32" s="92"/>
      <c r="I32" s="172">
        <v>37.5</v>
      </c>
      <c r="J32" s="92">
        <f t="shared" si="4"/>
        <v>0</v>
      </c>
      <c r="K32" s="18">
        <f t="shared" si="5"/>
        <v>0</v>
      </c>
      <c r="L32" s="171"/>
      <c r="M32" s="169"/>
    </row>
    <row r="33" spans="1:14" x14ac:dyDescent="0.45">
      <c r="A33" s="1"/>
      <c r="B33" s="170"/>
      <c r="C33" s="179"/>
      <c r="D33" s="3" t="s">
        <v>234</v>
      </c>
      <c r="E33" s="180" t="s">
        <v>217</v>
      </c>
      <c r="F33" s="183">
        <v>454991</v>
      </c>
      <c r="G33" s="159">
        <v>50</v>
      </c>
      <c r="H33" s="92">
        <v>9100</v>
      </c>
      <c r="I33" s="172">
        <v>40</v>
      </c>
      <c r="J33" s="92">
        <f t="shared" si="4"/>
        <v>11374.775</v>
      </c>
      <c r="K33" s="18">
        <f t="shared" si="5"/>
        <v>2274.7749999999996</v>
      </c>
      <c r="L33" s="171"/>
      <c r="M33" s="169"/>
    </row>
    <row r="34" spans="1:14" x14ac:dyDescent="0.45">
      <c r="A34" s="1"/>
      <c r="B34" s="170"/>
      <c r="C34" s="179"/>
      <c r="D34" s="3" t="s">
        <v>235</v>
      </c>
      <c r="E34" s="180" t="s">
        <v>217</v>
      </c>
      <c r="F34" s="182">
        <v>3472273</v>
      </c>
      <c r="G34" s="159" t="s">
        <v>217</v>
      </c>
      <c r="H34" s="92">
        <v>79170</v>
      </c>
      <c r="I34" s="172">
        <v>45</v>
      </c>
      <c r="J34" s="92">
        <f t="shared" si="4"/>
        <v>77161.622222222228</v>
      </c>
      <c r="K34" s="18">
        <f t="shared" si="5"/>
        <v>-2008.3777777777723</v>
      </c>
      <c r="L34" s="171"/>
      <c r="M34" s="169"/>
    </row>
    <row r="35" spans="1:14" x14ac:dyDescent="0.45">
      <c r="A35" s="1"/>
      <c r="B35" s="170"/>
      <c r="C35" s="179"/>
      <c r="E35" s="180"/>
      <c r="G35" s="186"/>
      <c r="H35" s="181"/>
      <c r="I35" s="186"/>
      <c r="J35" s="181"/>
      <c r="K35" s="18"/>
      <c r="L35" s="171"/>
      <c r="M35" s="169"/>
    </row>
    <row r="36" spans="1:14" x14ac:dyDescent="0.45">
      <c r="A36" s="1"/>
      <c r="B36" s="170"/>
      <c r="C36" s="179" t="s">
        <v>236</v>
      </c>
      <c r="E36" s="180"/>
      <c r="G36" s="172"/>
      <c r="H36" s="181"/>
      <c r="I36" s="187"/>
      <c r="J36" s="181"/>
      <c r="K36" s="2"/>
      <c r="L36" s="171"/>
      <c r="M36" s="169"/>
    </row>
    <row r="37" spans="1:14" x14ac:dyDescent="0.45">
      <c r="A37" s="1"/>
      <c r="B37" s="170"/>
      <c r="C37" s="3"/>
      <c r="D37" s="1" t="s">
        <v>237</v>
      </c>
      <c r="E37" s="180" t="s">
        <v>217</v>
      </c>
      <c r="F37" s="161">
        <f>29154+6786+16990+39503+130000+99685</f>
        <v>322118</v>
      </c>
      <c r="G37" s="172">
        <v>5</v>
      </c>
      <c r="H37" s="181">
        <v>57778</v>
      </c>
      <c r="I37" s="187">
        <v>7</v>
      </c>
      <c r="J37" s="181">
        <f>F37/I37</f>
        <v>46016.857142857145</v>
      </c>
      <c r="K37" s="2">
        <f>J37-H37</f>
        <v>-11761.142857142855</v>
      </c>
      <c r="L37" s="171"/>
      <c r="M37" s="169"/>
    </row>
    <row r="38" spans="1:14" x14ac:dyDescent="0.45">
      <c r="A38" s="1"/>
      <c r="B38" s="170"/>
      <c r="C38" s="3"/>
      <c r="D38" s="3"/>
      <c r="E38" s="3"/>
      <c r="G38" s="2"/>
      <c r="H38" s="92"/>
      <c r="I38" s="2"/>
      <c r="J38" s="188"/>
      <c r="K38" s="2"/>
      <c r="L38" s="171"/>
      <c r="M38" s="169"/>
    </row>
    <row r="39" spans="1:14" x14ac:dyDescent="0.45">
      <c r="A39" s="1"/>
      <c r="B39" s="170"/>
      <c r="C39" s="189" t="s">
        <v>64</v>
      </c>
      <c r="F39" s="190">
        <f>SUM(F12:F38)</f>
        <v>23385587</v>
      </c>
      <c r="G39" s="191"/>
      <c r="H39" s="190">
        <f>SUM(H12:H38)</f>
        <v>680676.04</v>
      </c>
      <c r="I39" s="192"/>
      <c r="J39" s="190">
        <f>SUM(J12:J38)</f>
        <v>656010.99963492074</v>
      </c>
      <c r="K39" s="192">
        <f>SUM(K12:K38)</f>
        <v>-24665.040365079352</v>
      </c>
      <c r="L39" s="171"/>
      <c r="M39" s="169"/>
      <c r="N39" s="15"/>
    </row>
    <row r="40" spans="1:14" x14ac:dyDescent="0.45">
      <c r="A40" s="1"/>
      <c r="B40" s="193"/>
      <c r="C40" s="194"/>
      <c r="D40" s="194"/>
      <c r="E40" s="194"/>
      <c r="F40" s="195"/>
      <c r="G40" s="194"/>
      <c r="H40" s="196"/>
      <c r="I40" s="194"/>
      <c r="J40" s="196"/>
      <c r="K40" s="194"/>
      <c r="L40" s="197"/>
      <c r="M40" s="198"/>
    </row>
    <row r="41" spans="1:14" x14ac:dyDescent="0.45">
      <c r="A41" s="1"/>
      <c r="B41" s="1"/>
      <c r="C41" s="3"/>
      <c r="D41" s="3"/>
      <c r="E41" s="3"/>
      <c r="G41" s="3"/>
      <c r="H41" s="188"/>
      <c r="I41" s="3"/>
      <c r="J41" s="188"/>
      <c r="K41" s="3"/>
      <c r="L41" s="3"/>
      <c r="M41" s="3"/>
    </row>
    <row r="42" spans="1:14" x14ac:dyDescent="0.45">
      <c r="D42" s="3" t="s">
        <v>238</v>
      </c>
    </row>
    <row r="43" spans="1:14" x14ac:dyDescent="0.45">
      <c r="D43" s="3"/>
    </row>
    <row r="45" spans="1:14" x14ac:dyDescent="0.45">
      <c r="D45" s="1" t="s">
        <v>239</v>
      </c>
      <c r="F45" s="161">
        <f>J39</f>
        <v>656010.99963492074</v>
      </c>
    </row>
    <row r="46" spans="1:14" ht="17.649999999999999" x14ac:dyDescent="0.75">
      <c r="D46" s="1" t="s">
        <v>240</v>
      </c>
      <c r="F46" s="200">
        <f>SAO!E36</f>
        <v>680676</v>
      </c>
      <c r="J46" s="201"/>
    </row>
    <row r="47" spans="1:14" x14ac:dyDescent="0.45">
      <c r="D47" s="1" t="s">
        <v>241</v>
      </c>
      <c r="F47" s="161">
        <f>F45-F46</f>
        <v>-24665.000365079264</v>
      </c>
      <c r="G47" s="15" t="s">
        <v>415</v>
      </c>
    </row>
    <row r="49" spans="6:11" x14ac:dyDescent="0.45">
      <c r="F49" s="190"/>
      <c r="G49" s="191"/>
      <c r="H49" s="190"/>
      <c r="I49" s="192"/>
      <c r="J49" s="190"/>
      <c r="K49" s="192"/>
    </row>
  </sheetData>
  <mergeCells count="5">
    <mergeCell ref="C3:K3"/>
    <mergeCell ref="C4:K4"/>
    <mergeCell ref="C5:K5"/>
    <mergeCell ref="G9:H9"/>
    <mergeCell ref="I9:J9"/>
  </mergeCells>
  <printOptions horizontalCentered="1" verticalCentered="1"/>
  <pageMargins left="0.2" right="0.2" top="0.25" bottom="0.25" header="0" footer="0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AF29"/>
  <sheetViews>
    <sheetView workbookViewId="0">
      <selection activeCell="C27" sqref="C27"/>
    </sheetView>
  </sheetViews>
  <sheetFormatPr defaultRowHeight="15.4" x14ac:dyDescent="0.45"/>
  <cols>
    <col min="1" max="1" width="1.77734375" customWidth="1"/>
    <col min="2" max="2" width="20.77734375" bestFit="1" customWidth="1"/>
    <col min="3" max="10" width="7.77734375" customWidth="1"/>
    <col min="11" max="11" width="9.5546875" customWidth="1"/>
    <col min="12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  <col min="17" max="17" width="9" style="218" bestFit="1" customWidth="1"/>
    <col min="18" max="18" width="8.88671875" style="218" bestFit="1" customWidth="1"/>
  </cols>
  <sheetData>
    <row r="1" spans="2:32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2:32" x14ac:dyDescent="0.45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12"/>
      <c r="P2" s="12"/>
    </row>
    <row r="3" spans="2:32" ht="18" x14ac:dyDescent="0.55000000000000004">
      <c r="B3" s="41" t="s">
        <v>252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3"/>
      <c r="O3" s="12"/>
      <c r="P3" s="12"/>
    </row>
    <row r="4" spans="2:32" ht="18" x14ac:dyDescent="0.55000000000000004">
      <c r="B4" s="43" t="s">
        <v>91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33"/>
      <c r="O4" s="12"/>
      <c r="P4" s="12"/>
    </row>
    <row r="5" spans="2:32" ht="15.75" x14ac:dyDescent="0.45">
      <c r="B5" s="45" t="s">
        <v>179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3"/>
      <c r="O5" s="12"/>
      <c r="P5" s="12"/>
      <c r="X5" s="160">
        <v>0.03</v>
      </c>
      <c r="Y5">
        <v>797000</v>
      </c>
      <c r="AD5" s="160">
        <v>4.4999999999999998E-2</v>
      </c>
      <c r="AE5">
        <v>1614000</v>
      </c>
    </row>
    <row r="6" spans="2:32" ht="15.75" x14ac:dyDescent="0.5">
      <c r="B6" s="46" t="s">
        <v>183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33"/>
      <c r="O6" s="12"/>
      <c r="P6" s="12"/>
    </row>
    <row r="7" spans="2:32" x14ac:dyDescent="0.45">
      <c r="B7" s="48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3"/>
      <c r="O7" s="12"/>
      <c r="P7" s="12"/>
    </row>
    <row r="8" spans="2:32" x14ac:dyDescent="0.45">
      <c r="B8" s="49"/>
      <c r="C8" s="50"/>
      <c r="D8" s="51"/>
      <c r="E8" s="50"/>
      <c r="F8" s="52"/>
      <c r="G8" s="50"/>
      <c r="H8" s="52"/>
      <c r="I8" s="50"/>
      <c r="J8" s="52"/>
      <c r="K8" s="50"/>
      <c r="L8" s="52"/>
      <c r="M8" s="51"/>
      <c r="N8" s="40"/>
      <c r="O8" s="12"/>
      <c r="P8" s="12"/>
      <c r="Q8" s="431"/>
      <c r="R8" s="432"/>
      <c r="V8">
        <v>2015</v>
      </c>
      <c r="W8">
        <f>(Y5*X5)/2</f>
        <v>11955</v>
      </c>
      <c r="X8">
        <v>11500</v>
      </c>
      <c r="Y8">
        <f>(($Y$5-X8)*$X$5)/2</f>
        <v>11782.5</v>
      </c>
      <c r="Z8">
        <f>$Y$5-X8</f>
        <v>785500</v>
      </c>
      <c r="AB8">
        <v>2009</v>
      </c>
      <c r="AC8">
        <f>(AE5*AD5)/2</f>
        <v>36315</v>
      </c>
      <c r="AD8">
        <v>17000</v>
      </c>
      <c r="AE8">
        <f>(($AE$5-AD8)*$AD$5)/2</f>
        <v>35932.5</v>
      </c>
      <c r="AF8">
        <f>AE5-AD8</f>
        <v>1597000</v>
      </c>
    </row>
    <row r="9" spans="2:32" ht="16.5" x14ac:dyDescent="0.45">
      <c r="B9" s="53"/>
      <c r="C9" s="472" t="s">
        <v>92</v>
      </c>
      <c r="D9" s="473"/>
      <c r="E9" s="472" t="s">
        <v>93</v>
      </c>
      <c r="F9" s="473"/>
      <c r="G9" s="472" t="s">
        <v>150</v>
      </c>
      <c r="H9" s="473"/>
      <c r="I9" s="472" t="s">
        <v>181</v>
      </c>
      <c r="J9" s="473"/>
      <c r="K9" s="472" t="s">
        <v>182</v>
      </c>
      <c r="L9" s="473"/>
      <c r="M9" s="12"/>
      <c r="N9" s="33"/>
      <c r="O9" s="12"/>
      <c r="P9" s="12"/>
      <c r="Q9" s="472" t="s">
        <v>453</v>
      </c>
      <c r="R9" s="473"/>
      <c r="V9">
        <v>2016</v>
      </c>
      <c r="W9">
        <f>Y8</f>
        <v>11782.5</v>
      </c>
      <c r="X9">
        <v>12000</v>
      </c>
      <c r="Y9">
        <f>(Z9*$X$5)/2</f>
        <v>11602.5</v>
      </c>
      <c r="Z9">
        <f>Z8-X9</f>
        <v>773500</v>
      </c>
      <c r="AB9">
        <v>2010</v>
      </c>
      <c r="AC9">
        <f>AE8</f>
        <v>35932.5</v>
      </c>
      <c r="AD9">
        <v>17500</v>
      </c>
      <c r="AE9">
        <f>(AF9*$AD$5)/2</f>
        <v>35538.75</v>
      </c>
      <c r="AF9">
        <f>AF8-AD9</f>
        <v>1579500</v>
      </c>
    </row>
    <row r="10" spans="2:32" ht="16.5" x14ac:dyDescent="0.45">
      <c r="B10" s="53"/>
      <c r="C10" s="54"/>
      <c r="D10" s="55" t="s">
        <v>94</v>
      </c>
      <c r="E10" s="56"/>
      <c r="F10" s="55" t="s">
        <v>94</v>
      </c>
      <c r="G10" s="56"/>
      <c r="H10" s="55" t="s">
        <v>94</v>
      </c>
      <c r="I10" s="56"/>
      <c r="J10" s="55" t="s">
        <v>94</v>
      </c>
      <c r="K10" s="56"/>
      <c r="L10" s="55" t="s">
        <v>94</v>
      </c>
      <c r="M10" s="12"/>
      <c r="N10" s="33"/>
      <c r="O10" s="12"/>
      <c r="P10" s="12"/>
      <c r="Q10" s="433"/>
      <c r="R10" s="55" t="s">
        <v>94</v>
      </c>
      <c r="V10">
        <v>2017</v>
      </c>
      <c r="W10">
        <f t="shared" ref="W10:W23" si="0">Y9</f>
        <v>11602.5</v>
      </c>
      <c r="X10">
        <v>12000</v>
      </c>
      <c r="Y10">
        <f t="shared" ref="Y10:Y23" si="1">(Z10*$X$5)/2</f>
        <v>11422.5</v>
      </c>
      <c r="Z10">
        <f t="shared" ref="Z10:Z23" si="2">Z9-X10</f>
        <v>761500</v>
      </c>
      <c r="AB10">
        <v>2011</v>
      </c>
      <c r="AC10">
        <f t="shared" ref="AC10:AC29" si="3">AE9</f>
        <v>35538.75</v>
      </c>
      <c r="AD10">
        <v>18500</v>
      </c>
      <c r="AE10">
        <f t="shared" ref="AE10:AE29" si="4">(AF10*$AD$5)/2</f>
        <v>35122.5</v>
      </c>
      <c r="AF10">
        <f t="shared" ref="AF10:AF29" si="5">AF9-AD10</f>
        <v>1561000</v>
      </c>
    </row>
    <row r="11" spans="2:32" ht="16.5" x14ac:dyDescent="0.45">
      <c r="B11" s="53"/>
      <c r="C11" s="54" t="s">
        <v>95</v>
      </c>
      <c r="D11" s="57" t="s">
        <v>96</v>
      </c>
      <c r="E11" s="54" t="s">
        <v>95</v>
      </c>
      <c r="F11" s="57" t="s">
        <v>96</v>
      </c>
      <c r="G11" s="54" t="s">
        <v>95</v>
      </c>
      <c r="H11" s="57" t="s">
        <v>96</v>
      </c>
      <c r="I11" s="54" t="s">
        <v>95</v>
      </c>
      <c r="J11" s="57" t="s">
        <v>96</v>
      </c>
      <c r="K11" s="54" t="s">
        <v>95</v>
      </c>
      <c r="L11" s="57" t="s">
        <v>96</v>
      </c>
      <c r="M11" s="58" t="s">
        <v>64</v>
      </c>
      <c r="N11" s="33"/>
      <c r="O11" s="12"/>
      <c r="P11" s="12"/>
      <c r="Q11" s="426" t="s">
        <v>95</v>
      </c>
      <c r="R11" s="57" t="s">
        <v>96</v>
      </c>
      <c r="V11">
        <v>2018</v>
      </c>
      <c r="W11">
        <f t="shared" si="0"/>
        <v>11422.5</v>
      </c>
      <c r="X11">
        <v>12500</v>
      </c>
      <c r="Y11">
        <f t="shared" si="1"/>
        <v>11235</v>
      </c>
      <c r="Z11">
        <f t="shared" si="2"/>
        <v>749000</v>
      </c>
      <c r="AB11">
        <v>2012</v>
      </c>
      <c r="AC11">
        <f t="shared" si="3"/>
        <v>35122.5</v>
      </c>
      <c r="AD11">
        <v>19000</v>
      </c>
      <c r="AE11">
        <f t="shared" si="4"/>
        <v>34695</v>
      </c>
      <c r="AF11">
        <f t="shared" si="5"/>
        <v>1542000</v>
      </c>
    </row>
    <row r="12" spans="2:32" x14ac:dyDescent="0.45">
      <c r="B12" s="59" t="s">
        <v>180</v>
      </c>
      <c r="C12" s="60">
        <f>53199.39+53731.37</f>
        <v>106930.76000000001</v>
      </c>
      <c r="D12" s="61">
        <f>21416.81+20881.85+2677.11+2610.61</f>
        <v>47586.380000000005</v>
      </c>
      <c r="E12" s="60">
        <f>54268.68+54811.37</f>
        <v>109080.05</v>
      </c>
      <c r="F12" s="62">
        <f>20347.54+19804.85+2543.44+2475.61</f>
        <v>45171.44</v>
      </c>
      <c r="G12" s="60">
        <f>55359.49+55913.08</f>
        <v>111272.57</v>
      </c>
      <c r="H12" s="62">
        <f>19256.73+18703.14+2407.09+2337.89</f>
        <v>42704.849999999991</v>
      </c>
      <c r="I12" s="60">
        <f>56472.21+57036.93</f>
        <v>113509.14</v>
      </c>
      <c r="J12" s="62">
        <f>18144.01+17579.29+2268+2197.41</f>
        <v>40188.710000000006</v>
      </c>
      <c r="K12" s="132">
        <f>57607.3+58183.38</f>
        <v>115790.68</v>
      </c>
      <c r="L12" s="133">
        <f>17008.92+16432.84+2126.11+2054.11</f>
        <v>37621.979999999996</v>
      </c>
      <c r="M12" s="63">
        <f>SUM(C12:L12)</f>
        <v>769856.55999999982</v>
      </c>
      <c r="N12" s="33"/>
      <c r="O12" s="12"/>
      <c r="P12" s="145"/>
      <c r="Q12" s="434">
        <f>58765+59353</f>
        <v>118118</v>
      </c>
      <c r="R12" s="435">
        <f>15861+15263+1981+1908</f>
        <v>35013</v>
      </c>
      <c r="V12">
        <v>2019</v>
      </c>
      <c r="W12">
        <f t="shared" si="0"/>
        <v>11235</v>
      </c>
      <c r="X12">
        <v>13000</v>
      </c>
      <c r="Y12">
        <f t="shared" si="1"/>
        <v>11040</v>
      </c>
      <c r="Z12">
        <f t="shared" si="2"/>
        <v>736000</v>
      </c>
      <c r="AB12">
        <v>2013</v>
      </c>
      <c r="AC12">
        <f t="shared" si="3"/>
        <v>34695</v>
      </c>
      <c r="AD12">
        <v>20000</v>
      </c>
      <c r="AE12">
        <f t="shared" si="4"/>
        <v>34245</v>
      </c>
      <c r="AF12">
        <f t="shared" si="5"/>
        <v>1522000</v>
      </c>
    </row>
    <row r="13" spans="2:32" x14ac:dyDescent="0.45">
      <c r="B13" s="59" t="s">
        <v>201</v>
      </c>
      <c r="C13" s="60">
        <v>34000</v>
      </c>
      <c r="D13" s="61">
        <f>AC24+AE24</f>
        <v>54652.5</v>
      </c>
      <c r="E13" s="60">
        <v>35500</v>
      </c>
      <c r="F13" s="159">
        <f>AC25+AE25</f>
        <v>53088.75</v>
      </c>
      <c r="G13" s="60">
        <v>37000</v>
      </c>
      <c r="H13" s="159">
        <f>AC26+AE26</f>
        <v>51457.5</v>
      </c>
      <c r="I13" s="60">
        <v>39000</v>
      </c>
      <c r="J13" s="159">
        <f>AC27+AE27</f>
        <v>49747.5</v>
      </c>
      <c r="K13" s="132">
        <v>40500</v>
      </c>
      <c r="L13" s="133">
        <f>AC28+AE28</f>
        <v>47958.75</v>
      </c>
      <c r="M13" s="63">
        <f t="shared" ref="M13:M15" si="6">SUM(C13:L13)</f>
        <v>442905</v>
      </c>
      <c r="N13" s="33"/>
      <c r="O13" s="12"/>
      <c r="P13" s="145"/>
      <c r="Q13" s="434">
        <f>AD29</f>
        <v>42500</v>
      </c>
      <c r="R13" s="435">
        <f>AC29++AE29</f>
        <v>46091.25</v>
      </c>
      <c r="V13">
        <v>2020</v>
      </c>
      <c r="W13">
        <f t="shared" si="0"/>
        <v>11040</v>
      </c>
      <c r="X13">
        <v>13500</v>
      </c>
      <c r="Y13">
        <f t="shared" si="1"/>
        <v>10837.5</v>
      </c>
      <c r="Z13">
        <f t="shared" si="2"/>
        <v>722500</v>
      </c>
      <c r="AB13">
        <v>2014</v>
      </c>
      <c r="AC13">
        <f t="shared" si="3"/>
        <v>34245</v>
      </c>
      <c r="AD13">
        <v>21000</v>
      </c>
      <c r="AE13">
        <f t="shared" si="4"/>
        <v>33772.5</v>
      </c>
      <c r="AF13">
        <f t="shared" si="5"/>
        <v>1501000</v>
      </c>
    </row>
    <row r="14" spans="2:32" x14ac:dyDescent="0.45">
      <c r="B14" s="59" t="s">
        <v>202</v>
      </c>
      <c r="C14" s="60">
        <v>15500</v>
      </c>
      <c r="D14" s="61">
        <f>W18+Y18</f>
        <v>19717.5</v>
      </c>
      <c r="E14" s="60">
        <v>16000</v>
      </c>
      <c r="F14" s="159">
        <f>W19+Y19</f>
        <v>19245</v>
      </c>
      <c r="G14" s="60">
        <v>16500</v>
      </c>
      <c r="H14" s="159">
        <f>W20+Y20</f>
        <v>18757.5</v>
      </c>
      <c r="I14" s="60">
        <v>17000</v>
      </c>
      <c r="J14" s="159">
        <f>W21+Y21</f>
        <v>18255</v>
      </c>
      <c r="K14" s="132">
        <v>17500</v>
      </c>
      <c r="L14" s="133">
        <f>W22+Y22</f>
        <v>17737.5</v>
      </c>
      <c r="M14" s="63">
        <f t="shared" si="6"/>
        <v>176212.5</v>
      </c>
      <c r="N14" s="33"/>
      <c r="O14" s="12"/>
      <c r="P14" s="145"/>
      <c r="Q14" s="434">
        <f>X23</f>
        <v>18000</v>
      </c>
      <c r="R14" s="435">
        <f>W23+Y23</f>
        <v>17205</v>
      </c>
      <c r="V14">
        <v>2021</v>
      </c>
      <c r="W14">
        <f t="shared" si="0"/>
        <v>10837.5</v>
      </c>
      <c r="X14">
        <v>14000</v>
      </c>
      <c r="Y14">
        <f t="shared" si="1"/>
        <v>10627.5</v>
      </c>
      <c r="Z14">
        <f t="shared" si="2"/>
        <v>708500</v>
      </c>
      <c r="AB14">
        <v>2015</v>
      </c>
      <c r="AC14">
        <f t="shared" si="3"/>
        <v>33772.5</v>
      </c>
      <c r="AD14">
        <v>22000</v>
      </c>
      <c r="AE14">
        <f t="shared" si="4"/>
        <v>33277.5</v>
      </c>
      <c r="AF14">
        <f t="shared" si="5"/>
        <v>1479000</v>
      </c>
    </row>
    <row r="15" spans="2:32" x14ac:dyDescent="0.45">
      <c r="B15" s="59" t="s">
        <v>203</v>
      </c>
      <c r="C15" s="60">
        <v>120000</v>
      </c>
      <c r="D15" s="61">
        <f>34281.88+32121.88+450</f>
        <v>66853.759999999995</v>
      </c>
      <c r="E15" s="60">
        <v>125000</v>
      </c>
      <c r="F15" s="159">
        <f>32121.88+29871.88+450</f>
        <v>62443.76</v>
      </c>
      <c r="G15" s="60">
        <v>130000</v>
      </c>
      <c r="H15" s="159">
        <f>29871.88+27466.88+450</f>
        <v>57788.76</v>
      </c>
      <c r="I15" s="60">
        <v>135000</v>
      </c>
      <c r="J15" s="159">
        <f>27466.88+24969.38+450</f>
        <v>52886.26</v>
      </c>
      <c r="K15" s="132">
        <v>140000</v>
      </c>
      <c r="L15" s="133">
        <f>24969.38+22379.38+450</f>
        <v>47798.76</v>
      </c>
      <c r="M15" s="63">
        <f t="shared" si="6"/>
        <v>937771.3</v>
      </c>
      <c r="N15" s="33"/>
      <c r="O15" s="12"/>
      <c r="P15" s="145"/>
      <c r="Q15" s="434">
        <v>130000</v>
      </c>
      <c r="R15" s="435">
        <f>450+22380+19893</f>
        <v>42723</v>
      </c>
      <c r="V15">
        <v>2022</v>
      </c>
      <c r="W15">
        <f t="shared" si="0"/>
        <v>10627.5</v>
      </c>
      <c r="X15">
        <v>14000</v>
      </c>
      <c r="Y15">
        <f t="shared" si="1"/>
        <v>10417.5</v>
      </c>
      <c r="Z15">
        <f t="shared" si="2"/>
        <v>694500</v>
      </c>
      <c r="AB15">
        <v>2016</v>
      </c>
      <c r="AC15">
        <f t="shared" si="3"/>
        <v>33277.5</v>
      </c>
      <c r="AD15">
        <v>23000</v>
      </c>
      <c r="AE15">
        <f t="shared" si="4"/>
        <v>32760</v>
      </c>
      <c r="AF15">
        <f t="shared" si="5"/>
        <v>1456000</v>
      </c>
    </row>
    <row r="16" spans="2:32" x14ac:dyDescent="0.45">
      <c r="B16" s="59" t="s">
        <v>416</v>
      </c>
      <c r="C16" s="60">
        <v>31024</v>
      </c>
      <c r="D16" s="61">
        <v>8750</v>
      </c>
      <c r="E16" s="60">
        <v>31412</v>
      </c>
      <c r="F16" s="159">
        <v>8362</v>
      </c>
      <c r="G16" s="60">
        <v>31805</v>
      </c>
      <c r="H16" s="159">
        <v>7970</v>
      </c>
      <c r="I16" s="60">
        <v>32202</v>
      </c>
      <c r="J16" s="159">
        <v>7572</v>
      </c>
      <c r="K16" s="132">
        <v>32605</v>
      </c>
      <c r="L16" s="133">
        <v>7169</v>
      </c>
      <c r="M16" s="63">
        <f>SUM(C16:L16)</f>
        <v>198871</v>
      </c>
      <c r="N16" s="33"/>
      <c r="O16" s="12"/>
      <c r="P16" s="145"/>
      <c r="Q16" s="434">
        <f>[1]Sheet1!$C$19</f>
        <v>540951.82304090005</v>
      </c>
      <c r="R16" s="435">
        <f>[1]Sheet1!$D$19</f>
        <v>33012.37495425182</v>
      </c>
      <c r="V16">
        <v>2023</v>
      </c>
      <c r="W16">
        <f t="shared" si="0"/>
        <v>10417.5</v>
      </c>
      <c r="X16">
        <v>14500</v>
      </c>
      <c r="Y16">
        <f t="shared" si="1"/>
        <v>10200</v>
      </c>
      <c r="Z16">
        <f t="shared" si="2"/>
        <v>680000</v>
      </c>
      <c r="AB16">
        <v>2017</v>
      </c>
      <c r="AC16">
        <f t="shared" si="3"/>
        <v>32760</v>
      </c>
      <c r="AD16">
        <v>24000</v>
      </c>
      <c r="AE16">
        <f t="shared" si="4"/>
        <v>32220</v>
      </c>
      <c r="AF16">
        <f t="shared" si="5"/>
        <v>1432000</v>
      </c>
    </row>
    <row r="17" spans="2:32" x14ac:dyDescent="0.45">
      <c r="B17" s="64"/>
      <c r="C17" s="65"/>
      <c r="D17" s="66"/>
      <c r="E17" s="65"/>
      <c r="F17" s="66"/>
      <c r="G17" s="65"/>
      <c r="H17" s="66"/>
      <c r="I17" s="65"/>
      <c r="J17" s="66"/>
      <c r="K17" s="65"/>
      <c r="L17" s="67"/>
      <c r="M17" s="63"/>
      <c r="N17" s="33"/>
      <c r="O17" s="12"/>
      <c r="P17" s="145"/>
      <c r="Q17" s="259"/>
      <c r="R17" s="266"/>
      <c r="V17">
        <v>2024</v>
      </c>
      <c r="W17">
        <f t="shared" si="0"/>
        <v>10200</v>
      </c>
      <c r="X17">
        <v>15000</v>
      </c>
      <c r="Y17">
        <f t="shared" si="1"/>
        <v>9975</v>
      </c>
      <c r="Z17">
        <f t="shared" si="2"/>
        <v>665000</v>
      </c>
      <c r="AB17">
        <v>2018</v>
      </c>
      <c r="AC17">
        <f t="shared" si="3"/>
        <v>32220</v>
      </c>
      <c r="AD17">
        <v>25000</v>
      </c>
      <c r="AE17">
        <f t="shared" si="4"/>
        <v>31657.5</v>
      </c>
      <c r="AF17">
        <f t="shared" si="5"/>
        <v>1407000</v>
      </c>
    </row>
    <row r="18" spans="2:32" x14ac:dyDescent="0.45">
      <c r="B18" s="34" t="s">
        <v>64</v>
      </c>
      <c r="C18" s="68">
        <f t="shared" ref="C18:M18" si="7">SUM(C12:C17)</f>
        <v>307454.76</v>
      </c>
      <c r="D18" s="69">
        <f t="shared" si="7"/>
        <v>197560.14</v>
      </c>
      <c r="E18" s="68">
        <f t="shared" si="7"/>
        <v>316992.05</v>
      </c>
      <c r="F18" s="70">
        <f t="shared" si="7"/>
        <v>188310.95</v>
      </c>
      <c r="G18" s="68">
        <f t="shared" si="7"/>
        <v>326577.57</v>
      </c>
      <c r="H18" s="70">
        <f t="shared" si="7"/>
        <v>178678.61</v>
      </c>
      <c r="I18" s="68">
        <f t="shared" si="7"/>
        <v>336711.14</v>
      </c>
      <c r="J18" s="70">
        <f t="shared" si="7"/>
        <v>168649.47</v>
      </c>
      <c r="K18" s="68">
        <f t="shared" si="7"/>
        <v>346395.68</v>
      </c>
      <c r="L18" s="70">
        <f t="shared" si="7"/>
        <v>158285.99</v>
      </c>
      <c r="M18" s="71">
        <f t="shared" si="7"/>
        <v>2525616.36</v>
      </c>
      <c r="N18" s="33"/>
      <c r="O18" s="12"/>
      <c r="P18" s="145"/>
      <c r="Q18" s="438">
        <f>SUM(Q12:Q17)</f>
        <v>849569.82304090005</v>
      </c>
      <c r="R18" s="439">
        <f>SUM(R12:R17)</f>
        <v>174044.62495425181</v>
      </c>
      <c r="V18">
        <v>2025</v>
      </c>
      <c r="W18">
        <f t="shared" si="0"/>
        <v>9975</v>
      </c>
      <c r="X18">
        <v>15500</v>
      </c>
      <c r="Y18">
        <f t="shared" si="1"/>
        <v>9742.5</v>
      </c>
      <c r="Z18">
        <f t="shared" si="2"/>
        <v>649500</v>
      </c>
      <c r="AB18">
        <v>2019</v>
      </c>
      <c r="AC18">
        <f t="shared" si="3"/>
        <v>31657.5</v>
      </c>
      <c r="AD18">
        <v>26000</v>
      </c>
      <c r="AE18">
        <f t="shared" si="4"/>
        <v>31072.5</v>
      </c>
      <c r="AF18">
        <f t="shared" si="5"/>
        <v>1381000</v>
      </c>
    </row>
    <row r="19" spans="2:32" x14ac:dyDescent="0.45">
      <c r="B19" s="72"/>
      <c r="C19" s="73"/>
      <c r="D19" s="74"/>
      <c r="E19" s="73"/>
      <c r="F19" s="75"/>
      <c r="G19" s="73"/>
      <c r="H19" s="75"/>
      <c r="I19" s="73"/>
      <c r="J19" s="76"/>
      <c r="K19" s="73"/>
      <c r="L19" s="75"/>
      <c r="M19" s="74"/>
      <c r="N19" s="32"/>
      <c r="O19" s="12"/>
      <c r="P19" s="145"/>
      <c r="Q19" s="436"/>
      <c r="R19" s="437"/>
      <c r="V19">
        <v>2026</v>
      </c>
      <c r="W19">
        <f t="shared" si="0"/>
        <v>9742.5</v>
      </c>
      <c r="X19">
        <v>16000</v>
      </c>
      <c r="Y19">
        <f t="shared" si="1"/>
        <v>9502.5</v>
      </c>
      <c r="Z19">
        <f t="shared" si="2"/>
        <v>633500</v>
      </c>
      <c r="AB19">
        <v>2020</v>
      </c>
      <c r="AC19">
        <f t="shared" si="3"/>
        <v>31072.5</v>
      </c>
      <c r="AD19">
        <v>27500</v>
      </c>
      <c r="AE19">
        <f t="shared" si="4"/>
        <v>30453.75</v>
      </c>
      <c r="AF19">
        <f t="shared" si="5"/>
        <v>1353500</v>
      </c>
    </row>
    <row r="20" spans="2:32" x14ac:dyDescent="0.45">
      <c r="B20" s="77"/>
      <c r="C20" s="78"/>
      <c r="D20" s="78"/>
      <c r="E20" s="78"/>
      <c r="F20" s="78"/>
      <c r="G20" s="78"/>
      <c r="H20" s="78"/>
      <c r="I20" s="78"/>
      <c r="J20" s="79"/>
      <c r="K20" s="79"/>
      <c r="L20" s="79"/>
      <c r="M20" s="78"/>
      <c r="N20" s="33"/>
      <c r="O20" s="12"/>
      <c r="P20" s="145"/>
      <c r="Q20" s="410"/>
      <c r="R20" s="410"/>
      <c r="V20">
        <v>2027</v>
      </c>
      <c r="W20">
        <f t="shared" si="0"/>
        <v>9502.5</v>
      </c>
      <c r="X20">
        <v>16500</v>
      </c>
      <c r="Y20">
        <f t="shared" si="1"/>
        <v>9255</v>
      </c>
      <c r="Z20">
        <f t="shared" si="2"/>
        <v>617000</v>
      </c>
      <c r="AB20">
        <v>2021</v>
      </c>
      <c r="AC20">
        <f t="shared" si="3"/>
        <v>30453.75</v>
      </c>
      <c r="AD20">
        <v>28500</v>
      </c>
      <c r="AE20">
        <f t="shared" si="4"/>
        <v>29812.5</v>
      </c>
      <c r="AF20">
        <f t="shared" si="5"/>
        <v>1325000</v>
      </c>
    </row>
    <row r="21" spans="2:32" x14ac:dyDescent="0.45">
      <c r="B21" s="80"/>
      <c r="C21" s="81"/>
      <c r="D21" s="82"/>
      <c r="E21" s="81"/>
      <c r="F21" s="81"/>
      <c r="G21" s="81"/>
      <c r="H21" s="81"/>
      <c r="I21" s="82" t="s">
        <v>97</v>
      </c>
      <c r="J21" s="12"/>
      <c r="K21" s="83"/>
      <c r="L21" s="84"/>
      <c r="M21" s="81">
        <f>M18/5</f>
        <v>505123.272</v>
      </c>
      <c r="N21" s="33"/>
      <c r="O21" s="12"/>
      <c r="P21" s="145" t="s">
        <v>439</v>
      </c>
      <c r="Q21" s="410"/>
      <c r="R21" s="410"/>
      <c r="V21">
        <v>2028</v>
      </c>
      <c r="W21">
        <f t="shared" si="0"/>
        <v>9255</v>
      </c>
      <c r="X21">
        <v>17000</v>
      </c>
      <c r="Y21">
        <f t="shared" si="1"/>
        <v>9000</v>
      </c>
      <c r="Z21">
        <f t="shared" si="2"/>
        <v>600000</v>
      </c>
      <c r="AB21">
        <v>2022</v>
      </c>
      <c r="AC21">
        <f t="shared" si="3"/>
        <v>29812.5</v>
      </c>
      <c r="AD21">
        <v>30000</v>
      </c>
      <c r="AE21">
        <f t="shared" si="4"/>
        <v>29137.5</v>
      </c>
      <c r="AF21">
        <f t="shared" si="5"/>
        <v>1295000</v>
      </c>
    </row>
    <row r="22" spans="2:32" x14ac:dyDescent="0.45">
      <c r="B22" s="14"/>
      <c r="C22" s="82"/>
      <c r="D22" s="12"/>
      <c r="E22" s="82"/>
      <c r="F22" s="82"/>
      <c r="G22" s="82"/>
      <c r="H22" s="82"/>
      <c r="I22" s="82"/>
      <c r="J22" s="12"/>
      <c r="K22" s="18"/>
      <c r="L22" s="83"/>
      <c r="M22" s="22"/>
      <c r="N22" s="33"/>
      <c r="O22" s="12"/>
      <c r="P22" s="12"/>
      <c r="V22">
        <v>2029</v>
      </c>
      <c r="W22">
        <f t="shared" si="0"/>
        <v>9000</v>
      </c>
      <c r="X22">
        <v>17500</v>
      </c>
      <c r="Y22">
        <f t="shared" si="1"/>
        <v>8737.5</v>
      </c>
      <c r="Z22">
        <f t="shared" si="2"/>
        <v>582500</v>
      </c>
      <c r="AB22">
        <v>2023</v>
      </c>
      <c r="AC22">
        <f t="shared" si="3"/>
        <v>29137.5</v>
      </c>
      <c r="AD22">
        <v>31000</v>
      </c>
      <c r="AE22">
        <f t="shared" si="4"/>
        <v>28440</v>
      </c>
      <c r="AF22">
        <f t="shared" si="5"/>
        <v>1264000</v>
      </c>
    </row>
    <row r="23" spans="2:32" x14ac:dyDescent="0.45">
      <c r="B23" s="80"/>
      <c r="C23" s="82"/>
      <c r="D23" s="82"/>
      <c r="E23" s="82"/>
      <c r="F23" s="82"/>
      <c r="G23" s="82"/>
      <c r="H23" s="82"/>
      <c r="I23" s="82" t="s">
        <v>98</v>
      </c>
      <c r="J23" s="12"/>
      <c r="K23" s="83"/>
      <c r="L23" s="82"/>
      <c r="M23" s="81">
        <f>M21*0.2</f>
        <v>101024.6544</v>
      </c>
      <c r="N23" s="33"/>
      <c r="O23" s="12"/>
      <c r="P23" s="12" t="s">
        <v>440</v>
      </c>
      <c r="V23">
        <v>2030</v>
      </c>
      <c r="W23">
        <f t="shared" si="0"/>
        <v>8737.5</v>
      </c>
      <c r="X23">
        <v>18000</v>
      </c>
      <c r="Y23">
        <f t="shared" si="1"/>
        <v>8467.5</v>
      </c>
      <c r="Z23">
        <f t="shared" si="2"/>
        <v>564500</v>
      </c>
      <c r="AB23">
        <v>2024</v>
      </c>
      <c r="AC23">
        <f t="shared" si="3"/>
        <v>28440</v>
      </c>
      <c r="AD23">
        <v>32500</v>
      </c>
      <c r="AE23">
        <f t="shared" si="4"/>
        <v>27708.75</v>
      </c>
      <c r="AF23">
        <f t="shared" si="5"/>
        <v>1231500</v>
      </c>
    </row>
    <row r="24" spans="2:32" x14ac:dyDescent="0.45"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32"/>
      <c r="O24" s="12"/>
      <c r="P24" s="12"/>
      <c r="AB24">
        <v>2025</v>
      </c>
      <c r="AC24">
        <f>AE23</f>
        <v>27708.75</v>
      </c>
      <c r="AD24">
        <v>34000</v>
      </c>
      <c r="AE24">
        <f t="shared" si="4"/>
        <v>26943.75</v>
      </c>
      <c r="AF24">
        <f>AF23-AD24</f>
        <v>1197500</v>
      </c>
    </row>
    <row r="25" spans="2:32" x14ac:dyDescent="0.45">
      <c r="AB25">
        <v>2026</v>
      </c>
      <c r="AC25">
        <f t="shared" si="3"/>
        <v>26943.75</v>
      </c>
      <c r="AD25">
        <v>35500</v>
      </c>
      <c r="AE25">
        <f t="shared" si="4"/>
        <v>26145</v>
      </c>
      <c r="AF25">
        <f t="shared" si="5"/>
        <v>1162000</v>
      </c>
    </row>
    <row r="26" spans="2:32" x14ac:dyDescent="0.45">
      <c r="K26" s="219"/>
      <c r="AB26">
        <v>2027</v>
      </c>
      <c r="AC26">
        <f t="shared" si="3"/>
        <v>26145</v>
      </c>
      <c r="AD26">
        <v>37000</v>
      </c>
      <c r="AE26">
        <f t="shared" si="4"/>
        <v>25312.5</v>
      </c>
      <c r="AF26">
        <f t="shared" si="5"/>
        <v>1125000</v>
      </c>
    </row>
    <row r="27" spans="2:32" x14ac:dyDescent="0.45">
      <c r="AB27">
        <v>2028</v>
      </c>
      <c r="AC27">
        <f t="shared" si="3"/>
        <v>25312.5</v>
      </c>
      <c r="AD27">
        <v>39000</v>
      </c>
      <c r="AE27">
        <f t="shared" si="4"/>
        <v>24435</v>
      </c>
      <c r="AF27">
        <f t="shared" si="5"/>
        <v>1086000</v>
      </c>
    </row>
    <row r="28" spans="2:32" x14ac:dyDescent="0.45">
      <c r="AB28">
        <v>2029</v>
      </c>
      <c r="AC28">
        <f t="shared" si="3"/>
        <v>24435</v>
      </c>
      <c r="AD28">
        <v>40500</v>
      </c>
      <c r="AE28">
        <f t="shared" si="4"/>
        <v>23523.75</v>
      </c>
      <c r="AF28">
        <f t="shared" si="5"/>
        <v>1045500</v>
      </c>
    </row>
    <row r="29" spans="2:32" x14ac:dyDescent="0.45">
      <c r="AB29">
        <v>2030</v>
      </c>
      <c r="AC29">
        <f t="shared" si="3"/>
        <v>23523.75</v>
      </c>
      <c r="AD29">
        <v>42500</v>
      </c>
      <c r="AE29">
        <f t="shared" si="4"/>
        <v>22567.5</v>
      </c>
      <c r="AF29">
        <f t="shared" si="5"/>
        <v>1003000</v>
      </c>
    </row>
  </sheetData>
  <mergeCells count="6">
    <mergeCell ref="Q9:R9"/>
    <mergeCell ref="C9:D9"/>
    <mergeCell ref="E9:F9"/>
    <mergeCell ref="G9:H9"/>
    <mergeCell ref="I9:J9"/>
    <mergeCell ref="K9:L9"/>
  </mergeCells>
  <pageMargins left="0.7" right="0.7" top="0.75" bottom="0.75" header="0.3" footer="0.3"/>
  <pageSetup scale="88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sheetPr>
    <pageSetUpPr fitToPage="1"/>
  </sheetPr>
  <dimension ref="A1:I51"/>
  <sheetViews>
    <sheetView topLeftCell="A7" workbookViewId="0">
      <selection activeCell="A52" sqref="A52"/>
    </sheetView>
  </sheetViews>
  <sheetFormatPr defaultColWidth="8.88671875" defaultRowHeight="14.25" x14ac:dyDescent="0.45"/>
  <cols>
    <col min="1" max="1" width="22" style="1" customWidth="1"/>
    <col min="2" max="2" width="11" style="6" bestFit="1" customWidth="1"/>
    <col min="3" max="3" width="9.6640625" style="6" bestFit="1" customWidth="1"/>
    <col min="4" max="4" width="10.44140625" style="1" bestFit="1" customWidth="1"/>
    <col min="5" max="16384" width="8.88671875" style="1"/>
  </cols>
  <sheetData>
    <row r="1" spans="1:5" x14ac:dyDescent="0.45">
      <c r="A1" s="126" t="s">
        <v>147</v>
      </c>
    </row>
    <row r="2" spans="1:5" x14ac:dyDescent="0.45">
      <c r="A2" s="126"/>
    </row>
    <row r="3" spans="1:5" x14ac:dyDescent="0.45">
      <c r="A3" s="126" t="s">
        <v>147</v>
      </c>
    </row>
    <row r="4" spans="1:5" x14ac:dyDescent="0.45">
      <c r="A4" s="1" t="s">
        <v>104</v>
      </c>
      <c r="C4" s="6">
        <v>0</v>
      </c>
    </row>
    <row r="5" spans="1:5" x14ac:dyDescent="0.45">
      <c r="A5" s="1" t="s">
        <v>105</v>
      </c>
      <c r="C5" s="4">
        <v>422236</v>
      </c>
    </row>
    <row r="6" spans="1:5" x14ac:dyDescent="0.45">
      <c r="A6" s="1" t="s">
        <v>106</v>
      </c>
      <c r="C6" s="6">
        <f>C4+C5</f>
        <v>422236</v>
      </c>
    </row>
    <row r="8" spans="1:5" x14ac:dyDescent="0.45">
      <c r="A8" s="1" t="s">
        <v>418</v>
      </c>
      <c r="C8" s="157">
        <v>329657</v>
      </c>
    </row>
    <row r="9" spans="1:5" x14ac:dyDescent="0.45">
      <c r="A9" s="1" t="s">
        <v>419</v>
      </c>
      <c r="C9" s="157">
        <v>-4048</v>
      </c>
      <c r="E9" s="1" t="s">
        <v>427</v>
      </c>
    </row>
    <row r="10" spans="1:5" x14ac:dyDescent="0.45">
      <c r="A10" s="1" t="s">
        <v>420</v>
      </c>
      <c r="C10" s="158">
        <v>-1500</v>
      </c>
      <c r="E10" s="1" t="s">
        <v>427</v>
      </c>
    </row>
    <row r="11" spans="1:5" x14ac:dyDescent="0.45">
      <c r="A11" s="1" t="s">
        <v>421</v>
      </c>
      <c r="C11" s="157">
        <f>SUM(C8:C10)</f>
        <v>324109</v>
      </c>
    </row>
    <row r="12" spans="1:5" x14ac:dyDescent="0.45">
      <c r="C12" s="157"/>
    </row>
    <row r="14" spans="1:5" x14ac:dyDescent="0.45">
      <c r="A14" s="1" t="s">
        <v>100</v>
      </c>
    </row>
    <row r="15" spans="1:5" x14ac:dyDescent="0.45">
      <c r="A15" s="1" t="s">
        <v>109</v>
      </c>
    </row>
    <row r="16" spans="1:5" x14ac:dyDescent="0.45">
      <c r="A16" s="1" t="s">
        <v>110</v>
      </c>
      <c r="B16" s="6">
        <v>9681</v>
      </c>
    </row>
    <row r="17" spans="1:7" x14ac:dyDescent="0.45">
      <c r="A17" s="1" t="s">
        <v>111</v>
      </c>
      <c r="B17" s="6">
        <v>94</v>
      </c>
    </row>
    <row r="18" spans="1:7" x14ac:dyDescent="0.45">
      <c r="A18" s="1" t="s">
        <v>112</v>
      </c>
      <c r="B18" s="6">
        <v>0</v>
      </c>
    </row>
    <row r="19" spans="1:7" x14ac:dyDescent="0.45">
      <c r="A19" s="1" t="s">
        <v>107</v>
      </c>
      <c r="C19" s="6">
        <f>SUM(B15:B18)</f>
        <v>9775</v>
      </c>
    </row>
    <row r="21" spans="1:7" x14ac:dyDescent="0.45">
      <c r="A21" s="1" t="s">
        <v>108</v>
      </c>
    </row>
    <row r="22" spans="1:7" x14ac:dyDescent="0.45">
      <c r="A22" s="1" t="s">
        <v>113</v>
      </c>
      <c r="B22" s="6">
        <v>0</v>
      </c>
    </row>
    <row r="23" spans="1:7" x14ac:dyDescent="0.45">
      <c r="A23" s="1" t="s">
        <v>114</v>
      </c>
      <c r="B23" s="6">
        <v>82804</v>
      </c>
    </row>
    <row r="24" spans="1:7" x14ac:dyDescent="0.45">
      <c r="A24" s="1" t="s">
        <v>115</v>
      </c>
      <c r="B24" s="6">
        <v>0</v>
      </c>
    </row>
    <row r="25" spans="1:7" x14ac:dyDescent="0.45">
      <c r="A25" s="1" t="s">
        <v>141</v>
      </c>
      <c r="B25" s="6">
        <v>0</v>
      </c>
    </row>
    <row r="26" spans="1:7" x14ac:dyDescent="0.45">
      <c r="A26" s="1" t="s">
        <v>422</v>
      </c>
      <c r="B26" s="6">
        <v>5548</v>
      </c>
      <c r="E26" s="1" t="s">
        <v>427</v>
      </c>
    </row>
    <row r="27" spans="1:7" x14ac:dyDescent="0.45">
      <c r="A27" s="1" t="s">
        <v>116</v>
      </c>
      <c r="C27" s="4">
        <f>SUM(B22:B26)</f>
        <v>88352</v>
      </c>
    </row>
    <row r="28" spans="1:7" x14ac:dyDescent="0.45">
      <c r="A28" s="1" t="s">
        <v>117</v>
      </c>
      <c r="C28" s="6">
        <f>C11+C19+C27</f>
        <v>422236</v>
      </c>
    </row>
    <row r="30" spans="1:7" x14ac:dyDescent="0.45">
      <c r="D30" s="26">
        <f>C27/C6</f>
        <v>0.20924790875245122</v>
      </c>
      <c r="E30" s="1" t="s">
        <v>101</v>
      </c>
    </row>
    <row r="31" spans="1:7" x14ac:dyDescent="0.45">
      <c r="D31" s="128">
        <v>0.15</v>
      </c>
      <c r="E31" s="1" t="s">
        <v>102</v>
      </c>
    </row>
    <row r="32" spans="1:7" x14ac:dyDescent="0.45">
      <c r="D32" s="26">
        <f>D30-D31</f>
        <v>5.9247908752451228E-2</v>
      </c>
      <c r="E32" s="1" t="s">
        <v>103</v>
      </c>
      <c r="G32" s="15"/>
    </row>
    <row r="33" spans="1:9" x14ac:dyDescent="0.45">
      <c r="D33" s="26"/>
      <c r="G33" s="15"/>
    </row>
    <row r="34" spans="1:9" x14ac:dyDescent="0.45">
      <c r="D34" s="26"/>
      <c r="G34" s="15"/>
    </row>
    <row r="35" spans="1:9" s="126" customFormat="1" x14ac:dyDescent="0.45">
      <c r="A35" s="126" t="s">
        <v>149</v>
      </c>
      <c r="B35" s="129"/>
      <c r="C35" s="129"/>
      <c r="I35" s="135"/>
    </row>
    <row r="36" spans="1:9" x14ac:dyDescent="0.45">
      <c r="A36" s="1" t="s">
        <v>148</v>
      </c>
      <c r="B36" s="127">
        <f>SAO!E23</f>
        <v>817674</v>
      </c>
      <c r="C36" s="123">
        <f>D32</f>
        <v>5.9247908752451228E-2</v>
      </c>
      <c r="D36" s="136">
        <f>B36*C36</f>
        <v>48445.474541251802</v>
      </c>
      <c r="E36" s="126" t="s">
        <v>145</v>
      </c>
      <c r="F36" s="126"/>
      <c r="G36" s="126"/>
      <c r="H36" s="126"/>
      <c r="I36" s="135" t="s">
        <v>412</v>
      </c>
    </row>
    <row r="37" spans="1:9" ht="16.5" x14ac:dyDescent="0.75">
      <c r="A37" s="1" t="str">
        <f>SAO!D25</f>
        <v>Purchased Power</v>
      </c>
      <c r="B37" s="127">
        <f>SAO!E25</f>
        <v>71700</v>
      </c>
      <c r="C37" s="123">
        <f>D32</f>
        <v>5.9247908752451228E-2</v>
      </c>
      <c r="D37" s="137">
        <f>B37*C37</f>
        <v>4248.0750575507527</v>
      </c>
      <c r="E37" s="126" t="s">
        <v>146</v>
      </c>
      <c r="F37" s="126"/>
      <c r="G37" s="126"/>
      <c r="H37" s="126"/>
      <c r="I37" s="135" t="s">
        <v>414</v>
      </c>
    </row>
    <row r="38" spans="1:9" x14ac:dyDescent="0.45">
      <c r="A38" s="126" t="s">
        <v>140</v>
      </c>
      <c r="B38" s="129"/>
      <c r="C38" s="130"/>
      <c r="D38" s="131">
        <f>SUM(D36:D37)</f>
        <v>52693.549598802558</v>
      </c>
    </row>
    <row r="39" spans="1:9" x14ac:dyDescent="0.45">
      <c r="A39" s="126"/>
      <c r="B39" s="129"/>
      <c r="C39" s="130"/>
      <c r="D39" s="131"/>
    </row>
    <row r="40" spans="1:9" x14ac:dyDescent="0.45">
      <c r="A40" s="126" t="s">
        <v>443</v>
      </c>
      <c r="B40" s="129"/>
      <c r="C40" s="130"/>
      <c r="D40" s="131"/>
    </row>
    <row r="41" spans="1:9" x14ac:dyDescent="0.45">
      <c r="A41" s="1" t="s">
        <v>140</v>
      </c>
      <c r="B41" s="129"/>
      <c r="C41" s="130"/>
      <c r="D41" s="125">
        <f>D38</f>
        <v>52693.549598802558</v>
      </c>
    </row>
    <row r="42" spans="1:9" ht="16.5" x14ac:dyDescent="0.75">
      <c r="A42" s="1" t="s">
        <v>445</v>
      </c>
      <c r="B42" s="129"/>
      <c r="C42" s="130"/>
      <c r="D42" s="329">
        <f>ExBA!E14</f>
        <v>74155</v>
      </c>
    </row>
    <row r="43" spans="1:9" x14ac:dyDescent="0.45">
      <c r="A43" s="126" t="s">
        <v>446</v>
      </c>
      <c r="B43" s="129"/>
      <c r="C43" s="130"/>
      <c r="D43" s="418">
        <f>ROUND(D41/D42,2)</f>
        <v>0.71</v>
      </c>
    </row>
    <row r="44" spans="1:9" x14ac:dyDescent="0.45">
      <c r="A44" s="126"/>
      <c r="B44" s="129"/>
      <c r="C44" s="130"/>
      <c r="D44" s="131"/>
    </row>
    <row r="45" spans="1:9" x14ac:dyDescent="0.45">
      <c r="A45" s="126"/>
      <c r="B45" s="129"/>
      <c r="C45" s="130"/>
      <c r="D45" s="131"/>
    </row>
    <row r="46" spans="1:9" x14ac:dyDescent="0.45">
      <c r="C46" s="122"/>
      <c r="D46" s="125"/>
    </row>
    <row r="47" spans="1:9" x14ac:dyDescent="0.45">
      <c r="A47" s="126" t="s">
        <v>444</v>
      </c>
    </row>
    <row r="48" spans="1:9" x14ac:dyDescent="0.45">
      <c r="A48" s="1" t="s">
        <v>447</v>
      </c>
      <c r="B48" s="129"/>
      <c r="C48" s="129"/>
      <c r="D48" s="416">
        <v>26811.119999999999</v>
      </c>
      <c r="I48" s="135" t="s">
        <v>413</v>
      </c>
    </row>
    <row r="51" spans="1:4" x14ac:dyDescent="0.45">
      <c r="A51" s="1" t="s">
        <v>454</v>
      </c>
      <c r="D51" s="98">
        <f>D38*4</f>
        <v>210774.19839521023</v>
      </c>
    </row>
  </sheetData>
  <pageMargins left="0.7" right="0.7" top="0.75" bottom="0.75" header="0.3" footer="0.3"/>
  <pageSetup scale="77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290-BE50-411F-AE22-5ECA1FE97B74}">
  <sheetPr>
    <pageSetUpPr fitToPage="1"/>
  </sheetPr>
  <dimension ref="A1:S37"/>
  <sheetViews>
    <sheetView topLeftCell="A11" workbookViewId="0">
      <selection activeCell="S30" sqref="S30"/>
    </sheetView>
  </sheetViews>
  <sheetFormatPr defaultRowHeight="15" x14ac:dyDescent="0.4"/>
  <cols>
    <col min="1" max="1" width="2.609375" customWidth="1"/>
    <col min="2" max="2" width="2" customWidth="1"/>
    <col min="3" max="3" width="4.77734375" customWidth="1"/>
    <col min="4" max="4" width="7.33203125" customWidth="1"/>
    <col min="5" max="5" width="6.33203125" customWidth="1"/>
    <col min="6" max="6" width="7.33203125" customWidth="1"/>
    <col min="7" max="7" width="13.33203125" customWidth="1"/>
    <col min="8" max="8" width="2" customWidth="1"/>
    <col min="9" max="9" width="4.77734375" customWidth="1"/>
    <col min="10" max="10" width="7.33203125" customWidth="1"/>
    <col min="11" max="11" width="6.33203125" customWidth="1"/>
    <col min="12" max="12" width="7.33203125" customWidth="1"/>
    <col min="13" max="13" width="13.33203125" customWidth="1"/>
    <col min="14" max="15" width="9.6640625" customWidth="1"/>
    <col min="16" max="17" width="2.609375" customWidth="1"/>
    <col min="18" max="18" width="9.6640625" customWidth="1"/>
  </cols>
  <sheetData>
    <row r="1" spans="1:19" ht="15.75" x14ac:dyDescent="0.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9" ht="15.75" x14ac:dyDescent="0.5">
      <c r="A2" s="203"/>
      <c r="B2" s="163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20"/>
      <c r="N2" s="345"/>
      <c r="O2" s="346"/>
      <c r="P2" s="347"/>
      <c r="Q2" s="203"/>
      <c r="R2" s="203"/>
    </row>
    <row r="3" spans="1:19" ht="18" hidden="1" x14ac:dyDescent="0.55000000000000004">
      <c r="A3" s="203"/>
      <c r="B3" s="170"/>
      <c r="C3" s="468" t="s">
        <v>397</v>
      </c>
      <c r="D3" s="468"/>
      <c r="E3" s="468"/>
      <c r="F3" s="468"/>
      <c r="G3" s="468"/>
      <c r="H3" s="468"/>
      <c r="I3" s="468"/>
      <c r="J3" s="468"/>
      <c r="K3" s="468"/>
      <c r="L3" s="468"/>
      <c r="M3" s="476"/>
      <c r="N3" s="348"/>
      <c r="O3" s="203"/>
      <c r="P3" s="349"/>
      <c r="Q3" s="203"/>
      <c r="R3" s="203"/>
    </row>
    <row r="4" spans="1:19" ht="18" x14ac:dyDescent="0.55000000000000004">
      <c r="A4" s="203"/>
      <c r="B4" s="170"/>
      <c r="C4" s="477" t="s">
        <v>402</v>
      </c>
      <c r="D4" s="477"/>
      <c r="E4" s="477"/>
      <c r="F4" s="477"/>
      <c r="G4" s="477"/>
      <c r="H4" s="477"/>
      <c r="I4" s="477"/>
      <c r="J4" s="477"/>
      <c r="K4" s="477"/>
      <c r="L4" s="477"/>
      <c r="M4" s="478"/>
      <c r="N4" s="348"/>
      <c r="O4" s="203"/>
      <c r="P4" s="349"/>
      <c r="Q4" s="203"/>
      <c r="R4" s="203"/>
    </row>
    <row r="5" spans="1:19" ht="18" hidden="1" x14ac:dyDescent="0.55000000000000004">
      <c r="A5" s="203"/>
      <c r="B5" s="170"/>
      <c r="C5" s="477" t="s">
        <v>405</v>
      </c>
      <c r="D5" s="477"/>
      <c r="E5" s="477"/>
      <c r="F5" s="477"/>
      <c r="G5" s="477"/>
      <c r="H5" s="477"/>
      <c r="I5" s="477"/>
      <c r="J5" s="477"/>
      <c r="K5" s="477"/>
      <c r="L5" s="477"/>
      <c r="M5" s="478"/>
      <c r="N5" s="348"/>
      <c r="O5" s="203"/>
      <c r="P5" s="349"/>
      <c r="Q5" s="203"/>
      <c r="R5" s="203"/>
    </row>
    <row r="6" spans="1:19" ht="18" x14ac:dyDescent="0.5">
      <c r="A6" s="203"/>
      <c r="B6" s="170"/>
      <c r="C6" s="479" t="s">
        <v>179</v>
      </c>
      <c r="D6" s="479"/>
      <c r="E6" s="479"/>
      <c r="F6" s="479"/>
      <c r="G6" s="479"/>
      <c r="H6" s="479"/>
      <c r="I6" s="479"/>
      <c r="J6" s="479"/>
      <c r="K6" s="479"/>
      <c r="L6" s="479"/>
      <c r="M6" s="480"/>
      <c r="N6" s="425"/>
      <c r="O6" s="23"/>
      <c r="P6" s="408"/>
      <c r="Q6" s="23"/>
      <c r="R6" s="23"/>
    </row>
    <row r="7" spans="1:19" ht="15.75" x14ac:dyDescent="0.5">
      <c r="A7" s="203"/>
      <c r="B7" s="170"/>
      <c r="C7" s="1"/>
      <c r="D7" s="1"/>
      <c r="E7" s="1"/>
      <c r="F7" s="1"/>
      <c r="G7" s="1"/>
      <c r="H7" s="1"/>
      <c r="I7" s="1"/>
      <c r="J7" s="1"/>
      <c r="K7" s="1"/>
      <c r="L7" s="1"/>
      <c r="M7" s="205"/>
      <c r="N7" s="350"/>
      <c r="O7" s="351"/>
      <c r="P7" s="349"/>
      <c r="Q7" s="203"/>
      <c r="R7" s="203"/>
    </row>
    <row r="8" spans="1:19" ht="15.75" x14ac:dyDescent="0.5">
      <c r="A8" s="203"/>
      <c r="B8" s="163"/>
      <c r="C8" s="319"/>
      <c r="D8" s="319"/>
      <c r="E8" s="319"/>
      <c r="F8" s="319"/>
      <c r="G8" s="320"/>
      <c r="H8" s="163"/>
      <c r="I8" s="319"/>
      <c r="J8" s="319"/>
      <c r="K8" s="319"/>
      <c r="L8" s="319"/>
      <c r="M8" s="320"/>
      <c r="N8" s="345"/>
      <c r="O8" s="346"/>
      <c r="P8" s="347"/>
      <c r="Q8" s="203"/>
      <c r="R8" s="377">
        <f>SAO!H54</f>
        <v>0.1235118027920251</v>
      </c>
      <c r="S8" s="376" t="s">
        <v>404</v>
      </c>
    </row>
    <row r="9" spans="1:19" ht="15.75" x14ac:dyDescent="0.5">
      <c r="A9" s="203"/>
      <c r="B9" s="170"/>
      <c r="C9" s="475" t="s">
        <v>243</v>
      </c>
      <c r="D9" s="475"/>
      <c r="E9" s="475"/>
      <c r="F9" s="475"/>
      <c r="G9" s="481"/>
      <c r="H9" s="1"/>
      <c r="I9" s="475" t="s">
        <v>244</v>
      </c>
      <c r="J9" s="475"/>
      <c r="K9" s="475"/>
      <c r="L9" s="475"/>
      <c r="M9" s="481"/>
      <c r="N9" s="474" t="s">
        <v>450</v>
      </c>
      <c r="O9" s="475"/>
      <c r="P9" s="461"/>
      <c r="Q9" s="427"/>
      <c r="R9" s="203"/>
    </row>
    <row r="10" spans="1:19" ht="15.75" x14ac:dyDescent="0.5">
      <c r="A10" s="203"/>
      <c r="B10" s="170"/>
      <c r="C10" s="1"/>
      <c r="D10" s="1"/>
      <c r="E10" s="1"/>
      <c r="F10" s="1"/>
      <c r="G10" s="205"/>
      <c r="H10" s="1"/>
      <c r="I10" s="1"/>
      <c r="J10" s="1"/>
      <c r="K10" s="1"/>
      <c r="L10" s="1"/>
      <c r="M10" s="205"/>
      <c r="N10" s="170"/>
      <c r="O10" s="1"/>
      <c r="P10" s="205"/>
      <c r="Q10" s="1"/>
      <c r="R10" s="203"/>
    </row>
    <row r="11" spans="1:19" ht="15.75" x14ac:dyDescent="0.5">
      <c r="A11" s="203"/>
      <c r="B11" s="170"/>
      <c r="C11" s="206" t="s">
        <v>371</v>
      </c>
      <c r="D11" s="1"/>
      <c r="E11" s="1"/>
      <c r="F11" s="1"/>
      <c r="G11" s="205"/>
      <c r="H11" s="1"/>
      <c r="I11" s="206" t="s">
        <v>371</v>
      </c>
      <c r="J11" s="1"/>
      <c r="K11" s="1"/>
      <c r="L11" s="1"/>
      <c r="M11" s="205"/>
      <c r="N11" s="420" t="s">
        <v>451</v>
      </c>
      <c r="O11" s="428" t="s">
        <v>452</v>
      </c>
      <c r="P11" s="421"/>
      <c r="Q11" s="428"/>
      <c r="R11" s="203"/>
    </row>
    <row r="12" spans="1:19" ht="15.75" x14ac:dyDescent="0.5">
      <c r="A12" s="203"/>
      <c r="B12" s="170"/>
      <c r="C12" s="16" t="s">
        <v>245</v>
      </c>
      <c r="D12" s="207">
        <v>2000</v>
      </c>
      <c r="E12" s="1" t="s">
        <v>246</v>
      </c>
      <c r="F12" s="208">
        <v>22.09</v>
      </c>
      <c r="G12" s="205" t="s">
        <v>247</v>
      </c>
      <c r="H12" s="1"/>
      <c r="I12" s="16" t="s">
        <v>245</v>
      </c>
      <c r="J12" s="207">
        <v>2000</v>
      </c>
      <c r="K12" s="1" t="s">
        <v>246</v>
      </c>
      <c r="L12" s="208">
        <f>ROUND($F12*(1+$R$8),2)</f>
        <v>24.82</v>
      </c>
      <c r="M12" s="205" t="s">
        <v>247</v>
      </c>
      <c r="N12" s="422">
        <f>L12-F12</f>
        <v>2.7300000000000004</v>
      </c>
      <c r="O12" s="429">
        <f>(L12-F12)/F12</f>
        <v>0.12358533272974198</v>
      </c>
      <c r="P12" s="423"/>
      <c r="Q12" s="429"/>
      <c r="R12" s="203"/>
    </row>
    <row r="13" spans="1:19" ht="15.75" x14ac:dyDescent="0.5">
      <c r="A13" s="203"/>
      <c r="B13" s="170"/>
      <c r="C13" s="16" t="s">
        <v>248</v>
      </c>
      <c r="D13" s="207">
        <v>3000</v>
      </c>
      <c r="E13" s="1" t="s">
        <v>246</v>
      </c>
      <c r="F13" s="210">
        <v>8.6999999999999993</v>
      </c>
      <c r="G13" s="205" t="s">
        <v>249</v>
      </c>
      <c r="H13" s="1"/>
      <c r="I13" s="16" t="s">
        <v>248</v>
      </c>
      <c r="J13" s="207">
        <v>3000</v>
      </c>
      <c r="K13" s="1" t="s">
        <v>246</v>
      </c>
      <c r="L13" s="210">
        <f>ROUND($F13*(1+$R$8),2)</f>
        <v>9.77</v>
      </c>
      <c r="M13" s="205" t="s">
        <v>249</v>
      </c>
      <c r="N13" s="422">
        <f t="shared" ref="N13:N35" si="0">L13-F13</f>
        <v>1.0700000000000003</v>
      </c>
      <c r="O13" s="429">
        <f t="shared" ref="O13:O16" si="1">(L13-F13)/F13</f>
        <v>0.12298850574712648</v>
      </c>
      <c r="P13" s="423"/>
      <c r="Q13" s="429"/>
      <c r="R13" s="203"/>
    </row>
    <row r="14" spans="1:19" ht="15.75" x14ac:dyDescent="0.5">
      <c r="A14" s="203"/>
      <c r="B14" s="170"/>
      <c r="C14" s="16" t="s">
        <v>248</v>
      </c>
      <c r="D14" s="207">
        <v>5000</v>
      </c>
      <c r="E14" s="1" t="s">
        <v>246</v>
      </c>
      <c r="F14" s="210">
        <v>7.38</v>
      </c>
      <c r="G14" s="205" t="s">
        <v>249</v>
      </c>
      <c r="H14" s="1"/>
      <c r="I14" s="16" t="s">
        <v>248</v>
      </c>
      <c r="J14" s="207">
        <v>5000</v>
      </c>
      <c r="K14" s="1" t="s">
        <v>246</v>
      </c>
      <c r="L14" s="210">
        <f t="shared" ref="L14:L16" si="2">ROUND($F14*(1+$R$8),2)</f>
        <v>8.2899999999999991</v>
      </c>
      <c r="M14" s="205" t="s">
        <v>249</v>
      </c>
      <c r="N14" s="422">
        <f t="shared" si="0"/>
        <v>0.90999999999999925</v>
      </c>
      <c r="O14" s="429">
        <f t="shared" si="1"/>
        <v>0.12330623306233053</v>
      </c>
      <c r="P14" s="423"/>
      <c r="Q14" s="429"/>
      <c r="R14" s="203"/>
    </row>
    <row r="15" spans="1:19" ht="15.75" x14ac:dyDescent="0.5">
      <c r="A15" s="203"/>
      <c r="B15" s="170"/>
      <c r="C15" s="16" t="s">
        <v>248</v>
      </c>
      <c r="D15" s="207">
        <v>60000</v>
      </c>
      <c r="E15" s="1" t="s">
        <v>246</v>
      </c>
      <c r="F15" s="210">
        <v>6.74</v>
      </c>
      <c r="G15" s="205" t="s">
        <v>249</v>
      </c>
      <c r="H15" s="1"/>
      <c r="I15" s="16" t="s">
        <v>248</v>
      </c>
      <c r="J15" s="207">
        <v>60000</v>
      </c>
      <c r="K15" s="1" t="s">
        <v>246</v>
      </c>
      <c r="L15" s="210">
        <f>ROUND($F15*(1+$R$8),2)</f>
        <v>7.57</v>
      </c>
      <c r="M15" s="205" t="s">
        <v>249</v>
      </c>
      <c r="N15" s="422">
        <f t="shared" si="0"/>
        <v>0.83000000000000007</v>
      </c>
      <c r="O15" s="429">
        <f t="shared" si="1"/>
        <v>0.12314540059347182</v>
      </c>
      <c r="P15" s="423"/>
      <c r="Q15" s="429"/>
      <c r="R15" s="203"/>
    </row>
    <row r="16" spans="1:19" ht="15.75" x14ac:dyDescent="0.5">
      <c r="A16" s="203"/>
      <c r="B16" s="170"/>
      <c r="C16" s="16" t="s">
        <v>250</v>
      </c>
      <c r="D16" s="207">
        <v>70000</v>
      </c>
      <c r="E16" s="1" t="s">
        <v>246</v>
      </c>
      <c r="F16" s="210">
        <v>6.19</v>
      </c>
      <c r="G16" s="205" t="s">
        <v>249</v>
      </c>
      <c r="H16" s="1"/>
      <c r="I16" s="16" t="s">
        <v>250</v>
      </c>
      <c r="J16" s="207">
        <v>70000</v>
      </c>
      <c r="K16" s="1" t="s">
        <v>246</v>
      </c>
      <c r="L16" s="210">
        <f t="shared" si="2"/>
        <v>6.95</v>
      </c>
      <c r="M16" s="205" t="s">
        <v>249</v>
      </c>
      <c r="N16" s="422">
        <f t="shared" si="0"/>
        <v>0.75999999999999979</v>
      </c>
      <c r="O16" s="429">
        <f t="shared" si="1"/>
        <v>0.12277867528271401</v>
      </c>
      <c r="P16" s="423"/>
      <c r="Q16" s="429"/>
      <c r="R16" s="203"/>
    </row>
    <row r="17" spans="1:18" ht="15.75" x14ac:dyDescent="0.5">
      <c r="A17" s="203"/>
      <c r="B17" s="170"/>
      <c r="C17" s="207"/>
      <c r="D17" s="1"/>
      <c r="E17" s="1"/>
      <c r="F17" s="1"/>
      <c r="G17" s="205"/>
      <c r="H17" s="1"/>
      <c r="I17" s="207"/>
      <c r="J17" s="1"/>
      <c r="K17" s="1"/>
      <c r="L17" s="1"/>
      <c r="M17" s="205"/>
      <c r="N17" s="422"/>
      <c r="O17" s="26"/>
      <c r="P17" s="424"/>
      <c r="Q17" s="26"/>
      <c r="R17" s="203"/>
    </row>
    <row r="18" spans="1:18" ht="15.75" x14ac:dyDescent="0.5">
      <c r="A18" s="203"/>
      <c r="B18" s="170"/>
      <c r="C18" s="206" t="s">
        <v>372</v>
      </c>
      <c r="D18" s="1"/>
      <c r="E18" s="1"/>
      <c r="F18" s="1"/>
      <c r="G18" s="205"/>
      <c r="H18" s="1"/>
      <c r="I18" s="206" t="s">
        <v>372</v>
      </c>
      <c r="J18" s="1"/>
      <c r="K18" s="1"/>
      <c r="L18" s="1"/>
      <c r="M18" s="205"/>
      <c r="N18" s="422"/>
      <c r="O18" s="26"/>
      <c r="P18" s="424"/>
      <c r="Q18" s="26"/>
      <c r="R18" s="203"/>
    </row>
    <row r="19" spans="1:18" ht="15.75" x14ac:dyDescent="0.5">
      <c r="A19" s="203"/>
      <c r="B19" s="170"/>
      <c r="C19" s="16" t="s">
        <v>245</v>
      </c>
      <c r="D19" s="207">
        <v>55000</v>
      </c>
      <c r="E19" s="1" t="s">
        <v>246</v>
      </c>
      <c r="F19" s="208">
        <v>419.74</v>
      </c>
      <c r="G19" s="205" t="s">
        <v>247</v>
      </c>
      <c r="H19" s="1"/>
      <c r="I19" s="16" t="s">
        <v>245</v>
      </c>
      <c r="J19" s="207">
        <v>55000</v>
      </c>
      <c r="K19" s="1" t="s">
        <v>246</v>
      </c>
      <c r="L19" s="208">
        <f t="shared" ref="L19:L21" si="3">ROUND($F19*(1+$R$8),2)</f>
        <v>471.58</v>
      </c>
      <c r="M19" s="205" t="s">
        <v>247</v>
      </c>
      <c r="N19" s="422">
        <f t="shared" si="0"/>
        <v>51.839999999999975</v>
      </c>
      <c r="O19" s="429">
        <f t="shared" ref="O19:O21" si="4">(L19-F19)/F19</f>
        <v>0.12350502692142749</v>
      </c>
      <c r="P19" s="423"/>
      <c r="Q19" s="429"/>
      <c r="R19" s="203"/>
    </row>
    <row r="20" spans="1:18" ht="15.75" x14ac:dyDescent="0.5">
      <c r="A20" s="203"/>
      <c r="B20" s="170"/>
      <c r="C20" s="16" t="s">
        <v>248</v>
      </c>
      <c r="D20" s="207">
        <v>15000</v>
      </c>
      <c r="E20" s="1" t="s">
        <v>246</v>
      </c>
      <c r="F20" s="341">
        <v>6.74</v>
      </c>
      <c r="G20" s="205" t="s">
        <v>249</v>
      </c>
      <c r="H20" s="1"/>
      <c r="I20" s="16" t="s">
        <v>248</v>
      </c>
      <c r="J20" s="207">
        <v>15000</v>
      </c>
      <c r="K20" s="1" t="s">
        <v>246</v>
      </c>
      <c r="L20" s="210">
        <f t="shared" si="3"/>
        <v>7.57</v>
      </c>
      <c r="M20" s="205" t="s">
        <v>249</v>
      </c>
      <c r="N20" s="422">
        <f t="shared" si="0"/>
        <v>0.83000000000000007</v>
      </c>
      <c r="O20" s="429">
        <f t="shared" si="4"/>
        <v>0.12314540059347182</v>
      </c>
      <c r="P20" s="423"/>
      <c r="Q20" s="429"/>
      <c r="R20" s="203"/>
    </row>
    <row r="21" spans="1:18" ht="15.75" x14ac:dyDescent="0.5">
      <c r="A21" s="203"/>
      <c r="B21" s="170"/>
      <c r="C21" s="16" t="s">
        <v>250</v>
      </c>
      <c r="D21" s="207">
        <v>70000</v>
      </c>
      <c r="E21" s="1" t="s">
        <v>246</v>
      </c>
      <c r="F21" s="341">
        <v>6.19</v>
      </c>
      <c r="G21" s="205" t="s">
        <v>249</v>
      </c>
      <c r="H21" s="1"/>
      <c r="I21" s="16" t="s">
        <v>250</v>
      </c>
      <c r="J21" s="207">
        <v>70000</v>
      </c>
      <c r="K21" s="1" t="s">
        <v>246</v>
      </c>
      <c r="L21" s="210">
        <f t="shared" si="3"/>
        <v>6.95</v>
      </c>
      <c r="M21" s="205" t="s">
        <v>249</v>
      </c>
      <c r="N21" s="422">
        <f t="shared" si="0"/>
        <v>0.75999999999999979</v>
      </c>
      <c r="O21" s="429">
        <f t="shared" si="4"/>
        <v>0.12277867528271401</v>
      </c>
      <c r="P21" s="423"/>
      <c r="Q21" s="429"/>
      <c r="R21" s="203"/>
    </row>
    <row r="22" spans="1:18" ht="15.75" x14ac:dyDescent="0.5">
      <c r="A22" s="203"/>
      <c r="B22" s="170"/>
      <c r="C22" s="207"/>
      <c r="D22" s="1"/>
      <c r="E22" s="1"/>
      <c r="F22" s="1"/>
      <c r="G22" s="205"/>
      <c r="H22" s="1"/>
      <c r="I22" s="207"/>
      <c r="J22" s="1"/>
      <c r="K22" s="1"/>
      <c r="L22" s="1"/>
      <c r="M22" s="205"/>
      <c r="N22" s="422"/>
      <c r="O22" s="26"/>
      <c r="P22" s="424"/>
      <c r="Q22" s="26"/>
      <c r="R22" s="203"/>
    </row>
    <row r="23" spans="1:18" ht="15.75" x14ac:dyDescent="0.5">
      <c r="A23" s="203"/>
      <c r="B23" s="170"/>
      <c r="C23" s="206" t="s">
        <v>373</v>
      </c>
      <c r="D23" s="1"/>
      <c r="E23" s="1"/>
      <c r="F23" s="1"/>
      <c r="G23" s="205"/>
      <c r="H23" s="1"/>
      <c r="I23" s="206" t="s">
        <v>373</v>
      </c>
      <c r="J23" s="1"/>
      <c r="K23" s="1"/>
      <c r="L23" s="1"/>
      <c r="M23" s="205"/>
      <c r="N23" s="422"/>
      <c r="O23" s="26"/>
      <c r="P23" s="424"/>
      <c r="Q23" s="26"/>
      <c r="R23" s="203"/>
    </row>
    <row r="24" spans="1:18" ht="15.75" x14ac:dyDescent="0.5">
      <c r="A24" s="203"/>
      <c r="B24" s="170"/>
      <c r="C24" s="16" t="s">
        <v>245</v>
      </c>
      <c r="D24" s="207">
        <v>10000</v>
      </c>
      <c r="E24" s="1" t="s">
        <v>246</v>
      </c>
      <c r="F24" s="208">
        <v>77.7</v>
      </c>
      <c r="G24" s="205" t="s">
        <v>247</v>
      </c>
      <c r="H24" s="1"/>
      <c r="I24" s="16" t="s">
        <v>245</v>
      </c>
      <c r="J24" s="207">
        <v>10000</v>
      </c>
      <c r="K24" s="1" t="s">
        <v>246</v>
      </c>
      <c r="L24" s="208">
        <f t="shared" ref="L24:L26" si="5">ROUND($F24*(1+$R$8),2)</f>
        <v>87.3</v>
      </c>
      <c r="M24" s="205" t="s">
        <v>247</v>
      </c>
      <c r="N24" s="422">
        <f t="shared" si="0"/>
        <v>9.5999999999999943</v>
      </c>
      <c r="O24" s="429">
        <f t="shared" ref="O24:O26" si="6">(L24-F24)/F24</f>
        <v>0.12355212355212347</v>
      </c>
      <c r="P24" s="423"/>
      <c r="Q24" s="429"/>
      <c r="R24" s="203"/>
    </row>
    <row r="25" spans="1:18" ht="15.75" x14ac:dyDescent="0.5">
      <c r="A25" s="203"/>
      <c r="B25" s="170"/>
      <c r="C25" s="16" t="s">
        <v>248</v>
      </c>
      <c r="D25" s="207">
        <v>60000</v>
      </c>
      <c r="E25" s="1" t="s">
        <v>246</v>
      </c>
      <c r="F25" s="341">
        <v>6.74</v>
      </c>
      <c r="G25" s="205" t="s">
        <v>249</v>
      </c>
      <c r="H25" s="1"/>
      <c r="I25" s="16" t="s">
        <v>248</v>
      </c>
      <c r="J25" s="207">
        <v>60000</v>
      </c>
      <c r="K25" s="1" t="s">
        <v>246</v>
      </c>
      <c r="L25" s="210">
        <f t="shared" si="5"/>
        <v>7.57</v>
      </c>
      <c r="M25" s="205" t="s">
        <v>249</v>
      </c>
      <c r="N25" s="422">
        <f t="shared" si="0"/>
        <v>0.83000000000000007</v>
      </c>
      <c r="O25" s="429">
        <f t="shared" si="6"/>
        <v>0.12314540059347182</v>
      </c>
      <c r="P25" s="423"/>
      <c r="Q25" s="429"/>
      <c r="R25" s="375"/>
    </row>
    <row r="26" spans="1:18" ht="15.75" x14ac:dyDescent="0.5">
      <c r="A26" s="203"/>
      <c r="B26" s="170"/>
      <c r="C26" s="16" t="s">
        <v>250</v>
      </c>
      <c r="D26" s="207">
        <v>70000</v>
      </c>
      <c r="E26" s="1" t="s">
        <v>246</v>
      </c>
      <c r="F26" s="341">
        <v>6.19</v>
      </c>
      <c r="G26" s="205" t="s">
        <v>249</v>
      </c>
      <c r="H26" s="1"/>
      <c r="I26" s="16" t="s">
        <v>250</v>
      </c>
      <c r="J26" s="207">
        <v>70000</v>
      </c>
      <c r="K26" s="1" t="s">
        <v>246</v>
      </c>
      <c r="L26" s="210">
        <f t="shared" si="5"/>
        <v>6.95</v>
      </c>
      <c r="M26" s="205" t="s">
        <v>249</v>
      </c>
      <c r="N26" s="422">
        <f t="shared" si="0"/>
        <v>0.75999999999999979</v>
      </c>
      <c r="O26" s="429">
        <f t="shared" si="6"/>
        <v>0.12277867528271401</v>
      </c>
      <c r="P26" s="423"/>
      <c r="Q26" s="429"/>
      <c r="R26" s="203"/>
    </row>
    <row r="27" spans="1:18" ht="15.75" x14ac:dyDescent="0.5">
      <c r="A27" s="203"/>
      <c r="B27" s="170"/>
      <c r="C27" s="16"/>
      <c r="D27" s="207"/>
      <c r="E27" s="1"/>
      <c r="F27" s="210"/>
      <c r="G27" s="205"/>
      <c r="H27" s="1"/>
      <c r="I27" s="1"/>
      <c r="J27" s="1"/>
      <c r="K27" s="1"/>
      <c r="L27" s="1"/>
      <c r="M27" s="205"/>
      <c r="N27" s="422"/>
      <c r="O27" s="26"/>
      <c r="P27" s="424"/>
      <c r="Q27" s="26"/>
      <c r="R27" s="203"/>
    </row>
    <row r="28" spans="1:18" ht="15.75" x14ac:dyDescent="0.5">
      <c r="A28" s="203"/>
      <c r="B28" s="170"/>
      <c r="C28" s="206" t="s">
        <v>374</v>
      </c>
      <c r="D28" s="207"/>
      <c r="E28" s="1"/>
      <c r="F28" s="210"/>
      <c r="G28" s="205"/>
      <c r="H28" s="1"/>
      <c r="I28" s="206" t="s">
        <v>374</v>
      </c>
      <c r="J28" s="207"/>
      <c r="K28" s="1"/>
      <c r="L28" s="210"/>
      <c r="M28" s="205"/>
      <c r="N28" s="422"/>
      <c r="O28" s="26"/>
      <c r="P28" s="424"/>
      <c r="Q28" s="26"/>
      <c r="R28" s="203"/>
    </row>
    <row r="29" spans="1:18" ht="15.75" x14ac:dyDescent="0.5">
      <c r="A29" s="203"/>
      <c r="B29" s="170"/>
      <c r="C29" s="376" t="s">
        <v>403</v>
      </c>
      <c r="D29" s="207"/>
      <c r="E29" s="1"/>
      <c r="F29" s="208">
        <v>3.85</v>
      </c>
      <c r="G29" s="205" t="s">
        <v>249</v>
      </c>
      <c r="H29" s="1"/>
      <c r="I29" s="376" t="s">
        <v>403</v>
      </c>
      <c r="J29" s="207"/>
      <c r="K29" s="1"/>
      <c r="L29" s="208">
        <f>ROUND($F29*(1+$R$8),2)</f>
        <v>4.33</v>
      </c>
      <c r="M29" s="205" t="s">
        <v>249</v>
      </c>
      <c r="N29" s="422">
        <f t="shared" si="0"/>
        <v>0.48</v>
      </c>
      <c r="O29" s="429">
        <f>(L29-F29)/F29</f>
        <v>0.12467532467532466</v>
      </c>
      <c r="P29" s="423"/>
      <c r="Q29" s="429"/>
      <c r="R29" s="203"/>
    </row>
    <row r="30" spans="1:18" ht="15.75" x14ac:dyDescent="0.5">
      <c r="A30" s="203"/>
      <c r="B30" s="170"/>
      <c r="C30" s="376"/>
      <c r="D30" s="207"/>
      <c r="E30" s="1"/>
      <c r="F30" s="208"/>
      <c r="G30" s="205"/>
      <c r="H30" s="1"/>
      <c r="I30" s="376"/>
      <c r="J30" s="207"/>
      <c r="K30" s="1"/>
      <c r="L30" s="208"/>
      <c r="M30" s="205"/>
      <c r="N30" s="422"/>
      <c r="O30" s="429"/>
      <c r="P30" s="423"/>
      <c r="Q30" s="429"/>
      <c r="R30" s="203"/>
    </row>
    <row r="31" spans="1:18" ht="15.75" x14ac:dyDescent="0.5">
      <c r="A31" s="203"/>
      <c r="B31" s="170"/>
      <c r="C31" s="206" t="s">
        <v>417</v>
      </c>
      <c r="D31" s="207"/>
      <c r="E31" s="1"/>
      <c r="F31" s="210"/>
      <c r="G31" s="205"/>
      <c r="H31" s="1"/>
      <c r="I31" s="206" t="s">
        <v>417</v>
      </c>
      <c r="J31" s="207"/>
      <c r="K31" s="1"/>
      <c r="L31" s="208"/>
      <c r="M31" s="205"/>
      <c r="N31" s="422"/>
      <c r="O31" s="429"/>
      <c r="P31" s="423"/>
      <c r="Q31" s="429"/>
      <c r="R31" s="203"/>
    </row>
    <row r="32" spans="1:18" ht="15.75" x14ac:dyDescent="0.5">
      <c r="A32" s="203"/>
      <c r="B32" s="170"/>
      <c r="C32" s="376" t="s">
        <v>403</v>
      </c>
      <c r="D32" s="207"/>
      <c r="E32" s="1"/>
      <c r="F32" s="411">
        <v>2.59</v>
      </c>
      <c r="G32" s="205" t="s">
        <v>249</v>
      </c>
      <c r="H32" s="1"/>
      <c r="I32" s="376" t="s">
        <v>403</v>
      </c>
      <c r="J32" s="207"/>
      <c r="K32" s="1"/>
      <c r="L32" s="208">
        <f>ROUND($F32*(1+$R$8),2)</f>
        <v>2.91</v>
      </c>
      <c r="M32" s="205" t="s">
        <v>249</v>
      </c>
      <c r="N32" s="422">
        <f t="shared" si="0"/>
        <v>0.32000000000000028</v>
      </c>
      <c r="O32" s="429">
        <f>(L32-F32)/F32</f>
        <v>0.12355212355212367</v>
      </c>
      <c r="P32" s="423"/>
      <c r="Q32" s="429"/>
      <c r="R32" s="203"/>
    </row>
    <row r="33" spans="1:18" ht="15.75" x14ac:dyDescent="0.5">
      <c r="A33" s="203"/>
      <c r="B33" s="170"/>
      <c r="C33" s="376"/>
      <c r="D33" s="207"/>
      <c r="E33" s="1"/>
      <c r="F33" s="411"/>
      <c r="G33" s="205"/>
      <c r="H33" s="1"/>
      <c r="I33" s="376"/>
      <c r="J33" s="207"/>
      <c r="K33" s="1"/>
      <c r="L33" s="208"/>
      <c r="M33" s="205"/>
      <c r="N33" s="422"/>
      <c r="O33" s="429"/>
      <c r="P33" s="423"/>
      <c r="Q33" s="429"/>
      <c r="R33" s="203"/>
    </row>
    <row r="34" spans="1:18" ht="15.75" x14ac:dyDescent="0.5">
      <c r="A34" s="203"/>
      <c r="B34" s="170"/>
      <c r="C34" s="419" t="s">
        <v>446</v>
      </c>
      <c r="D34" s="207"/>
      <c r="E34" s="1"/>
      <c r="F34" s="411"/>
      <c r="G34" s="205"/>
      <c r="H34" s="1"/>
      <c r="I34" s="419" t="s">
        <v>446</v>
      </c>
      <c r="J34" s="207"/>
      <c r="K34" s="1"/>
      <c r="L34" s="411"/>
      <c r="M34" s="205"/>
      <c r="N34" s="422"/>
      <c r="O34" s="429"/>
      <c r="P34" s="423"/>
      <c r="Q34" s="429"/>
      <c r="R34" s="203"/>
    </row>
    <row r="35" spans="1:18" ht="15.75" x14ac:dyDescent="0.5">
      <c r="A35" s="203"/>
      <c r="B35" s="170"/>
      <c r="C35" s="207" t="s">
        <v>448</v>
      </c>
      <c r="D35" s="1"/>
      <c r="E35" s="1"/>
      <c r="F35" s="462">
        <v>1.77</v>
      </c>
      <c r="G35" s="205" t="s">
        <v>449</v>
      </c>
      <c r="H35" s="1"/>
      <c r="I35" s="207" t="s">
        <v>448</v>
      </c>
      <c r="J35" s="1"/>
      <c r="K35" s="1"/>
      <c r="L35" s="462">
        <v>1.77</v>
      </c>
      <c r="M35" s="205" t="s">
        <v>449</v>
      </c>
      <c r="N35" s="98">
        <f t="shared" si="0"/>
        <v>0</v>
      </c>
      <c r="O35" s="429">
        <f>(L35-F35)/F35</f>
        <v>0</v>
      </c>
      <c r="P35" s="464"/>
      <c r="Q35" s="430"/>
      <c r="R35" s="203"/>
    </row>
    <row r="36" spans="1:18" ht="15.75" x14ac:dyDescent="0.5">
      <c r="A36" s="203"/>
      <c r="B36" s="350"/>
      <c r="C36" s="463"/>
      <c r="D36" s="351"/>
      <c r="E36" s="351"/>
      <c r="F36" s="351"/>
      <c r="G36" s="352"/>
      <c r="H36" s="351"/>
      <c r="I36" s="351"/>
      <c r="J36" s="351"/>
      <c r="K36" s="351"/>
      <c r="L36" s="351"/>
      <c r="M36" s="352"/>
      <c r="N36" s="351"/>
      <c r="O36" s="351"/>
      <c r="P36" s="352"/>
      <c r="Q36" s="203"/>
      <c r="R36" s="203"/>
    </row>
    <row r="37" spans="1:18" x14ac:dyDescent="0.4">
      <c r="P37" s="465"/>
    </row>
  </sheetData>
  <mergeCells count="7">
    <mergeCell ref="N9:O9"/>
    <mergeCell ref="C3:M3"/>
    <mergeCell ref="C4:M4"/>
    <mergeCell ref="C6:M6"/>
    <mergeCell ref="C9:G9"/>
    <mergeCell ref="I9:M9"/>
    <mergeCell ref="C5:M5"/>
  </mergeCells>
  <printOptions horizontalCentered="1" verticalCentered="1"/>
  <pageMargins left="0.45" right="0.45" top="0.5" bottom="0.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2D69-AC95-4703-9B02-523ADE75921D}">
  <sheetPr>
    <pageSetUpPr fitToPage="1"/>
  </sheetPr>
  <dimension ref="A1:K38"/>
  <sheetViews>
    <sheetView workbookViewId="0">
      <selection activeCell="F13" sqref="F13"/>
    </sheetView>
  </sheetViews>
  <sheetFormatPr defaultColWidth="8.88671875" defaultRowHeight="14.25" x14ac:dyDescent="0.45"/>
  <cols>
    <col min="1" max="1" width="2.609375" style="6" customWidth="1"/>
    <col min="2" max="2" width="1.21875" style="6" customWidth="1"/>
    <col min="3" max="6" width="11.33203125" style="6" customWidth="1"/>
    <col min="7" max="7" width="0" style="6" hidden="1" customWidth="1"/>
    <col min="8" max="8" width="8.88671875" style="6"/>
    <col min="9" max="9" width="1.5546875" style="6" customWidth="1"/>
    <col min="10" max="10" width="2.609375" style="6" customWidth="1"/>
    <col min="11" max="16384" width="8.88671875" style="6"/>
  </cols>
  <sheetData>
    <row r="1" spans="1:11" ht="15.75" x14ac:dyDescent="0.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1"/>
    </row>
    <row r="2" spans="1:11" ht="15.75" x14ac:dyDescent="0.5">
      <c r="A2" s="349"/>
      <c r="B2" s="345"/>
      <c r="C2" s="346"/>
      <c r="D2" s="346"/>
      <c r="E2" s="346"/>
      <c r="F2" s="346"/>
      <c r="G2" s="346"/>
      <c r="H2" s="346"/>
      <c r="I2" s="347"/>
      <c r="J2" s="203"/>
      <c r="K2" s="1"/>
    </row>
    <row r="3" spans="1:11" ht="18" x14ac:dyDescent="0.55000000000000004">
      <c r="A3" s="349"/>
      <c r="B3" s="488" t="s">
        <v>398</v>
      </c>
      <c r="C3" s="477"/>
      <c r="D3" s="477"/>
      <c r="E3" s="477"/>
      <c r="F3" s="477"/>
      <c r="G3" s="477"/>
      <c r="H3" s="477"/>
      <c r="I3" s="478"/>
      <c r="J3" s="203"/>
      <c r="K3" s="1"/>
    </row>
    <row r="4" spans="1:11" ht="18.75" customHeight="1" x14ac:dyDescent="0.55000000000000004">
      <c r="A4" s="349"/>
      <c r="B4" s="483" t="s">
        <v>382</v>
      </c>
      <c r="C4" s="484"/>
      <c r="D4" s="484"/>
      <c r="E4" s="484"/>
      <c r="F4" s="484"/>
      <c r="G4" s="484"/>
      <c r="H4" s="484"/>
      <c r="I4" s="485"/>
      <c r="J4" s="203"/>
      <c r="K4" s="1"/>
    </row>
    <row r="5" spans="1:11" ht="18.75" customHeight="1" x14ac:dyDescent="0.55000000000000004">
      <c r="A5" s="349"/>
      <c r="B5" s="441"/>
      <c r="C5" s="221"/>
      <c r="D5" s="440"/>
      <c r="E5" s="440" t="s">
        <v>455</v>
      </c>
      <c r="F5" s="440"/>
      <c r="G5" s="221"/>
      <c r="H5" s="221"/>
      <c r="I5" s="222"/>
      <c r="J5" s="203"/>
      <c r="K5" s="1"/>
    </row>
    <row r="6" spans="1:11" ht="18" x14ac:dyDescent="0.55000000000000004">
      <c r="A6" s="349"/>
      <c r="B6" s="488" t="s">
        <v>179</v>
      </c>
      <c r="C6" s="477"/>
      <c r="D6" s="477"/>
      <c r="E6" s="477"/>
      <c r="F6" s="477"/>
      <c r="G6" s="477"/>
      <c r="H6" s="477"/>
      <c r="I6" s="478"/>
      <c r="J6" s="203"/>
      <c r="K6" s="1"/>
    </row>
    <row r="7" spans="1:11" ht="15.75" x14ac:dyDescent="0.5">
      <c r="A7" s="349"/>
      <c r="B7" s="350"/>
      <c r="C7" s="351"/>
      <c r="D7" s="351"/>
      <c r="E7" s="351"/>
      <c r="F7" s="351"/>
      <c r="G7" s="351"/>
      <c r="H7" s="351"/>
      <c r="I7" s="352"/>
      <c r="J7" s="203"/>
      <c r="K7" s="1"/>
    </row>
    <row r="8" spans="1:11" ht="15.4" x14ac:dyDescent="0.45">
      <c r="A8" s="446"/>
      <c r="B8" s="38"/>
      <c r="C8" s="40"/>
      <c r="D8" s="39"/>
      <c r="E8" s="39"/>
      <c r="F8" s="39"/>
      <c r="G8" s="39"/>
      <c r="H8" s="39"/>
      <c r="I8" s="40"/>
      <c r="J8"/>
      <c r="K8" s="1"/>
    </row>
    <row r="9" spans="1:11" ht="17.649999999999999" x14ac:dyDescent="0.75">
      <c r="A9" s="446"/>
      <c r="B9" s="14"/>
      <c r="C9" s="365" t="s">
        <v>14</v>
      </c>
      <c r="D9" s="323" t="s">
        <v>26</v>
      </c>
      <c r="E9" s="323" t="s">
        <v>11</v>
      </c>
      <c r="F9" s="300"/>
      <c r="G9" s="282"/>
      <c r="H9" s="282"/>
      <c r="I9" s="353"/>
      <c r="J9"/>
      <c r="K9" s="1"/>
    </row>
    <row r="10" spans="1:11" ht="17.649999999999999" x14ac:dyDescent="0.75">
      <c r="A10" s="446"/>
      <c r="B10" s="14"/>
      <c r="C10" s="366" t="s">
        <v>65</v>
      </c>
      <c r="D10" s="300" t="s">
        <v>60</v>
      </c>
      <c r="E10" s="300" t="s">
        <v>60</v>
      </c>
      <c r="F10" s="300" t="s">
        <v>27</v>
      </c>
      <c r="G10" s="282" t="s">
        <v>61</v>
      </c>
      <c r="H10" s="300" t="s">
        <v>452</v>
      </c>
      <c r="I10" s="353"/>
      <c r="J10"/>
      <c r="K10" s="1"/>
    </row>
    <row r="11" spans="1:11" ht="17.649999999999999" x14ac:dyDescent="0.75">
      <c r="A11" s="446"/>
      <c r="B11" s="14"/>
      <c r="C11" s="366"/>
      <c r="D11" s="300"/>
      <c r="E11" s="300"/>
      <c r="F11" s="300"/>
      <c r="G11" s="282"/>
      <c r="H11" s="300"/>
      <c r="I11" s="353"/>
      <c r="J11"/>
      <c r="K11" s="1"/>
    </row>
    <row r="12" spans="1:11" ht="18" x14ac:dyDescent="0.8">
      <c r="A12" s="446"/>
      <c r="B12" s="14"/>
      <c r="C12" s="353"/>
      <c r="D12" s="486" t="s">
        <v>371</v>
      </c>
      <c r="E12" s="487"/>
      <c r="F12" s="487"/>
      <c r="G12" s="487"/>
      <c r="H12" s="354"/>
      <c r="I12" s="353"/>
      <c r="J12"/>
      <c r="K12" s="1"/>
    </row>
    <row r="13" spans="1:11" ht="16.05" customHeight="1" x14ac:dyDescent="0.8">
      <c r="A13" s="446"/>
      <c r="B13" s="14"/>
      <c r="C13" s="367" t="s">
        <v>377</v>
      </c>
      <c r="D13" s="355">
        <f>'Rates_%'!F12</f>
        <v>22.09</v>
      </c>
      <c r="E13" s="355">
        <f>'Rates_%'!L12</f>
        <v>24.82</v>
      </c>
      <c r="F13" s="302">
        <f t="shared" ref="F13:F18" si="0">E13-D13</f>
        <v>2.7300000000000004</v>
      </c>
      <c r="G13" s="354"/>
      <c r="H13" s="460">
        <f>F13/D13</f>
        <v>0.12358533272974198</v>
      </c>
      <c r="I13" s="353"/>
      <c r="J13"/>
      <c r="K13" s="368"/>
    </row>
    <row r="14" spans="1:11" ht="16.05" customHeight="1" x14ac:dyDescent="0.5">
      <c r="A14" s="446"/>
      <c r="B14" s="14"/>
      <c r="C14" s="33">
        <v>2000</v>
      </c>
      <c r="D14" s="360">
        <f>'Rates_%'!F12</f>
        <v>22.09</v>
      </c>
      <c r="E14" s="302">
        <f>'Rates_%'!L12</f>
        <v>24.82</v>
      </c>
      <c r="F14" s="302">
        <f t="shared" si="0"/>
        <v>2.7300000000000004</v>
      </c>
      <c r="G14" s="253">
        <f t="shared" ref="G14:G18" si="1">F14/D14</f>
        <v>0.12358533272974198</v>
      </c>
      <c r="H14" s="460">
        <f t="shared" ref="H14:H23" si="2">F14/D14</f>
        <v>0.12358533272974198</v>
      </c>
      <c r="I14" s="356"/>
      <c r="J14"/>
      <c r="K14" s="368"/>
    </row>
    <row r="15" spans="1:11" ht="16.05" customHeight="1" x14ac:dyDescent="0.5">
      <c r="A15" s="446"/>
      <c r="B15" s="447"/>
      <c r="C15" s="357">
        <v>4000</v>
      </c>
      <c r="D15" s="358">
        <f>'Rates_%'!$F$12+(('Bills '!C15/1000)-2)*'Rates_%'!$F$13</f>
        <v>39.489999999999995</v>
      </c>
      <c r="E15" s="358">
        <f>'Rates_%'!$L$12+(('Bills '!C15/1000)-2)*'Rates_%'!$L$13</f>
        <v>44.36</v>
      </c>
      <c r="F15" s="358">
        <f t="shared" si="0"/>
        <v>4.8700000000000045</v>
      </c>
      <c r="G15" s="359">
        <f t="shared" si="1"/>
        <v>0.12332236009116244</v>
      </c>
      <c r="H15" s="452">
        <f t="shared" si="2"/>
        <v>0.12332236009116244</v>
      </c>
      <c r="I15" s="444"/>
      <c r="J15"/>
      <c r="K15" s="368"/>
    </row>
    <row r="16" spans="1:11" ht="16.05" customHeight="1" x14ac:dyDescent="0.5">
      <c r="A16" s="446"/>
      <c r="B16" s="14"/>
      <c r="C16" s="33">
        <v>6000</v>
      </c>
      <c r="D16" s="360">
        <f>'Rates_%'!$F$12+(3*'Rates_%'!$F$13)+(('Bills '!C16/1000)-5)*'Rates_%'!$F$14</f>
        <v>55.57</v>
      </c>
      <c r="E16" s="360">
        <f>'Rates_%'!$L$12+(3*'Rates_%'!$L$13)+(('Bills '!C16/1000)-5)*'Rates_%'!$L$14</f>
        <v>62.419999999999995</v>
      </c>
      <c r="F16" s="302">
        <f t="shared" si="0"/>
        <v>6.8499999999999943</v>
      </c>
      <c r="G16" s="253">
        <f t="shared" si="1"/>
        <v>0.12326795033291334</v>
      </c>
      <c r="H16" s="460">
        <f t="shared" si="2"/>
        <v>0.12326795033291334</v>
      </c>
      <c r="I16" s="356"/>
      <c r="J16"/>
      <c r="K16" s="368"/>
    </row>
    <row r="17" spans="1:11" ht="16.05" customHeight="1" x14ac:dyDescent="0.5">
      <c r="A17" s="446"/>
      <c r="B17" s="14"/>
      <c r="C17" s="33">
        <v>10000</v>
      </c>
      <c r="D17" s="360">
        <f>'Rates_%'!$F$12+(3*'Rates_%'!$F$13)+(('Bills '!C17/1000)-5)*'Rates_%'!$F$14</f>
        <v>85.09</v>
      </c>
      <c r="E17" s="360">
        <f>'Rates_%'!$L$12+(3*'Rates_%'!$L$13)+(('Bills '!C17/1000)-5)*'Rates_%'!$L$14</f>
        <v>95.579999999999984</v>
      </c>
      <c r="F17" s="302">
        <f t="shared" si="0"/>
        <v>10.489999999999981</v>
      </c>
      <c r="G17" s="253">
        <f t="shared" si="1"/>
        <v>0.12328123163708991</v>
      </c>
      <c r="H17" s="460">
        <f t="shared" si="2"/>
        <v>0.12328123163708991</v>
      </c>
      <c r="I17" s="356"/>
      <c r="J17"/>
      <c r="K17" s="368"/>
    </row>
    <row r="18" spans="1:11" ht="16.05" customHeight="1" x14ac:dyDescent="0.5">
      <c r="A18" s="446"/>
      <c r="B18" s="14"/>
      <c r="C18" s="33">
        <v>50000</v>
      </c>
      <c r="D18" s="360">
        <f>'Rates_%'!$F$12+(3*'Rates_%'!$F$13)+(5*'Rates_%'!$F$14)+(('Bills '!C18/1000)-10)*'Rates_%'!$F$15</f>
        <v>354.69000000000005</v>
      </c>
      <c r="E18" s="360">
        <f>'Rates_%'!$L$12+(3*'Rates_%'!$L$13)+(5*'Rates_%'!$L$14)+(('Bills '!C18/1000)-10)*'Rates_%'!$L$15</f>
        <v>398.38</v>
      </c>
      <c r="F18" s="302">
        <f t="shared" si="0"/>
        <v>43.689999999999941</v>
      </c>
      <c r="G18" s="253">
        <f t="shared" si="1"/>
        <v>0.12317798641066828</v>
      </c>
      <c r="H18" s="460">
        <f t="shared" si="2"/>
        <v>0.12317798641066828</v>
      </c>
      <c r="I18" s="356"/>
      <c r="J18"/>
      <c r="K18" s="368"/>
    </row>
    <row r="19" spans="1:11" ht="16.05" customHeight="1" x14ac:dyDescent="0.5">
      <c r="A19" s="446"/>
      <c r="B19" s="14"/>
      <c r="C19" s="33"/>
      <c r="D19" s="360"/>
      <c r="E19" s="302"/>
      <c r="F19" s="302"/>
      <c r="G19" s="253"/>
      <c r="H19" s="460"/>
      <c r="I19" s="356"/>
      <c r="J19"/>
      <c r="K19" s="368"/>
    </row>
    <row r="20" spans="1:11" ht="16.05" customHeight="1" x14ac:dyDescent="0.8">
      <c r="A20" s="446"/>
      <c r="B20" s="14"/>
      <c r="C20" s="33"/>
      <c r="D20" s="487" t="s">
        <v>372</v>
      </c>
      <c r="E20" s="487"/>
      <c r="F20" s="487"/>
      <c r="G20" s="487"/>
      <c r="H20" s="460"/>
      <c r="I20" s="356"/>
      <c r="J20"/>
      <c r="K20" s="1"/>
    </row>
    <row r="21" spans="1:11" ht="16.05" customHeight="1" x14ac:dyDescent="0.5">
      <c r="A21" s="446"/>
      <c r="B21" s="14"/>
      <c r="C21" s="367" t="s">
        <v>377</v>
      </c>
      <c r="D21" s="360">
        <f>'Rates_%'!F19</f>
        <v>419.74</v>
      </c>
      <c r="E21" s="360">
        <f>'Rates_%'!L19</f>
        <v>471.58</v>
      </c>
      <c r="F21" s="373">
        <f t="shared" ref="F21:F23" si="3">E21-D21</f>
        <v>51.839999999999975</v>
      </c>
      <c r="G21" s="253"/>
      <c r="H21" s="460">
        <f t="shared" si="2"/>
        <v>0.12350502692142749</v>
      </c>
      <c r="I21" s="356"/>
      <c r="J21"/>
      <c r="K21" s="368"/>
    </row>
    <row r="22" spans="1:11" ht="16.05" customHeight="1" x14ac:dyDescent="0.5">
      <c r="A22" s="446"/>
      <c r="B22" s="14"/>
      <c r="C22" s="33">
        <v>100000</v>
      </c>
      <c r="D22" s="360">
        <f>'Rates_%'!$F$19+(15*'Rates_%'!$F$20)+(('Bills '!C22/1000)-70)*'Rates_%'!$F$21</f>
        <v>706.54000000000008</v>
      </c>
      <c r="E22" s="360">
        <f>'Rates_%'!$L$19+(15*'Rates_%'!$L$20)+(('Bills '!C22/1000)-70)*'Rates_%'!$L$21</f>
        <v>793.63</v>
      </c>
      <c r="F22" s="373">
        <f t="shared" si="3"/>
        <v>87.089999999999918</v>
      </c>
      <c r="G22" s="253"/>
      <c r="H22" s="460">
        <f t="shared" si="2"/>
        <v>0.12326266028816472</v>
      </c>
      <c r="I22" s="356"/>
      <c r="J22"/>
      <c r="K22" s="368"/>
    </row>
    <row r="23" spans="1:11" ht="16.05" customHeight="1" x14ac:dyDescent="0.5">
      <c r="A23" s="446"/>
      <c r="B23" s="447"/>
      <c r="C23" s="357">
        <f>ExBA!D66/12</f>
        <v>139383.33333333334</v>
      </c>
      <c r="D23" s="358">
        <f>'Rates_%'!$F$19+(15*'Rates_%'!$F$20)+(('Bills '!C23/1000)-70)*'Rates_%'!$F$21</f>
        <v>950.32283333333351</v>
      </c>
      <c r="E23" s="358">
        <f>'Rates_%'!$L$19+(15*'Rates_%'!$L$20)+(('Bills '!C23/1000)-70)*'Rates_%'!$L$21</f>
        <v>1067.3441666666668</v>
      </c>
      <c r="F23" s="448">
        <f t="shared" si="3"/>
        <v>117.02133333333325</v>
      </c>
      <c r="G23" s="359"/>
      <c r="H23" s="452">
        <f t="shared" si="2"/>
        <v>0.12313850538860729</v>
      </c>
      <c r="I23" s="444"/>
      <c r="J23"/>
      <c r="K23" s="368"/>
    </row>
    <row r="24" spans="1:11" ht="16.05" customHeight="1" x14ac:dyDescent="0.5">
      <c r="A24" s="446"/>
      <c r="B24" s="453"/>
      <c r="C24" s="454">
        <v>200000</v>
      </c>
      <c r="D24" s="360">
        <f>'Rates_%'!$F$19+(15*'Rates_%'!$F$20)+(('Bills '!C24/1000)-70)*'Rates_%'!$F$21</f>
        <v>1325.54</v>
      </c>
      <c r="E24" s="360">
        <f>'Rates_%'!$L$19+(15*'Rates_%'!$L$20)+(('Bills '!C24/1000)-70)*'Rates_%'!$L$21</f>
        <v>1488.63</v>
      </c>
      <c r="F24" s="373">
        <f t="shared" ref="F24" si="4">E24-D24</f>
        <v>163.09000000000015</v>
      </c>
      <c r="G24" s="253"/>
      <c r="H24" s="460">
        <f t="shared" ref="H24" si="5">F24/D24</f>
        <v>0.1230366492146598</v>
      </c>
      <c r="I24" s="456"/>
      <c r="J24"/>
      <c r="K24" s="368"/>
    </row>
    <row r="25" spans="1:11" ht="16.05" customHeight="1" x14ac:dyDescent="0.5">
      <c r="A25" s="446"/>
      <c r="B25" s="14"/>
      <c r="C25" s="33"/>
      <c r="D25" s="360"/>
      <c r="E25" s="360"/>
      <c r="F25" s="373"/>
      <c r="G25" s="253"/>
      <c r="H25" s="460"/>
      <c r="I25" s="356"/>
      <c r="J25"/>
      <c r="K25" s="368"/>
    </row>
    <row r="26" spans="1:11" ht="16.05" customHeight="1" x14ac:dyDescent="0.8">
      <c r="A26" s="446"/>
      <c r="B26" s="14"/>
      <c r="C26" s="33"/>
      <c r="D26" s="487" t="s">
        <v>373</v>
      </c>
      <c r="E26" s="487"/>
      <c r="F26" s="487"/>
      <c r="G26" s="487"/>
      <c r="H26" s="460"/>
      <c r="I26" s="356"/>
      <c r="J26"/>
      <c r="K26" s="368"/>
    </row>
    <row r="27" spans="1:11" ht="16.05" customHeight="1" x14ac:dyDescent="0.5">
      <c r="A27" s="446"/>
      <c r="B27" s="14"/>
      <c r="C27" s="367" t="s">
        <v>377</v>
      </c>
      <c r="D27" s="360">
        <f>'Rates_%'!F24</f>
        <v>77.7</v>
      </c>
      <c r="E27" s="360">
        <f>'Rates_%'!L24</f>
        <v>87.3</v>
      </c>
      <c r="F27" s="458">
        <f t="shared" ref="F27:F30" si="6">E27-D27</f>
        <v>9.5999999999999943</v>
      </c>
      <c r="G27" s="455"/>
      <c r="H27" s="459">
        <f t="shared" ref="H27:H30" si="7">F27/D27</f>
        <v>0.12355212355212347</v>
      </c>
      <c r="I27" s="356"/>
      <c r="J27"/>
      <c r="K27" s="368"/>
    </row>
    <row r="28" spans="1:11" ht="16.05" customHeight="1" x14ac:dyDescent="0.5">
      <c r="A28" s="446"/>
      <c r="B28" s="447"/>
      <c r="C28" s="357">
        <v>20000</v>
      </c>
      <c r="D28" s="358">
        <f>'Rates_%'!F24+(('Bills '!C28/1000)-10)*'Rates_%'!F25</f>
        <v>145.10000000000002</v>
      </c>
      <c r="E28" s="358">
        <f>'Rates_%'!L24+(('Bills '!C28/1000)-10)*'Rates_%'!L25</f>
        <v>163</v>
      </c>
      <c r="F28" s="451">
        <f t="shared" si="6"/>
        <v>17.899999999999977</v>
      </c>
      <c r="G28" s="359"/>
      <c r="H28" s="452">
        <f t="shared" si="7"/>
        <v>0.12336319779462422</v>
      </c>
      <c r="I28" s="444"/>
      <c r="J28"/>
      <c r="K28" s="368"/>
    </row>
    <row r="29" spans="1:11" ht="16.05" customHeight="1" x14ac:dyDescent="0.5">
      <c r="A29" s="446"/>
      <c r="B29" s="14"/>
      <c r="C29" s="33">
        <v>60000</v>
      </c>
      <c r="D29" s="360">
        <f>'Rates_%'!F25+(('Bills '!C29/1000)-10)*'Rates_%'!F26</f>
        <v>316.24</v>
      </c>
      <c r="E29" s="360">
        <f>'Rates_%'!L25+(('Bills '!C29/1000)-10)*'Rates_%'!L26</f>
        <v>355.07</v>
      </c>
      <c r="F29" s="458">
        <f t="shared" si="6"/>
        <v>38.829999999999984</v>
      </c>
      <c r="G29" s="455"/>
      <c r="H29" s="459">
        <f t="shared" si="7"/>
        <v>0.12278649127245125</v>
      </c>
      <c r="I29" s="356"/>
      <c r="J29"/>
      <c r="K29" s="368"/>
    </row>
    <row r="30" spans="1:11" ht="16.05" customHeight="1" x14ac:dyDescent="0.5">
      <c r="A30" s="446"/>
      <c r="B30" s="14"/>
      <c r="C30" s="33">
        <v>100000</v>
      </c>
      <c r="D30" s="360">
        <f>'Rates_%'!F24+(60*'Rates_%'!F25)+(('Bills '!C30/1000)-70)*'Rates_%'!F26</f>
        <v>667.80000000000007</v>
      </c>
      <c r="E30" s="360">
        <f>'Rates_%'!L24+(60*'Rates_%'!L25)+(('Bills '!C30/1000)-70)*'Rates_%'!L26</f>
        <v>750</v>
      </c>
      <c r="F30" s="458">
        <f t="shared" si="6"/>
        <v>82.199999999999932</v>
      </c>
      <c r="G30" s="455"/>
      <c r="H30" s="459">
        <f t="shared" si="7"/>
        <v>0.12309074573225505</v>
      </c>
      <c r="I30" s="356"/>
      <c r="J30"/>
      <c r="K30" s="368"/>
    </row>
    <row r="31" spans="1:11" ht="16.05" customHeight="1" x14ac:dyDescent="0.5">
      <c r="A31" s="446"/>
      <c r="B31" s="14"/>
      <c r="C31" s="33"/>
      <c r="D31" s="360"/>
      <c r="E31" s="360"/>
      <c r="F31" s="458"/>
      <c r="G31" s="455"/>
      <c r="H31" s="459"/>
      <c r="I31" s="356"/>
      <c r="J31"/>
      <c r="K31" s="368"/>
    </row>
    <row r="32" spans="1:11" ht="16.05" customHeight="1" x14ac:dyDescent="0.8">
      <c r="A32" s="446"/>
      <c r="B32" s="14"/>
      <c r="C32" s="33"/>
      <c r="D32" s="489" t="s">
        <v>374</v>
      </c>
      <c r="E32" s="490"/>
      <c r="F32" s="490"/>
      <c r="G32" s="253"/>
      <c r="H32" s="460"/>
      <c r="I32" s="356"/>
      <c r="J32"/>
      <c r="K32" s="368"/>
    </row>
    <row r="33" spans="1:11" ht="16.05" customHeight="1" x14ac:dyDescent="0.5">
      <c r="A33" s="446"/>
      <c r="B33" s="14"/>
      <c r="C33" s="33">
        <v>1000000</v>
      </c>
      <c r="D33" s="445">
        <f>(C33/1000)*'Rates_%'!$F$29</f>
        <v>3850</v>
      </c>
      <c r="E33" s="445">
        <f>(C33/1000)*'Rates_%'!$L$29</f>
        <v>4330</v>
      </c>
      <c r="F33" s="458">
        <f t="shared" ref="F33" si="8">E33-D33</f>
        <v>480</v>
      </c>
      <c r="G33" s="455"/>
      <c r="H33" s="459">
        <f t="shared" ref="H33" si="9">F33/D33</f>
        <v>0.12467532467532468</v>
      </c>
      <c r="I33" s="456"/>
      <c r="J33"/>
      <c r="K33" s="368"/>
    </row>
    <row r="34" spans="1:11" ht="16.05" customHeight="1" x14ac:dyDescent="0.5">
      <c r="A34" s="446"/>
      <c r="B34" s="447"/>
      <c r="C34" s="449">
        <f>ExBA!D93/12</f>
        <v>1520250</v>
      </c>
      <c r="D34" s="450">
        <f>(C34/1000)*'Rates_%'!$F$29</f>
        <v>5852.9625000000005</v>
      </c>
      <c r="E34" s="450">
        <f>(C34/1000)*'Rates_%'!$L$29</f>
        <v>6582.6824999999999</v>
      </c>
      <c r="F34" s="451">
        <f>E34-D34</f>
        <v>729.71999999999935</v>
      </c>
      <c r="G34" s="359"/>
      <c r="H34" s="452">
        <f>F34/D34</f>
        <v>0.12467532467532455</v>
      </c>
      <c r="I34" s="444"/>
      <c r="J34"/>
      <c r="K34" s="368"/>
    </row>
    <row r="35" spans="1:11" ht="16.05" customHeight="1" x14ac:dyDescent="0.5">
      <c r="A35" s="446"/>
      <c r="B35" s="453"/>
      <c r="C35" s="457">
        <v>2000000</v>
      </c>
      <c r="D35" s="445">
        <f>(C35/1000)*'Rates_%'!$F$29</f>
        <v>7700</v>
      </c>
      <c r="E35" s="445">
        <f>(C35/1000)*'Rates_%'!$L$29</f>
        <v>8660</v>
      </c>
      <c r="F35" s="458">
        <f t="shared" ref="F35" si="10">E35-D35</f>
        <v>960</v>
      </c>
      <c r="G35" s="455"/>
      <c r="H35" s="459">
        <f t="shared" ref="H35" si="11">F35/D35</f>
        <v>0.12467532467532468</v>
      </c>
      <c r="I35" s="456"/>
      <c r="J35"/>
      <c r="K35" s="368"/>
    </row>
    <row r="36" spans="1:11" ht="15.4" x14ac:dyDescent="0.45">
      <c r="A36" s="446"/>
      <c r="B36" s="239"/>
      <c r="C36" s="32"/>
      <c r="D36" s="361"/>
      <c r="E36" s="362"/>
      <c r="F36" s="363"/>
      <c r="G36" s="364"/>
      <c r="H36" s="364"/>
      <c r="I36" s="32"/>
      <c r="J36"/>
      <c r="K36" s="1"/>
    </row>
    <row r="37" spans="1:11" ht="15.4" x14ac:dyDescent="0.45">
      <c r="A37"/>
      <c r="B37"/>
      <c r="C37"/>
      <c r="D37"/>
      <c r="E37"/>
      <c r="F37"/>
      <c r="G37"/>
      <c r="H37"/>
      <c r="I37"/>
      <c r="J37"/>
      <c r="K37" s="1"/>
    </row>
    <row r="38" spans="1:11" ht="15.4" x14ac:dyDescent="0.45">
      <c r="A38"/>
      <c r="B38" s="482" t="s">
        <v>456</v>
      </c>
      <c r="C38" s="482"/>
      <c r="D38" s="482"/>
      <c r="E38" s="482"/>
      <c r="F38" s="482"/>
      <c r="G38" s="482"/>
      <c r="H38" s="482"/>
      <c r="I38" s="482"/>
      <c r="J38"/>
      <c r="K38" s="1"/>
    </row>
  </sheetData>
  <mergeCells count="8">
    <mergeCell ref="B38:I38"/>
    <mergeCell ref="B4:I4"/>
    <mergeCell ref="D12:G12"/>
    <mergeCell ref="D20:G20"/>
    <mergeCell ref="B3:I3"/>
    <mergeCell ref="B6:I6"/>
    <mergeCell ref="D26:G26"/>
    <mergeCell ref="D32:F32"/>
  </mergeCells>
  <printOptions horizontalCentered="1"/>
  <pageMargins left="0.7" right="0.7" top="1.1000000000000001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DD25-1531-42F0-BE51-D19417158789}">
  <sheetPr>
    <pageSetUpPr fitToPage="1"/>
  </sheetPr>
  <dimension ref="A1:K38"/>
  <sheetViews>
    <sheetView topLeftCell="A3" workbookViewId="0">
      <selection activeCell="D33" sqref="D33"/>
    </sheetView>
  </sheetViews>
  <sheetFormatPr defaultColWidth="8.88671875" defaultRowHeight="14.25" x14ac:dyDescent="0.45"/>
  <cols>
    <col min="1" max="1" width="2.609375" style="6" customWidth="1"/>
    <col min="2" max="2" width="1.21875" style="6" customWidth="1"/>
    <col min="3" max="6" width="11.33203125" style="6" customWidth="1"/>
    <col min="7" max="7" width="0" style="6" hidden="1" customWidth="1"/>
    <col min="8" max="8" width="8.88671875" style="6"/>
    <col min="9" max="9" width="1.5546875" style="6" customWidth="1"/>
    <col min="10" max="10" width="2.609375" style="6" customWidth="1"/>
    <col min="11" max="16384" width="8.88671875" style="6"/>
  </cols>
  <sheetData>
    <row r="1" spans="1:11" ht="15.75" x14ac:dyDescent="0.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1"/>
    </row>
    <row r="2" spans="1:11" ht="15.75" x14ac:dyDescent="0.5">
      <c r="A2" s="349"/>
      <c r="B2" s="345"/>
      <c r="C2" s="346"/>
      <c r="D2" s="346"/>
      <c r="E2" s="346"/>
      <c r="F2" s="346"/>
      <c r="G2" s="346"/>
      <c r="H2" s="346"/>
      <c r="I2" s="347"/>
      <c r="J2" s="203"/>
      <c r="K2" s="1"/>
    </row>
    <row r="3" spans="1:11" ht="18" x14ac:dyDescent="0.55000000000000004">
      <c r="A3" s="349"/>
      <c r="B3" s="488" t="s">
        <v>399</v>
      </c>
      <c r="C3" s="477"/>
      <c r="D3" s="477"/>
      <c r="E3" s="477"/>
      <c r="F3" s="477"/>
      <c r="G3" s="477"/>
      <c r="H3" s="477"/>
      <c r="I3" s="478"/>
      <c r="J3" s="203"/>
      <c r="K3" s="1"/>
    </row>
    <row r="4" spans="1:11" ht="18.75" customHeight="1" x14ac:dyDescent="0.55000000000000004">
      <c r="A4" s="349"/>
      <c r="B4" s="483" t="s">
        <v>382</v>
      </c>
      <c r="C4" s="484"/>
      <c r="D4" s="484"/>
      <c r="E4" s="484"/>
      <c r="F4" s="484"/>
      <c r="G4" s="484"/>
      <c r="H4" s="484"/>
      <c r="I4" s="485"/>
      <c r="J4" s="203"/>
      <c r="K4" s="1"/>
    </row>
    <row r="5" spans="1:11" ht="18.75" customHeight="1" x14ac:dyDescent="0.55000000000000004">
      <c r="A5" s="349"/>
      <c r="B5" s="441"/>
      <c r="C5" s="221"/>
      <c r="D5" s="440"/>
      <c r="E5" s="440" t="s">
        <v>457</v>
      </c>
      <c r="F5" s="440"/>
      <c r="G5" s="221"/>
      <c r="H5" s="221"/>
      <c r="I5" s="222"/>
      <c r="J5" s="203"/>
      <c r="K5" s="1"/>
    </row>
    <row r="6" spans="1:11" ht="18" x14ac:dyDescent="0.55000000000000004">
      <c r="A6" s="349"/>
      <c r="B6" s="488" t="s">
        <v>179</v>
      </c>
      <c r="C6" s="477"/>
      <c r="D6" s="477"/>
      <c r="E6" s="477"/>
      <c r="F6" s="477"/>
      <c r="G6" s="477"/>
      <c r="H6" s="477"/>
      <c r="I6" s="478"/>
      <c r="J6" s="203"/>
      <c r="K6" s="1"/>
    </row>
    <row r="7" spans="1:11" ht="15.75" x14ac:dyDescent="0.5">
      <c r="A7" s="349"/>
      <c r="B7" s="350"/>
      <c r="C7" s="351"/>
      <c r="D7" s="351"/>
      <c r="E7" s="351"/>
      <c r="F7" s="351"/>
      <c r="G7" s="351"/>
      <c r="H7" s="351"/>
      <c r="I7" s="352"/>
      <c r="J7" s="203"/>
      <c r="K7" s="1"/>
    </row>
    <row r="8" spans="1:11" ht="15.4" x14ac:dyDescent="0.45">
      <c r="A8" s="446"/>
      <c r="B8" s="38"/>
      <c r="C8" s="40"/>
      <c r="D8" s="39"/>
      <c r="E8" s="39"/>
      <c r="F8" s="39"/>
      <c r="G8" s="39"/>
      <c r="H8" s="39"/>
      <c r="I8" s="40"/>
      <c r="J8"/>
      <c r="K8" s="1"/>
    </row>
    <row r="9" spans="1:11" ht="17.649999999999999" x14ac:dyDescent="0.75">
      <c r="A9" s="446"/>
      <c r="B9" s="14"/>
      <c r="C9" s="365" t="s">
        <v>14</v>
      </c>
      <c r="D9" s="323" t="s">
        <v>26</v>
      </c>
      <c r="E9" s="323" t="s">
        <v>11</v>
      </c>
      <c r="F9" s="300"/>
      <c r="G9" s="282"/>
      <c r="H9" s="282"/>
      <c r="I9" s="353"/>
      <c r="J9"/>
      <c r="K9" s="1"/>
    </row>
    <row r="10" spans="1:11" ht="17.649999999999999" x14ac:dyDescent="0.75">
      <c r="A10" s="446"/>
      <c r="B10" s="14"/>
      <c r="C10" s="366" t="s">
        <v>65</v>
      </c>
      <c r="D10" s="300" t="s">
        <v>60</v>
      </c>
      <c r="E10" s="300" t="s">
        <v>60</v>
      </c>
      <c r="F10" s="300" t="s">
        <v>27</v>
      </c>
      <c r="G10" s="282" t="s">
        <v>61</v>
      </c>
      <c r="H10" s="300" t="s">
        <v>452</v>
      </c>
      <c r="I10" s="353"/>
      <c r="J10"/>
      <c r="K10" s="1"/>
    </row>
    <row r="11" spans="1:11" ht="17.649999999999999" x14ac:dyDescent="0.75">
      <c r="A11" s="446"/>
      <c r="B11" s="14"/>
      <c r="C11" s="366"/>
      <c r="D11" s="300"/>
      <c r="E11" s="300"/>
      <c r="F11" s="300"/>
      <c r="G11" s="282"/>
      <c r="H11" s="300"/>
      <c r="I11" s="353"/>
      <c r="J11"/>
      <c r="K11" s="1"/>
    </row>
    <row r="12" spans="1:11" ht="18" x14ac:dyDescent="0.8">
      <c r="A12" s="446"/>
      <c r="B12" s="14"/>
      <c r="C12" s="353"/>
      <c r="D12" s="486" t="s">
        <v>371</v>
      </c>
      <c r="E12" s="487"/>
      <c r="F12" s="487"/>
      <c r="G12" s="487"/>
      <c r="H12" s="354"/>
      <c r="I12" s="353"/>
      <c r="J12"/>
      <c r="K12" s="1"/>
    </row>
    <row r="13" spans="1:11" ht="16.05" customHeight="1" x14ac:dyDescent="0.8">
      <c r="A13" s="446"/>
      <c r="B13" s="14"/>
      <c r="C13" s="367" t="s">
        <v>377</v>
      </c>
      <c r="D13" s="355">
        <f>'Rates_%'!F12+'Rates_%'!F35</f>
        <v>23.86</v>
      </c>
      <c r="E13" s="355">
        <f>'Rates_%'!L12+'Rates_%'!L35</f>
        <v>26.59</v>
      </c>
      <c r="F13" s="302">
        <f t="shared" ref="F13:F18" si="0">E13-D13</f>
        <v>2.7300000000000004</v>
      </c>
      <c r="G13" s="354"/>
      <c r="H13" s="460">
        <f>F13/D13</f>
        <v>0.11441743503772005</v>
      </c>
      <c r="I13" s="353"/>
      <c r="J13"/>
      <c r="K13" s="368"/>
    </row>
    <row r="14" spans="1:11" ht="16.05" customHeight="1" x14ac:dyDescent="0.5">
      <c r="A14" s="446"/>
      <c r="B14" s="14"/>
      <c r="C14" s="33">
        <v>2000</v>
      </c>
      <c r="D14" s="360">
        <f>'Rates_%'!F12+'Rates_%'!F35</f>
        <v>23.86</v>
      </c>
      <c r="E14" s="302">
        <f>'Rates_%'!L12+'Rates_%'!L35</f>
        <v>26.59</v>
      </c>
      <c r="F14" s="302">
        <f t="shared" si="0"/>
        <v>2.7300000000000004</v>
      </c>
      <c r="G14" s="253">
        <f t="shared" ref="G14:G18" si="1">F14/D14</f>
        <v>0.11441743503772005</v>
      </c>
      <c r="H14" s="460">
        <f t="shared" ref="H14:H24" si="2">F14/D14</f>
        <v>0.11441743503772005</v>
      </c>
      <c r="I14" s="356"/>
      <c r="J14"/>
      <c r="K14" s="368"/>
    </row>
    <row r="15" spans="1:11" ht="16.05" customHeight="1" x14ac:dyDescent="0.5">
      <c r="A15" s="446"/>
      <c r="B15" s="14"/>
      <c r="C15" s="357">
        <v>4000</v>
      </c>
      <c r="D15" s="358">
        <f>'Rates_%'!$F$12+(('Bills  with surcharge'!C15/1000)-2)*'Rates_%'!$F$13+'Rates_%'!F35</f>
        <v>41.26</v>
      </c>
      <c r="E15" s="358">
        <f>'Rates_%'!$L$12+(('Bills  with surcharge'!C15/1000)-2)*'Rates_%'!$L$13+'Rates_%'!L35</f>
        <v>46.13</v>
      </c>
      <c r="F15" s="358">
        <f t="shared" si="0"/>
        <v>4.8700000000000045</v>
      </c>
      <c r="G15" s="359">
        <f t="shared" si="1"/>
        <v>0.11803199224430452</v>
      </c>
      <c r="H15" s="452">
        <f t="shared" si="2"/>
        <v>0.11803199224430452</v>
      </c>
      <c r="I15" s="444"/>
      <c r="J15"/>
      <c r="K15" s="368"/>
    </row>
    <row r="16" spans="1:11" ht="16.05" customHeight="1" x14ac:dyDescent="0.5">
      <c r="A16" s="446"/>
      <c r="B16" s="14"/>
      <c r="C16" s="33">
        <v>6000</v>
      </c>
      <c r="D16" s="360">
        <f>'Rates_%'!$F$12+(3*'Rates_%'!$F$13)+(('Bills  with surcharge'!C16/1000)-5)*'Rates_%'!$F$14+'Rates_%'!F35</f>
        <v>57.34</v>
      </c>
      <c r="E16" s="360">
        <f>'Rates_%'!$L$12+(3*'Rates_%'!$L$13)+(('Bills  with surcharge'!C16/1000)-5)*'Rates_%'!$L$14+'Rates_%'!L35</f>
        <v>64.19</v>
      </c>
      <c r="F16" s="302">
        <f t="shared" si="0"/>
        <v>6.8499999999999943</v>
      </c>
      <c r="G16" s="253">
        <f t="shared" si="1"/>
        <v>0.11946285315660959</v>
      </c>
      <c r="H16" s="460">
        <f t="shared" si="2"/>
        <v>0.11946285315660959</v>
      </c>
      <c r="I16" s="356"/>
      <c r="J16"/>
      <c r="K16" s="368"/>
    </row>
    <row r="17" spans="1:11" ht="16.05" customHeight="1" x14ac:dyDescent="0.5">
      <c r="A17" s="446"/>
      <c r="B17" s="14"/>
      <c r="C17" s="33">
        <v>10000</v>
      </c>
      <c r="D17" s="360">
        <f>'Rates_%'!$F$12+(3*'Rates_%'!$F$13)+(('Bills  with surcharge'!C17/1000)-5)*'Rates_%'!$F$14+'Rates_%'!F35</f>
        <v>86.86</v>
      </c>
      <c r="E17" s="360">
        <f>'Rates_%'!$L$12+(3*'Rates_%'!$L$13)+(('Bills  with surcharge'!C17/1000)-5)*'Rates_%'!$L$14</f>
        <v>95.579999999999984</v>
      </c>
      <c r="F17" s="302">
        <f t="shared" si="0"/>
        <v>8.7199999999999847</v>
      </c>
      <c r="G17" s="253">
        <f t="shared" si="1"/>
        <v>0.10039143449228626</v>
      </c>
      <c r="H17" s="460">
        <f t="shared" si="2"/>
        <v>0.10039143449228626</v>
      </c>
      <c r="I17" s="356"/>
      <c r="J17"/>
      <c r="K17" s="368"/>
    </row>
    <row r="18" spans="1:11" ht="16.05" customHeight="1" x14ac:dyDescent="0.5">
      <c r="A18" s="446"/>
      <c r="B18" s="14"/>
      <c r="C18" s="33">
        <v>50000</v>
      </c>
      <c r="D18" s="360">
        <f>'Rates_%'!$F$12+(3*'Rates_%'!$F$13)+(5*'Rates_%'!$F$14)+(('Bills  with surcharge'!C18/1000)-10)*'Rates_%'!$F$15</f>
        <v>354.69000000000005</v>
      </c>
      <c r="E18" s="360">
        <f>'Rates_%'!$L$12+(3*'Rates_%'!$L$13)+(5*'Rates_%'!$L$14)+(('Bills  with surcharge'!C18/1000)-10)*'Rates_%'!$L$15+'Rates_%'!L35</f>
        <v>400.15</v>
      </c>
      <c r="F18" s="302">
        <f t="shared" si="0"/>
        <v>45.459999999999923</v>
      </c>
      <c r="G18" s="253">
        <f t="shared" si="1"/>
        <v>0.1281682596069805</v>
      </c>
      <c r="H18" s="460">
        <f t="shared" si="2"/>
        <v>0.1281682596069805</v>
      </c>
      <c r="I18" s="356"/>
      <c r="J18"/>
      <c r="K18" s="368"/>
    </row>
    <row r="19" spans="1:11" ht="16.05" customHeight="1" x14ac:dyDescent="0.5">
      <c r="A19" s="446"/>
      <c r="B19" s="14"/>
      <c r="C19" s="33"/>
      <c r="D19" s="360"/>
      <c r="E19" s="302"/>
      <c r="F19" s="302"/>
      <c r="G19" s="253"/>
      <c r="H19" s="460"/>
      <c r="I19" s="356"/>
      <c r="J19"/>
      <c r="K19" s="368"/>
    </row>
    <row r="20" spans="1:11" ht="16.05" customHeight="1" x14ac:dyDescent="0.8">
      <c r="A20" s="446"/>
      <c r="B20" s="14"/>
      <c r="C20" s="33"/>
      <c r="D20" s="487" t="s">
        <v>372</v>
      </c>
      <c r="E20" s="487"/>
      <c r="F20" s="487"/>
      <c r="G20" s="487"/>
      <c r="H20" s="460"/>
      <c r="I20" s="356"/>
      <c r="J20"/>
      <c r="K20" s="1"/>
    </row>
    <row r="21" spans="1:11" ht="16.05" customHeight="1" x14ac:dyDescent="0.5">
      <c r="A21" s="446"/>
      <c r="B21" s="14"/>
      <c r="C21" s="367" t="s">
        <v>377</v>
      </c>
      <c r="D21" s="360">
        <f>'Rates_%'!F19+'Rates_%'!F35</f>
        <v>421.51</v>
      </c>
      <c r="E21" s="360">
        <f>'Rates_%'!L19+'Rates_%'!L35</f>
        <v>473.34999999999997</v>
      </c>
      <c r="F21" s="373">
        <f t="shared" ref="F21:F24" si="3">E21-D21</f>
        <v>51.839999999999975</v>
      </c>
      <c r="G21" s="253"/>
      <c r="H21" s="460">
        <f t="shared" si="2"/>
        <v>0.12298640601646456</v>
      </c>
      <c r="I21" s="356"/>
      <c r="J21"/>
      <c r="K21" s="368"/>
    </row>
    <row r="22" spans="1:11" ht="16.05" customHeight="1" x14ac:dyDescent="0.5">
      <c r="A22" s="446"/>
      <c r="B22" s="14"/>
      <c r="C22" s="33">
        <v>100000</v>
      </c>
      <c r="D22" s="360">
        <f>'Rates_%'!$F$19+(15*'Rates_%'!$F$20)+(('Bills  with surcharge'!C22/1000)-70)*'Rates_%'!$F$21+'Rates_%'!F35</f>
        <v>708.31000000000006</v>
      </c>
      <c r="E22" s="360">
        <f>'Rates_%'!$L$19+(15*'Rates_%'!$L$20)+(('Bills  with surcharge'!C22/1000)-70)*'Rates_%'!$L$21+'Rates_%'!L35</f>
        <v>795.4</v>
      </c>
      <c r="F22" s="373">
        <f t="shared" si="3"/>
        <v>87.089999999999918</v>
      </c>
      <c r="G22" s="253"/>
      <c r="H22" s="460">
        <f t="shared" si="2"/>
        <v>0.12295463850573889</v>
      </c>
      <c r="I22" s="356"/>
      <c r="J22"/>
      <c r="K22" s="368"/>
    </row>
    <row r="23" spans="1:11" ht="16.05" customHeight="1" x14ac:dyDescent="0.5">
      <c r="A23" s="446"/>
      <c r="B23" s="447"/>
      <c r="C23" s="357">
        <f>ExBA!D66/12</f>
        <v>139383.33333333334</v>
      </c>
      <c r="D23" s="358">
        <f>'Rates_%'!$F$19+(15*'Rates_%'!$F$20)+(('Bills  with surcharge'!C23/1000)-70)*'Rates_%'!$F$21+'Rates_%'!F35</f>
        <v>952.09283333333349</v>
      </c>
      <c r="E23" s="358">
        <f>'Rates_%'!$L$19+(15*'Rates_%'!$L$20)+(('Bills  with surcharge'!C23/1000)-70)*'Rates_%'!$L$21+'Rates_%'!L35</f>
        <v>1069.1141666666667</v>
      </c>
      <c r="F23" s="448">
        <f t="shared" si="3"/>
        <v>117.02133333333325</v>
      </c>
      <c r="G23" s="359"/>
      <c r="H23" s="452">
        <f t="shared" si="2"/>
        <v>0.12290958322166402</v>
      </c>
      <c r="I23" s="444"/>
      <c r="J23"/>
      <c r="K23" s="368"/>
    </row>
    <row r="24" spans="1:11" ht="16.05" customHeight="1" x14ac:dyDescent="0.5">
      <c r="A24" s="446"/>
      <c r="B24" s="453"/>
      <c r="C24" s="454">
        <v>200000</v>
      </c>
      <c r="D24" s="360">
        <f>'Rates_%'!$F$19+(15*'Rates_%'!$F$20)+(('Bills  with surcharge'!C24/1000)-70)*'Rates_%'!$F$21+'Rates_%'!F35</f>
        <v>1327.31</v>
      </c>
      <c r="E24" s="360">
        <f>'Rates_%'!$L$19+(15*'Rates_%'!$L$20)+(('Bills  with surcharge'!C24/1000)-70)*'Rates_%'!$L$21+'Rates_%'!L35</f>
        <v>1490.4</v>
      </c>
      <c r="F24" s="373">
        <f t="shared" si="3"/>
        <v>163.09000000000015</v>
      </c>
      <c r="G24" s="253"/>
      <c r="H24" s="460">
        <f t="shared" si="2"/>
        <v>0.12287257686599223</v>
      </c>
      <c r="I24" s="456"/>
      <c r="J24"/>
      <c r="K24" s="368"/>
    </row>
    <row r="25" spans="1:11" ht="16.05" customHeight="1" x14ac:dyDescent="0.5">
      <c r="A25" s="446"/>
      <c r="B25" s="14"/>
      <c r="C25" s="33"/>
      <c r="D25" s="360"/>
      <c r="E25" s="360"/>
      <c r="F25" s="373"/>
      <c r="G25" s="253"/>
      <c r="H25" s="460"/>
      <c r="I25" s="356"/>
      <c r="J25"/>
      <c r="K25" s="368"/>
    </row>
    <row r="26" spans="1:11" ht="16.05" customHeight="1" x14ac:dyDescent="0.8">
      <c r="A26" s="446"/>
      <c r="B26" s="14"/>
      <c r="C26" s="33"/>
      <c r="D26" s="487" t="s">
        <v>373</v>
      </c>
      <c r="E26" s="487"/>
      <c r="F26" s="487"/>
      <c r="G26" s="487"/>
      <c r="H26" s="460"/>
      <c r="I26" s="356"/>
      <c r="J26"/>
      <c r="K26" s="368"/>
    </row>
    <row r="27" spans="1:11" ht="16.05" customHeight="1" x14ac:dyDescent="0.5">
      <c r="A27" s="446"/>
      <c r="B27" s="14"/>
      <c r="C27" s="367" t="s">
        <v>377</v>
      </c>
      <c r="D27" s="360">
        <f>'Rates_%'!F24+'Rates_%'!F35</f>
        <v>79.47</v>
      </c>
      <c r="E27" s="360">
        <f>'Rates_%'!L24+'Rates_%'!L35</f>
        <v>89.07</v>
      </c>
      <c r="F27" s="458">
        <f t="shared" ref="F27:F30" si="4">E27-D27</f>
        <v>9.5999999999999943</v>
      </c>
      <c r="G27" s="455"/>
      <c r="H27" s="459">
        <f t="shared" ref="H27:H30" si="5">F27/D27</f>
        <v>0.12080030200075494</v>
      </c>
      <c r="I27" s="356"/>
      <c r="J27"/>
      <c r="K27" s="368"/>
    </row>
    <row r="28" spans="1:11" ht="16.05" customHeight="1" x14ac:dyDescent="0.5">
      <c r="A28" s="446"/>
      <c r="B28" s="14"/>
      <c r="C28" s="33">
        <v>20000</v>
      </c>
      <c r="D28" s="360">
        <f>'Rates_%'!F24+(('Bills  with surcharge'!C28/1000)-10)*'Rates_%'!F25+'Rates_%'!F35</f>
        <v>146.87000000000003</v>
      </c>
      <c r="E28" s="360">
        <f>'Rates_%'!L24+(('Bills  with surcharge'!C28/1000)-10)*'Rates_%'!L25+'Rates_%'!L35</f>
        <v>164.77</v>
      </c>
      <c r="F28" s="458">
        <f t="shared" si="4"/>
        <v>17.899999999999977</v>
      </c>
      <c r="G28" s="455"/>
      <c r="H28" s="459">
        <f t="shared" si="5"/>
        <v>0.12187648941240535</v>
      </c>
      <c r="I28" s="356"/>
      <c r="J28"/>
      <c r="K28" s="368"/>
    </row>
    <row r="29" spans="1:11" ht="16.05" customHeight="1" x14ac:dyDescent="0.5">
      <c r="A29" s="446"/>
      <c r="B29" s="14"/>
      <c r="C29" s="33">
        <v>60000</v>
      </c>
      <c r="D29" s="360">
        <f>'Rates_%'!F25+(('Bills  with surcharge'!C29/1000)-10)*'Rates_%'!F26+'Rates_%'!F35</f>
        <v>318.01</v>
      </c>
      <c r="E29" s="360">
        <f>'Rates_%'!L25+(('Bills  with surcharge'!C29/1000)-10)*'Rates_%'!L26+'Rates_%'!L35</f>
        <v>356.84</v>
      </c>
      <c r="F29" s="458">
        <f t="shared" si="4"/>
        <v>38.829999999999984</v>
      </c>
      <c r="G29" s="455"/>
      <c r="H29" s="459">
        <f t="shared" si="5"/>
        <v>0.12210307851954337</v>
      </c>
      <c r="I29" s="356"/>
      <c r="J29"/>
      <c r="K29" s="368"/>
    </row>
    <row r="30" spans="1:11" ht="16.05" customHeight="1" x14ac:dyDescent="0.5">
      <c r="A30" s="446"/>
      <c r="B30" s="14"/>
      <c r="C30" s="33">
        <v>100000</v>
      </c>
      <c r="D30" s="360">
        <f>'Rates_%'!F24+(60*'Rates_%'!F25)+(('Bills  with surcharge'!C30/1000)-70)*'Rates_%'!F26+'Rates_%'!F35</f>
        <v>669.57</v>
      </c>
      <c r="E30" s="360">
        <f>'Rates_%'!L24+(60*'Rates_%'!L25)+(('Bills  with surcharge'!C30/1000)-70)*'Rates_%'!L26+'Rates_%'!L35</f>
        <v>751.77</v>
      </c>
      <c r="F30" s="458">
        <f t="shared" si="4"/>
        <v>82.199999999999932</v>
      </c>
      <c r="G30" s="455"/>
      <c r="H30" s="459">
        <f t="shared" si="5"/>
        <v>0.12276535687082743</v>
      </c>
      <c r="I30" s="356"/>
      <c r="J30"/>
      <c r="K30" s="368"/>
    </row>
    <row r="31" spans="1:11" ht="16.05" customHeight="1" x14ac:dyDescent="0.5">
      <c r="A31" s="446"/>
      <c r="B31" s="14"/>
      <c r="C31" s="33"/>
      <c r="D31" s="360"/>
      <c r="E31" s="360"/>
      <c r="F31" s="458"/>
      <c r="G31" s="455"/>
      <c r="H31" s="459"/>
      <c r="I31" s="356"/>
      <c r="J31"/>
      <c r="K31" s="368"/>
    </row>
    <row r="32" spans="1:11" ht="16.05" customHeight="1" x14ac:dyDescent="0.8">
      <c r="A32" s="446"/>
      <c r="B32" s="14"/>
      <c r="C32" s="33"/>
      <c r="D32" s="489" t="s">
        <v>374</v>
      </c>
      <c r="E32" s="490"/>
      <c r="F32" s="490"/>
      <c r="G32" s="253"/>
      <c r="H32" s="460"/>
      <c r="I32" s="356"/>
      <c r="J32"/>
      <c r="K32" s="368"/>
    </row>
    <row r="33" spans="1:11" ht="16.05" customHeight="1" x14ac:dyDescent="0.5">
      <c r="A33" s="446"/>
      <c r="B33" s="14"/>
      <c r="C33" s="33">
        <v>1000000</v>
      </c>
      <c r="D33" s="445">
        <f>(C33/1000)*'Rates_%'!$F$29+'Rates_%'!F35</f>
        <v>3851.77</v>
      </c>
      <c r="E33" s="445">
        <f>(C33/1000)*'Rates_%'!$L$29+'Rates_%'!L35</f>
        <v>4331.7700000000004</v>
      </c>
      <c r="F33" s="458">
        <f t="shared" ref="F33" si="6">E33-D33</f>
        <v>480.00000000000045</v>
      </c>
      <c r="G33" s="455"/>
      <c r="H33" s="459">
        <f t="shared" ref="H33" si="7">F33/D33</f>
        <v>0.12461803274858065</v>
      </c>
      <c r="I33" s="456"/>
      <c r="J33"/>
      <c r="K33" s="368"/>
    </row>
    <row r="34" spans="1:11" ht="16.05" customHeight="1" x14ac:dyDescent="0.5">
      <c r="A34" s="446"/>
      <c r="B34" s="447"/>
      <c r="C34" s="449">
        <f>ExBA!D93/12</f>
        <v>1520250</v>
      </c>
      <c r="D34" s="450">
        <f>(C34/1000)*'Rates_%'!$F$29+'Rates_%'!F35</f>
        <v>5854.732500000001</v>
      </c>
      <c r="E34" s="450">
        <f>(C34/1000)*'Rates_%'!$L$29+'Rates_%'!L35</f>
        <v>6584.4525000000003</v>
      </c>
      <c r="F34" s="451">
        <f>E34-D34</f>
        <v>729.71999999999935</v>
      </c>
      <c r="G34" s="359"/>
      <c r="H34" s="452">
        <f>F34/D34</f>
        <v>0.12463763288929071</v>
      </c>
      <c r="I34" s="444"/>
      <c r="J34"/>
      <c r="K34" s="368"/>
    </row>
    <row r="35" spans="1:11" ht="16.05" customHeight="1" x14ac:dyDescent="0.5">
      <c r="A35" s="446"/>
      <c r="B35" s="453"/>
      <c r="C35" s="457">
        <v>2000000</v>
      </c>
      <c r="D35" s="445">
        <f>(C35/1000)*'Rates_%'!$F$29+'Rates_%'!F35</f>
        <v>7701.77</v>
      </c>
      <c r="E35" s="445">
        <f>(C35/1000)*'Rates_%'!$L$29+'Rates_%'!L35</f>
        <v>8661.77</v>
      </c>
      <c r="F35" s="458">
        <f t="shared" ref="F35" si="8">E35-D35</f>
        <v>960</v>
      </c>
      <c r="G35" s="455"/>
      <c r="H35" s="459">
        <f t="shared" ref="H35" si="9">F35/D35</f>
        <v>0.12464667212861458</v>
      </c>
      <c r="I35" s="456"/>
      <c r="J35"/>
      <c r="K35" s="368"/>
    </row>
    <row r="36" spans="1:11" ht="15.4" x14ac:dyDescent="0.45">
      <c r="A36" s="446"/>
      <c r="B36" s="239"/>
      <c r="C36" s="32"/>
      <c r="D36" s="361"/>
      <c r="E36" s="362"/>
      <c r="F36" s="363"/>
      <c r="G36" s="364"/>
      <c r="H36" s="364"/>
      <c r="I36" s="32"/>
      <c r="J36"/>
      <c r="K36" s="1"/>
    </row>
    <row r="37" spans="1:11" ht="15.4" x14ac:dyDescent="0.45">
      <c r="A37"/>
      <c r="B37"/>
      <c r="C37"/>
      <c r="D37"/>
      <c r="E37"/>
      <c r="F37"/>
      <c r="G37"/>
      <c r="H37"/>
      <c r="I37"/>
      <c r="J37"/>
      <c r="K37" s="1"/>
    </row>
    <row r="38" spans="1:11" ht="15.4" x14ac:dyDescent="0.45">
      <c r="A38"/>
      <c r="B38" s="482" t="s">
        <v>456</v>
      </c>
      <c r="C38" s="482"/>
      <c r="D38" s="482"/>
      <c r="E38" s="482"/>
      <c r="F38" s="482"/>
      <c r="G38" s="482"/>
      <c r="H38" s="482"/>
      <c r="I38" s="482"/>
      <c r="J38"/>
      <c r="K38" s="1"/>
    </row>
  </sheetData>
  <mergeCells count="8">
    <mergeCell ref="D32:F32"/>
    <mergeCell ref="B38:I38"/>
    <mergeCell ref="B3:I3"/>
    <mergeCell ref="B4:I4"/>
    <mergeCell ref="B6:I6"/>
    <mergeCell ref="D12:G12"/>
    <mergeCell ref="D20:G20"/>
    <mergeCell ref="D26:G26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SAO</vt:lpstr>
      <vt:lpstr>Wages</vt:lpstr>
      <vt:lpstr>Med</vt:lpstr>
      <vt:lpstr>Depr</vt:lpstr>
      <vt:lpstr>Debt</vt:lpstr>
      <vt:lpstr>Purchase</vt:lpstr>
      <vt:lpstr>Rates_%</vt:lpstr>
      <vt:lpstr>Bills </vt:lpstr>
      <vt:lpstr>Bills  with surcharge</vt:lpstr>
      <vt:lpstr>Mtrx</vt:lpstr>
      <vt:lpstr>AllocPlt</vt:lpstr>
      <vt:lpstr>AllocOM</vt:lpstr>
      <vt:lpstr>AllocSum</vt:lpstr>
      <vt:lpstr>Units</vt:lpstr>
      <vt:lpstr>CalcRates</vt:lpstr>
      <vt:lpstr>COS_rates</vt:lpstr>
      <vt:lpstr>COS Bills</vt:lpstr>
      <vt:lpstr>ExBA</vt:lpstr>
      <vt:lpstr>PrBAcos</vt:lpstr>
      <vt:lpstr>PrBA%</vt:lpstr>
      <vt:lpstr>COS_rates!Print_Area</vt:lpstr>
      <vt:lpstr>Debt!Print_Area</vt:lpstr>
      <vt:lpstr>ExBA!Print_Area</vt:lpstr>
      <vt:lpstr>'PrBA%'!Print_Area</vt:lpstr>
      <vt:lpstr>PrBAcos!Print_Area</vt:lpstr>
      <vt:lpstr>'Rates_%'!Print_Area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2025-01-28T20:37:05Z</cp:lastPrinted>
  <dcterms:created xsi:type="dcterms:W3CDTF">2016-05-18T14:12:06Z</dcterms:created>
  <dcterms:modified xsi:type="dcterms:W3CDTF">2025-03-24T15:22:50Z</dcterms:modified>
</cp:coreProperties>
</file>