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013 - 36-Month Review\PSC DR1\DR1 Response 2 - Support\USE - Currfent Methodology\"/>
    </mc:Choice>
  </mc:AlternateContent>
  <xr:revisionPtr revIDLastSave="0" documentId="13_ncr:1_{CDE519E1-8BD8-4BE4-99FC-6AE7C6A55BF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1" r:id="rId1"/>
    <sheet name="A - 05-31-22" sheetId="2" r:id="rId2"/>
    <sheet name="B - 11-30-22" sheetId="3" r:id="rId3"/>
    <sheet name="C - 05-31-23" sheetId="4" r:id="rId4"/>
    <sheet name="D - 11-30-23" sheetId="5" r:id="rId5"/>
    <sheet name="E - 05-31-24" sheetId="6" r:id="rId6"/>
    <sheet name="F - 11-30-24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8" l="1"/>
  <c r="E35" i="8" s="1"/>
  <c r="D68" i="6"/>
  <c r="E34" i="6" s="1"/>
  <c r="D66" i="5"/>
  <c r="D64" i="4"/>
  <c r="D62" i="3"/>
  <c r="G14" i="2" l="1"/>
  <c r="D35" i="8" l="1"/>
  <c r="G35" i="8" s="1"/>
  <c r="F27" i="8"/>
  <c r="D26" i="8"/>
  <c r="F26" i="8" s="1"/>
  <c r="D25" i="8"/>
  <c r="F25" i="8" s="1"/>
  <c r="D24" i="8"/>
  <c r="F24" i="8" s="1"/>
  <c r="D23" i="8"/>
  <c r="F23" i="8" s="1"/>
  <c r="D22" i="8"/>
  <c r="F22" i="8" s="1"/>
  <c r="D21" i="8"/>
  <c r="F21" i="8" s="1"/>
  <c r="D20" i="8"/>
  <c r="F20" i="8" s="1"/>
  <c r="A1" i="8"/>
  <c r="G56" i="8" l="1"/>
  <c r="D34" i="6" l="1"/>
  <c r="D26" i="6"/>
  <c r="F26" i="6" s="1"/>
  <c r="D25" i="6"/>
  <c r="F25" i="6" s="1"/>
  <c r="D24" i="6"/>
  <c r="F24" i="6" s="1"/>
  <c r="D23" i="6"/>
  <c r="F23" i="6" s="1"/>
  <c r="D22" i="6"/>
  <c r="F22" i="6" s="1"/>
  <c r="D21" i="6"/>
  <c r="F21" i="6" s="1"/>
  <c r="D20" i="6"/>
  <c r="F20" i="6" s="1"/>
  <c r="D19" i="6"/>
  <c r="F19" i="6" s="1"/>
  <c r="G34" i="6" l="1"/>
  <c r="G54" i="6"/>
  <c r="E33" i="5" l="1"/>
  <c r="D33" i="5"/>
  <c r="D25" i="5"/>
  <c r="F25" i="5" s="1"/>
  <c r="D24" i="5"/>
  <c r="F24" i="5" s="1"/>
  <c r="D23" i="5"/>
  <c r="F23" i="5" s="1"/>
  <c r="D22" i="5"/>
  <c r="F22" i="5" s="1"/>
  <c r="D21" i="5"/>
  <c r="F21" i="5" s="1"/>
  <c r="D20" i="5"/>
  <c r="F20" i="5" s="1"/>
  <c r="D19" i="5"/>
  <c r="F19" i="5" s="1"/>
  <c r="D18" i="5"/>
  <c r="F18" i="5" s="1"/>
  <c r="G52" i="5" l="1"/>
  <c r="G33" i="5"/>
  <c r="E32" i="4" l="1"/>
  <c r="D32" i="4"/>
  <c r="D24" i="4"/>
  <c r="F24" i="4" s="1"/>
  <c r="D23" i="4"/>
  <c r="F23" i="4" s="1"/>
  <c r="D22" i="4"/>
  <c r="F22" i="4" s="1"/>
  <c r="D21" i="4"/>
  <c r="F21" i="4" s="1"/>
  <c r="D20" i="4"/>
  <c r="F20" i="4" s="1"/>
  <c r="D19" i="4"/>
  <c r="F19" i="4" s="1"/>
  <c r="D18" i="4"/>
  <c r="F18" i="4" s="1"/>
  <c r="D17" i="4"/>
  <c r="F17" i="4" s="1"/>
  <c r="G32" i="4" l="1"/>
  <c r="G50" i="4"/>
  <c r="E31" i="3" l="1"/>
  <c r="D31" i="3"/>
  <c r="D23" i="3"/>
  <c r="F23" i="3" s="1"/>
  <c r="D22" i="3"/>
  <c r="F22" i="3" s="1"/>
  <c r="D21" i="3"/>
  <c r="F21" i="3" s="1"/>
  <c r="D20" i="3"/>
  <c r="F20" i="3" s="1"/>
  <c r="D19" i="3"/>
  <c r="F19" i="3" s="1"/>
  <c r="D18" i="3"/>
  <c r="F18" i="3" s="1"/>
  <c r="D17" i="3"/>
  <c r="F17" i="3" s="1"/>
  <c r="D16" i="3"/>
  <c r="F16" i="3" s="1"/>
  <c r="G31" i="3" l="1"/>
  <c r="G48" i="3"/>
  <c r="D60" i="2" l="1"/>
  <c r="E30" i="2" s="1"/>
  <c r="D30" i="2"/>
  <c r="D22" i="2"/>
  <c r="F22" i="2" s="1"/>
  <c r="D21" i="2"/>
  <c r="F21" i="2" s="1"/>
  <c r="D20" i="2"/>
  <c r="F20" i="2" s="1"/>
  <c r="D19" i="2"/>
  <c r="F19" i="2" s="1"/>
  <c r="D18" i="2"/>
  <c r="F18" i="2" s="1"/>
  <c r="D17" i="2"/>
  <c r="F17" i="2" s="1"/>
  <c r="D16" i="2"/>
  <c r="F16" i="2" s="1"/>
  <c r="D15" i="2"/>
  <c r="F15" i="2" s="1"/>
  <c r="G39" i="2"/>
  <c r="G30" i="2" l="1"/>
  <c r="G31" i="2" s="1"/>
  <c r="G40" i="2" s="1"/>
  <c r="G42" i="2" s="1"/>
  <c r="G46" i="2"/>
  <c r="G15" i="2"/>
  <c r="G16" i="2" s="1"/>
  <c r="G17" i="2" s="1"/>
  <c r="G18" i="2" s="1"/>
  <c r="G19" i="2" s="1"/>
  <c r="G20" i="2" s="1"/>
  <c r="G21" i="2" l="1"/>
  <c r="G22" i="2" s="1"/>
  <c r="G33" i="2"/>
  <c r="G14" i="8" l="1"/>
  <c r="G14" i="4"/>
  <c r="G14" i="5"/>
  <c r="G14" i="6"/>
  <c r="E8" i="1"/>
  <c r="G14" i="3"/>
  <c r="G44" i="2"/>
  <c r="G48" i="2" s="1"/>
  <c r="G35" i="2"/>
  <c r="D35" i="6" l="1"/>
  <c r="G35" i="6" s="1"/>
  <c r="D34" i="5"/>
  <c r="G34" i="5" s="1"/>
  <c r="D33" i="4"/>
  <c r="G33" i="4" s="1"/>
  <c r="D36" i="8"/>
  <c r="G36" i="8" s="1"/>
  <c r="G15" i="3"/>
  <c r="D32" i="3"/>
  <c r="G32" i="3" s="1"/>
  <c r="F8" i="1"/>
  <c r="G33" i="3" l="1"/>
  <c r="G42" i="3" s="1"/>
  <c r="G16" i="3"/>
  <c r="G17" i="3" s="1"/>
  <c r="G18" i="3" s="1"/>
  <c r="G19" i="3" s="1"/>
  <c r="G20" i="3" s="1"/>
  <c r="G21" i="3" s="1"/>
  <c r="G35" i="3" s="1"/>
  <c r="G41" i="3"/>
  <c r="A1" i="6"/>
  <c r="A1" i="5"/>
  <c r="A1" i="4"/>
  <c r="A1" i="3"/>
  <c r="A1" i="2"/>
  <c r="G44" i="3" l="1"/>
  <c r="G15" i="5"/>
  <c r="G15" i="8"/>
  <c r="G15" i="4"/>
  <c r="G15" i="6"/>
  <c r="G22" i="3"/>
  <c r="G23" i="3" s="1"/>
  <c r="D36" i="6" l="1"/>
  <c r="G36" i="6" s="1"/>
  <c r="D34" i="4"/>
  <c r="G34" i="4" s="1"/>
  <c r="G35" i="4" s="1"/>
  <c r="G44" i="4" s="1"/>
  <c r="G16" i="4"/>
  <c r="D37" i="8"/>
  <c r="G37" i="8" s="1"/>
  <c r="D35" i="5"/>
  <c r="G35" i="5" s="1"/>
  <c r="E9" i="1"/>
  <c r="F9" i="1" s="1"/>
  <c r="G37" i="3"/>
  <c r="G46" i="3"/>
  <c r="G50" i="3" s="1"/>
  <c r="G43" i="4" l="1"/>
  <c r="G17" i="4"/>
  <c r="G18" i="4" s="1"/>
  <c r="G19" i="4" s="1"/>
  <c r="G20" i="4" s="1"/>
  <c r="G21" i="4" s="1"/>
  <c r="G22" i="4" s="1"/>
  <c r="G46" i="4"/>
  <c r="G23" i="4" l="1"/>
  <c r="G24" i="4" s="1"/>
  <c r="G37" i="4"/>
  <c r="E10" i="1" l="1"/>
  <c r="F10" i="1" s="1"/>
  <c r="G16" i="8"/>
  <c r="G16" i="5"/>
  <c r="G16" i="6"/>
  <c r="G48" i="4"/>
  <c r="G52" i="4" s="1"/>
  <c r="G39" i="4"/>
  <c r="D37" i="6" l="1"/>
  <c r="G37" i="6" s="1"/>
  <c r="D36" i="5"/>
  <c r="G36" i="5" s="1"/>
  <c r="G37" i="5" s="1"/>
  <c r="G46" i="5" s="1"/>
  <c r="G17" i="5"/>
  <c r="D38" i="8"/>
  <c r="G38" i="8" s="1"/>
  <c r="G45" i="5" l="1"/>
  <c r="G48" i="5" s="1"/>
  <c r="G18" i="5"/>
  <c r="G19" i="5" s="1"/>
  <c r="G20" i="5" s="1"/>
  <c r="G21" i="5" s="1"/>
  <c r="G22" i="5" s="1"/>
  <c r="G23" i="5" s="1"/>
  <c r="G39" i="5" l="1"/>
  <c r="G24" i="5"/>
  <c r="G25" i="5" s="1"/>
  <c r="E11" i="1" l="1"/>
  <c r="F11" i="1" s="1"/>
  <c r="G17" i="8"/>
  <c r="G17" i="6"/>
  <c r="G50" i="5"/>
  <c r="G54" i="5" s="1"/>
  <c r="G41" i="5"/>
  <c r="D38" i="6" l="1"/>
  <c r="G38" i="6" s="1"/>
  <c r="G39" i="6" s="1"/>
  <c r="G48" i="6" s="1"/>
  <c r="G18" i="6"/>
  <c r="D39" i="8"/>
  <c r="G39" i="8" s="1"/>
  <c r="G47" i="6" l="1"/>
  <c r="G50" i="6" s="1"/>
  <c r="G19" i="6"/>
  <c r="G20" i="6" s="1"/>
  <c r="G21" i="6" s="1"/>
  <c r="G22" i="6" s="1"/>
  <c r="G23" i="6" s="1"/>
  <c r="G24" i="6" s="1"/>
  <c r="G25" i="6" l="1"/>
  <c r="G26" i="6" s="1"/>
  <c r="G41" i="6"/>
  <c r="E12" i="1" l="1"/>
  <c r="G18" i="8"/>
  <c r="G52" i="6"/>
  <c r="G56" i="6" s="1"/>
  <c r="G43" i="6"/>
  <c r="D40" i="8" l="1"/>
  <c r="G40" i="8" s="1"/>
  <c r="G41" i="8" s="1"/>
  <c r="G50" i="8" s="1"/>
  <c r="G19" i="8"/>
  <c r="F12" i="1"/>
  <c r="G49" i="8" l="1"/>
  <c r="G52" i="8" s="1"/>
  <c r="G20" i="8"/>
  <c r="G21" i="8" s="1"/>
  <c r="G22" i="8" s="1"/>
  <c r="G23" i="8" s="1"/>
  <c r="G24" i="8" s="1"/>
  <c r="G25" i="8" s="1"/>
  <c r="G26" i="8" l="1"/>
  <c r="G27" i="8" s="1"/>
  <c r="G43" i="8"/>
  <c r="E13" i="1" l="1"/>
  <c r="G45" i="8"/>
  <c r="G54" i="8"/>
  <c r="G58" i="8" s="1"/>
  <c r="F13" i="1" l="1"/>
  <c r="E15" i="1"/>
  <c r="F15" i="1" l="1"/>
  <c r="E22" i="1"/>
  <c r="E24" i="1"/>
</calcChain>
</file>

<file path=xl/sharedStrings.xml><?xml version="1.0" encoding="utf-8"?>
<sst xmlns="http://schemas.openxmlformats.org/spreadsheetml/2006/main" count="423" uniqueCount="100">
  <si>
    <t>Net (Over)/Under-Recovery of Environmental Surcharge</t>
  </si>
  <si>
    <t>From:</t>
  </si>
  <si>
    <t>Amount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</si>
  <si>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</si>
  <si>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</si>
  <si>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</si>
  <si>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</si>
  <si>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Salt River Electric</t>
  </si>
  <si>
    <t>Salt River - Calculation of (Over)/Under Recovery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</si>
  <si>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</si>
  <si>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</si>
  <si>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</si>
  <si>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</si>
  <si>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</si>
  <si>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</si>
  <si>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</si>
  <si>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</si>
  <si>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</si>
  <si>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</si>
  <si>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</si>
  <si>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</si>
  <si>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</si>
  <si>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</si>
  <si>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</si>
  <si>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</si>
  <si>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</si>
  <si>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</si>
  <si>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1c</t>
  </si>
  <si>
    <t>1d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</si>
  <si>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</si>
  <si>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</si>
  <si>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</si>
  <si>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</si>
  <si>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</si>
  <si>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</si>
  <si>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</si>
  <si>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</si>
  <si>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</si>
  <si>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</si>
  <si>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</si>
  <si>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</si>
  <si>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</si>
  <si>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</si>
  <si>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</si>
  <si>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</si>
  <si>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</si>
  <si>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</si>
  <si>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>8c</t>
  </si>
  <si>
    <t>8d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</si>
  <si>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</si>
  <si>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</si>
  <si>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</si>
  <si>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</si>
  <si>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</si>
  <si>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</si>
  <si>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</si>
  <si>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</si>
  <si>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</si>
  <si>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</si>
  <si>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</si>
  <si>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1e</t>
  </si>
  <si>
    <t>8e</t>
  </si>
  <si>
    <t>Cumulative six month (Over)/Under-Recovery [Cumulative net of remaining Case amortizations (Ln 7&amp;8e)]</t>
  </si>
  <si>
    <t>Less Adjustment for Order amounts remaining to be amortized at end of review period June 2022</t>
  </si>
  <si>
    <t>Monthly recovery (per month for six months</t>
  </si>
  <si>
    <t xml:space="preserve">  Tab "A - 05-31-22", Line No. 9</t>
  </si>
  <si>
    <t>1f</t>
  </si>
  <si>
    <t>Less Adjustment for Order amounts remaining to be amortized at end of review period December 2022</t>
  </si>
  <si>
    <t>8f</t>
  </si>
  <si>
    <t>Cumulative six month (Over)/Under-Recovery [Cumulative net of remaining Case amortizations (Ln 7&amp;8f)]</t>
  </si>
  <si>
    <t xml:space="preserve">  Tab "B - 11-30-22", Line No. 9</t>
  </si>
  <si>
    <t>1g</t>
  </si>
  <si>
    <t>Less Adjustment for Order amounts remaining to be amortized at end of review period June 2023</t>
  </si>
  <si>
    <t>8g</t>
  </si>
  <si>
    <t>Cumulative six month (Over)/Under-Recovery [Cumulative net of remaining Case amortizations (Ln 7&amp;8g)]</t>
  </si>
  <si>
    <t xml:space="preserve">  Tab "C - 05-31-23", Line No. 9</t>
  </si>
  <si>
    <t>Less Adjustment for Order amounts remaining to be amortized at end of review period December 2023</t>
  </si>
  <si>
    <t xml:space="preserve">  Tab "D - 11-30-23", Line No. 9</t>
  </si>
  <si>
    <t>Less Adjustment for Order amounts remaining to be amortized at end of review period June 2024</t>
  </si>
  <si>
    <t xml:space="preserve">  Tab "E - 05-31-24", Line No. 9</t>
  </si>
  <si>
    <t xml:space="preserve">  Tab "F - 11-30-24", Line No. 9</t>
  </si>
  <si>
    <t>Less Adjustment for Order amounts remaining to be amortized at end of review period December 2024</t>
  </si>
  <si>
    <t>From Case No. 2022-00141 (Over)/Under-Recovery</t>
  </si>
  <si>
    <t>From Tab "A - 05-31-22" (Over)/Under-Recovery</t>
  </si>
  <si>
    <t>Case No. 2022-00141 Recovery</t>
  </si>
  <si>
    <t>Cumulative six month (Over)/Under-Recovery [Cumulative net of remaining Case amortizations (Ln 7&amp;8b)]</t>
  </si>
  <si>
    <t>From Tab "A - 05-31-22" Recovery</t>
  </si>
  <si>
    <t>Cumulative six month (Over)/Under-Recovery [Cumulative net of remaining Case amortizations (Ln 7&amp;8c)]</t>
  </si>
  <si>
    <t>From Tab "B - 11-30-22" (Over)/Under-Recovery</t>
  </si>
  <si>
    <t>From Tab "B - 11-30-22" Recovery</t>
  </si>
  <si>
    <t>Cumulative six month (Over)/Under-Recovery [Cumulative net of remaining Case amortizations (Ln 7&amp;8d)]</t>
  </si>
  <si>
    <t>From Tab "C - 05-31-23" (Over)/Under-Recovery</t>
  </si>
  <si>
    <t>From Case No. 2022-00141 Recovery</t>
  </si>
  <si>
    <t>From Tab "C - 05-31-23" Recovery</t>
  </si>
  <si>
    <t>From Tab "D - 11-30-23" (Over)/Under-Recovery</t>
  </si>
  <si>
    <t>From Tab "D - 11-30-23" Recovery</t>
  </si>
  <si>
    <t>From Tab "E - 05-31-24" (Over)/Under-Recovery</t>
  </si>
  <si>
    <t>From Tab "E - 05-31-24" Recovery</t>
  </si>
  <si>
    <t>2022-00141</t>
  </si>
  <si>
    <t>DR1 Response 2 - Salt River Surcharge Summary.xlsx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</si>
</sst>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164" formatCode="[$-409]mmm\-yy;@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6" fontId="0" fillId="0" borderId="0" xfId="0" applyNumberFormat="1"/>
    <xf numFmtId="6" fontId="0" fillId="0" borderId="3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5" fontId="0" fillId="0" borderId="12" xfId="0" applyNumberFormat="1" applyFill="1" applyBorder="1"/>
    <xf numFmtId="0" fontId="0" fillId="0" borderId="6" xfId="0" applyBorder="1"/>
    <xf numFmtId="5" fontId="0" fillId="0" borderId="9" xfId="0" applyNumberFormat="1" applyBorder="1"/>
    <xf numFmtId="164" fontId="0" fillId="0" borderId="9" xfId="0" applyNumberFormat="1" applyBorder="1" applyAlignment="1">
      <alignment horizontal="right"/>
    </xf>
    <xf numFmtId="5" fontId="0" fillId="0" borderId="4" xfId="0" applyNumberFormat="1" applyBorder="1"/>
    <xf numFmtId="164" fontId="0" fillId="0" borderId="10" xfId="0" applyNumberFormat="1" applyBorder="1" applyAlignment="1">
      <alignment horizontal="right"/>
    </xf>
    <xf numFmtId="5" fontId="0" fillId="0" borderId="16" xfId="0" applyNumberFormat="1" applyBorder="1"/>
    <xf numFmtId="5" fontId="0" fillId="0" borderId="10" xfId="0" applyNumberFormat="1" applyBorder="1"/>
    <xf numFmtId="5" fontId="0" fillId="0" borderId="7" xfId="0" applyNumberFormat="1" applyBorder="1"/>
    <xf numFmtId="5" fontId="0" fillId="0" borderId="11" xfId="0" applyNumberForma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0" fillId="2" borderId="2" xfId="0" applyFill="1" applyBorder="1"/>
    <xf numFmtId="5" fontId="0" fillId="2" borderId="8" xfId="0" applyNumberFormat="1" applyFill="1" applyBorder="1"/>
    <xf numFmtId="5" fontId="0" fillId="0" borderId="1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3" xfId="0" applyBorder="1"/>
    <xf numFmtId="5" fontId="0" fillId="0" borderId="12" xfId="0" applyNumberForma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5" xfId="0" applyBorder="1"/>
    <xf numFmtId="0" fontId="0" fillId="0" borderId="0" xfId="0" applyBorder="1"/>
    <xf numFmtId="5" fontId="0" fillId="0" borderId="17" xfId="0" applyNumberFormat="1" applyBorder="1"/>
    <xf numFmtId="5" fontId="0" fillId="0" borderId="8" xfId="0" applyNumberFormat="1" applyBorder="1"/>
    <xf numFmtId="5" fontId="0" fillId="0" borderId="18" xfId="0" applyNumberFormat="1" applyBorder="1"/>
    <xf numFmtId="0" fontId="0" fillId="0" borderId="2" xfId="0" applyBorder="1"/>
    <xf numFmtId="0" fontId="0" fillId="0" borderId="8" xfId="0" applyBorder="1"/>
    <xf numFmtId="5" fontId="0" fillId="0" borderId="9" xfId="0" applyNumberFormat="1" applyFill="1" applyBorder="1"/>
    <xf numFmtId="5" fontId="0" fillId="0" borderId="10" xfId="0" applyNumberFormat="1" applyFill="1" applyBorder="1"/>
    <xf numFmtId="5" fontId="0" fillId="0" borderId="11" xfId="0" applyNumberFormat="1" applyFill="1" applyBorder="1"/>
    <xf numFmtId="0" fontId="0" fillId="0" borderId="12" xfId="0" applyBorder="1" applyAlignment="1">
      <alignment horizontal="right"/>
    </xf>
    <xf numFmtId="5" fontId="0" fillId="0" borderId="7" xfId="0" applyNumberFormat="1" applyFill="1" applyBorder="1"/>
    <xf numFmtId="0" fontId="0" fillId="0" borderId="0" xfId="0" applyFill="1" applyBorder="1"/>
    <xf numFmtId="0" fontId="0" fillId="0" borderId="11" xfId="0" applyFill="1" applyBorder="1" applyAlignment="1">
      <alignment horizontal="center"/>
    </xf>
    <xf numFmtId="5" fontId="0" fillId="3" borderId="12" xfId="0" applyNumberFormat="1" applyFill="1" applyBorder="1"/>
    <xf numFmtId="5" fontId="0" fillId="3" borderId="9" xfId="0" applyNumberFormat="1" applyFill="1" applyBorder="1"/>
    <xf numFmtId="5" fontId="0" fillId="3" borderId="4" xfId="0" applyNumberFormat="1" applyFill="1" applyBorder="1"/>
    <xf numFmtId="5" fontId="0" fillId="3" borderId="10" xfId="0" applyNumberFormat="1" applyFill="1" applyBorder="1"/>
    <xf numFmtId="5" fontId="0" fillId="3" borderId="16" xfId="0" applyNumberFormat="1" applyFill="1" applyBorder="1"/>
    <xf numFmtId="5" fontId="0" fillId="3" borderId="11" xfId="0" applyNumberFormat="1" applyFill="1" applyBorder="1"/>
    <xf numFmtId="5" fontId="0" fillId="3" borderId="7" xfId="0" applyNumberFormat="1" applyFill="1" applyBorder="1"/>
    <xf numFmtId="6" fontId="0" fillId="0" borderId="0" xfId="0" applyNumberFormat="1" applyBorder="1"/>
    <xf numFmtId="0" fontId="0" fillId="0" borderId="12" xfId="0" applyBorder="1"/>
    <xf numFmtId="0" fontId="0" fillId="0" borderId="17" xfId="0" applyBorder="1"/>
    <xf numFmtId="0" fontId="0" fillId="0" borderId="4" xfId="0" applyBorder="1"/>
    <xf numFmtId="5" fontId="0" fillId="0" borderId="5" xfId="0" applyNumberFormat="1" applyBorder="1"/>
    <xf numFmtId="5" fontId="0" fillId="0" borderId="6" xfId="0" applyNumberFormat="1" applyBorder="1"/>
    <xf numFmtId="0" fontId="0" fillId="0" borderId="16" xfId="0" applyBorder="1"/>
    <xf numFmtId="5" fontId="0" fillId="0" borderId="0" xfId="0" applyNumberFormat="1" applyBorder="1"/>
    <xf numFmtId="0" fontId="0" fillId="0" borderId="7" xfId="0" applyBorder="1"/>
    <xf numFmtId="5" fontId="0" fillId="0" borderId="2" xfId="0" applyNumberFormat="1" applyBorder="1"/>
    <xf numFmtId="0" fontId="0" fillId="0" borderId="0" xfId="0" applyBorder="1" applyAlignment="1">
      <alignment horizontal="center"/>
    </xf>
    <xf numFmtId="5" fontId="0" fillId="0" borderId="16" xfId="0" applyNumberFormat="1" applyFill="1" applyBorder="1"/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C5" sqref="C5"/>
    </sheetView>
  </sheetViews>
  <sheetFormatPr defaultColWidth="15.625" defaultRowHeight="14.25" x14ac:dyDescent="0.2"/>
  <sheetData>
    <row r="1" spans="1:6" x14ac:dyDescent="0.2">
      <c r="A1" t="s">
        <v>99</v>
      </c>
    </row>
    <row r="3" spans="1:6" ht="15" x14ac:dyDescent="0.25">
      <c r="C3" s="76" t="s">
        <v>7</v>
      </c>
      <c r="D3" s="76"/>
      <c r="E3" s="76"/>
    </row>
    <row r="4" spans="1:6" ht="15" x14ac:dyDescent="0.25">
      <c r="B4" s="76" t="s">
        <v>0</v>
      </c>
      <c r="C4" s="76"/>
      <c r="D4" s="76"/>
      <c r="E4" s="76"/>
      <c r="F4" s="76"/>
    </row>
    <row r="6" spans="1:6" ht="15" thickBot="1" x14ac:dyDescent="0.25">
      <c r="E6" s="1" t="s">
        <v>2</v>
      </c>
    </row>
    <row r="7" spans="1:6" x14ac:dyDescent="0.2">
      <c r="B7" t="s">
        <v>1</v>
      </c>
    </row>
    <row r="8" spans="1:6" x14ac:dyDescent="0.2">
      <c r="B8" t="s">
        <v>65</v>
      </c>
      <c r="E8" s="3">
        <f>'A - 05-31-22'!G33</f>
        <v>-387494.97</v>
      </c>
      <c r="F8" s="2" t="str">
        <f>IF(E8&gt;0,"Under-Recovery","Over-Recovery")</f>
        <v>Over-Recovery</v>
      </c>
    </row>
    <row r="9" spans="1:6" x14ac:dyDescent="0.2">
      <c r="B9" t="s">
        <v>70</v>
      </c>
      <c r="E9" s="3">
        <f>'B - 11-30-22'!G35</f>
        <v>202241.20999999996</v>
      </c>
      <c r="F9" s="2" t="str">
        <f t="shared" ref="F9:F13" si="0">IF(E9&gt;0,"Under-Recovery","Over-Recovery")</f>
        <v>Under-Recovery</v>
      </c>
    </row>
    <row r="10" spans="1:6" x14ac:dyDescent="0.2">
      <c r="B10" t="s">
        <v>75</v>
      </c>
      <c r="E10" s="3">
        <f>'C - 05-31-23'!G37</f>
        <v>-208737.65000000002</v>
      </c>
      <c r="F10" s="2" t="str">
        <f t="shared" si="0"/>
        <v>Over-Recovery</v>
      </c>
    </row>
    <row r="11" spans="1:6" x14ac:dyDescent="0.2">
      <c r="B11" t="s">
        <v>77</v>
      </c>
      <c r="E11" s="3">
        <f>'D - 11-30-23'!G39</f>
        <v>-68757.179999999935</v>
      </c>
      <c r="F11" s="2" t="str">
        <f t="shared" si="0"/>
        <v>Over-Recovery</v>
      </c>
    </row>
    <row r="12" spans="1:6" x14ac:dyDescent="0.2">
      <c r="B12" t="s">
        <v>79</v>
      </c>
      <c r="E12" s="64">
        <f>'E - 05-31-24'!G41</f>
        <v>578836.72999999986</v>
      </c>
      <c r="F12" s="2" t="str">
        <f t="shared" si="0"/>
        <v>Under-Recovery</v>
      </c>
    </row>
    <row r="13" spans="1:6" x14ac:dyDescent="0.2">
      <c r="B13" t="s">
        <v>80</v>
      </c>
      <c r="E13" s="64">
        <f>'F - 11-30-24'!G43</f>
        <v>-730614.52</v>
      </c>
      <c r="F13" s="2" t="str">
        <f t="shared" si="0"/>
        <v>Over-Recovery</v>
      </c>
    </row>
    <row r="14" spans="1:6" x14ac:dyDescent="0.2">
      <c r="E14" s="3"/>
    </row>
    <row r="15" spans="1:6" ht="15" thickBot="1" x14ac:dyDescent="0.25">
      <c r="B15" t="s">
        <v>3</v>
      </c>
      <c r="E15" s="4">
        <f>SUM(E8:E13)</f>
        <v>-614526.38000000012</v>
      </c>
      <c r="F15" s="2" t="str">
        <f>IF(E15&gt;0,"Under-Recovery","Over-Recovery")</f>
        <v>Over-Recovery</v>
      </c>
    </row>
    <row r="16" spans="1:6" ht="15" thickTop="1" x14ac:dyDescent="0.2"/>
    <row r="20" spans="2:6" ht="15" x14ac:dyDescent="0.25">
      <c r="B20" s="76" t="s">
        <v>4</v>
      </c>
      <c r="C20" s="76"/>
      <c r="D20" s="76"/>
      <c r="E20" s="76"/>
      <c r="F20" s="76"/>
    </row>
    <row r="22" spans="2:6" x14ac:dyDescent="0.2">
      <c r="B22" t="s">
        <v>5</v>
      </c>
      <c r="E22" s="3">
        <f>ROUND(E15/6,0)</f>
        <v>-102421</v>
      </c>
    </row>
    <row r="23" spans="2:6" x14ac:dyDescent="0.2">
      <c r="E23" s="3"/>
    </row>
    <row r="24" spans="2:6" x14ac:dyDescent="0.2">
      <c r="B24" t="s">
        <v>6</v>
      </c>
      <c r="E24" s="3">
        <f>ROUND(E15/12,0)</f>
        <v>-51211</v>
      </c>
    </row>
    <row r="25" spans="2:6" x14ac:dyDescent="0.2">
      <c r="E25" s="3"/>
    </row>
  </sheetData>
  <mergeCells count="3">
    <mergeCell ref="B4:F4"/>
    <mergeCell ref="C3:E3"/>
    <mergeCell ref="B20:F2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0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Summary!A1</f>
        <v>DR1 Response 2 - Salt River Surcharge Summary.xlsx</v>
      </c>
    </row>
    <row r="4" spans="1:7" ht="14.25" customHeight="1" x14ac:dyDescent="0.2">
      <c r="B4" s="77" t="s">
        <v>8</v>
      </c>
      <c r="C4" s="78"/>
      <c r="D4" s="78"/>
      <c r="E4" s="78"/>
      <c r="F4" s="78"/>
      <c r="G4" s="79"/>
    </row>
    <row r="5" spans="1:7" ht="14.25" customHeight="1" x14ac:dyDescent="0.2">
      <c r="B5" s="80"/>
      <c r="C5" s="81"/>
      <c r="D5" s="81"/>
      <c r="E5" s="81"/>
      <c r="F5" s="81"/>
      <c r="G5" s="82"/>
    </row>
    <row r="7" spans="1:7" x14ac:dyDescent="0.2">
      <c r="B7" s="5"/>
      <c r="C7" s="5"/>
      <c r="D7" s="5"/>
      <c r="E7" s="6" t="s">
        <v>9</v>
      </c>
      <c r="F7" s="5"/>
      <c r="G7" s="5"/>
    </row>
    <row r="8" spans="1:7" x14ac:dyDescent="0.2">
      <c r="B8" s="7"/>
      <c r="C8" s="7"/>
      <c r="D8" s="8" t="s">
        <v>10</v>
      </c>
      <c r="E8" s="8" t="s">
        <v>11</v>
      </c>
      <c r="F8" s="7"/>
      <c r="G8" s="7"/>
    </row>
    <row r="9" spans="1:7" x14ac:dyDescent="0.2">
      <c r="B9" s="7"/>
      <c r="C9" s="7"/>
      <c r="D9" s="8" t="s">
        <v>12</v>
      </c>
      <c r="E9" s="8" t="s">
        <v>13</v>
      </c>
      <c r="F9" s="8" t="s">
        <v>14</v>
      </c>
      <c r="G9" s="8" t="s">
        <v>15</v>
      </c>
    </row>
    <row r="10" spans="1:7" x14ac:dyDescent="0.2">
      <c r="B10" s="9"/>
      <c r="C10" s="56"/>
      <c r="D10" s="9" t="s">
        <v>16</v>
      </c>
      <c r="E10" s="9" t="s">
        <v>16</v>
      </c>
      <c r="F10" s="9" t="s">
        <v>17</v>
      </c>
      <c r="G10" s="9" t="s">
        <v>17</v>
      </c>
    </row>
    <row r="11" spans="1:7" x14ac:dyDescent="0.2">
      <c r="B11" s="10" t="s">
        <v>18</v>
      </c>
      <c r="C11" s="10" t="s">
        <v>19</v>
      </c>
      <c r="D11" s="11" t="s">
        <v>20</v>
      </c>
      <c r="E11" s="11" t="s">
        <v>21</v>
      </c>
      <c r="F11" s="11" t="s">
        <v>22</v>
      </c>
      <c r="G11" s="11" t="s">
        <v>23</v>
      </c>
    </row>
    <row r="12" spans="1:7" x14ac:dyDescent="0.2">
      <c r="B12" s="6">
        <v>1</v>
      </c>
      <c r="C12" s="83" t="s">
        <v>24</v>
      </c>
      <c r="D12" s="84"/>
      <c r="E12" s="84"/>
      <c r="F12" s="84"/>
      <c r="G12" s="85"/>
    </row>
    <row r="13" spans="1:7" x14ac:dyDescent="0.2">
      <c r="B13" s="6" t="s">
        <v>25</v>
      </c>
      <c r="C13" s="12" t="s">
        <v>82</v>
      </c>
      <c r="D13" s="12"/>
      <c r="E13" s="12"/>
      <c r="F13" s="13"/>
      <c r="G13" s="14">
        <v>695078</v>
      </c>
    </row>
    <row r="14" spans="1:7" x14ac:dyDescent="0.2">
      <c r="B14" s="9" t="s">
        <v>26</v>
      </c>
      <c r="C14" s="12" t="s">
        <v>29</v>
      </c>
      <c r="D14" s="12"/>
      <c r="E14" s="12"/>
      <c r="F14" s="15"/>
      <c r="G14" s="16">
        <f>G13</f>
        <v>695078</v>
      </c>
    </row>
    <row r="15" spans="1:7" x14ac:dyDescent="0.2">
      <c r="B15" s="8">
        <v>2</v>
      </c>
      <c r="C15" s="17">
        <v>44562</v>
      </c>
      <c r="D15" s="58">
        <f>1341458-785-4702</f>
        <v>1335971</v>
      </c>
      <c r="E15" s="59">
        <v>1945621.45</v>
      </c>
      <c r="F15" s="18">
        <f t="shared" ref="F15:F22" si="0">D15-E15</f>
        <v>-609650.44999999995</v>
      </c>
      <c r="G15" s="16">
        <f t="shared" ref="G15:G22" si="1">G14+F15</f>
        <v>85427.550000000047</v>
      </c>
    </row>
    <row r="16" spans="1:7" x14ac:dyDescent="0.2">
      <c r="B16" s="8">
        <v>3</v>
      </c>
      <c r="C16" s="19">
        <v>44593</v>
      </c>
      <c r="D16" s="60">
        <f>1119653-462-3539</f>
        <v>1115652</v>
      </c>
      <c r="E16" s="61">
        <v>1267264.05</v>
      </c>
      <c r="F16" s="20">
        <f t="shared" si="0"/>
        <v>-151612.05000000005</v>
      </c>
      <c r="G16" s="21">
        <f t="shared" si="1"/>
        <v>-66184.5</v>
      </c>
    </row>
    <row r="17" spans="2:7" x14ac:dyDescent="0.2">
      <c r="B17" s="8">
        <v>4</v>
      </c>
      <c r="C17" s="19">
        <v>44621</v>
      </c>
      <c r="D17" s="60">
        <f>751997-559-4716</f>
        <v>746722</v>
      </c>
      <c r="E17" s="61">
        <v>907107.8</v>
      </c>
      <c r="F17" s="20">
        <f t="shared" si="0"/>
        <v>-160385.80000000005</v>
      </c>
      <c r="G17" s="21">
        <f t="shared" si="1"/>
        <v>-226570.30000000005</v>
      </c>
    </row>
    <row r="18" spans="2:7" x14ac:dyDescent="0.2">
      <c r="B18" s="8">
        <v>5</v>
      </c>
      <c r="C18" s="19">
        <v>44652</v>
      </c>
      <c r="D18" s="60">
        <f>934147-818-8063</f>
        <v>925266</v>
      </c>
      <c r="E18" s="61">
        <v>646867.31000000006</v>
      </c>
      <c r="F18" s="20">
        <f t="shared" si="0"/>
        <v>278398.68999999994</v>
      </c>
      <c r="G18" s="21">
        <f t="shared" si="1"/>
        <v>51828.389999999898</v>
      </c>
    </row>
    <row r="19" spans="2:7" x14ac:dyDescent="0.2">
      <c r="B19" s="8">
        <v>6</v>
      </c>
      <c r="C19" s="19">
        <v>44682</v>
      </c>
      <c r="D19" s="60">
        <f>1139497-849-8183</f>
        <v>1130465</v>
      </c>
      <c r="E19" s="61">
        <v>1089716.19</v>
      </c>
      <c r="F19" s="20">
        <f t="shared" si="0"/>
        <v>40748.810000000056</v>
      </c>
      <c r="G19" s="21">
        <f t="shared" si="1"/>
        <v>92577.199999999953</v>
      </c>
    </row>
    <row r="20" spans="2:7" x14ac:dyDescent="0.2">
      <c r="B20" s="8">
        <v>7</v>
      </c>
      <c r="C20" s="19">
        <v>44713</v>
      </c>
      <c r="D20" s="60">
        <f>1555347-216-6585</f>
        <v>1548546</v>
      </c>
      <c r="E20" s="61">
        <v>1333540.17</v>
      </c>
      <c r="F20" s="22">
        <f t="shared" si="0"/>
        <v>215005.83000000007</v>
      </c>
      <c r="G20" s="23">
        <f t="shared" si="1"/>
        <v>307583.03000000003</v>
      </c>
    </row>
    <row r="21" spans="2:7" x14ac:dyDescent="0.2">
      <c r="B21" s="24" t="s">
        <v>30</v>
      </c>
      <c r="C21" s="17">
        <v>44743</v>
      </c>
      <c r="D21" s="58">
        <f>1777490-912-8686</f>
        <v>1767892</v>
      </c>
      <c r="E21" s="59">
        <v>1587604.5</v>
      </c>
      <c r="F21" s="18">
        <f t="shared" si="0"/>
        <v>180287.5</v>
      </c>
      <c r="G21" s="16">
        <f t="shared" si="1"/>
        <v>487870.53</v>
      </c>
    </row>
    <row r="22" spans="2:7" x14ac:dyDescent="0.2">
      <c r="B22" s="25" t="s">
        <v>31</v>
      </c>
      <c r="C22" s="26">
        <v>44774</v>
      </c>
      <c r="D22" s="62">
        <f>1383664-174-6038</f>
        <v>1377452</v>
      </c>
      <c r="E22" s="63">
        <v>1489952.58</v>
      </c>
      <c r="F22" s="22">
        <f t="shared" si="0"/>
        <v>-112500.58000000007</v>
      </c>
      <c r="G22" s="23">
        <f t="shared" si="1"/>
        <v>375369.94999999995</v>
      </c>
    </row>
    <row r="23" spans="2:7" x14ac:dyDescent="0.2">
      <c r="B23" s="9"/>
      <c r="C23" s="27" t="s">
        <v>63</v>
      </c>
      <c r="D23" s="28"/>
      <c r="E23" s="28"/>
      <c r="F23" s="28"/>
      <c r="G23" s="29"/>
    </row>
    <row r="24" spans="2:7" x14ac:dyDescent="0.2">
      <c r="B24" s="6"/>
      <c r="C24" s="5"/>
      <c r="D24" s="5"/>
      <c r="E24" s="5"/>
      <c r="F24" s="5"/>
      <c r="G24" s="16"/>
    </row>
    <row r="25" spans="2:7" x14ac:dyDescent="0.2">
      <c r="B25" s="8"/>
      <c r="C25" s="7"/>
      <c r="D25" s="8" t="s">
        <v>32</v>
      </c>
      <c r="E25" s="8" t="s">
        <v>33</v>
      </c>
      <c r="F25" s="7"/>
      <c r="G25" s="21"/>
    </row>
    <row r="26" spans="2:7" x14ac:dyDescent="0.2">
      <c r="B26" s="8">
        <v>8</v>
      </c>
      <c r="C26" s="7"/>
      <c r="D26" s="8" t="s">
        <v>34</v>
      </c>
      <c r="E26" s="8" t="s">
        <v>35</v>
      </c>
      <c r="F26" s="7"/>
      <c r="G26" s="30" t="s">
        <v>32</v>
      </c>
    </row>
    <row r="27" spans="2:7" x14ac:dyDescent="0.2">
      <c r="B27" s="8"/>
      <c r="C27" s="7"/>
      <c r="D27" s="8" t="s">
        <v>36</v>
      </c>
      <c r="E27" s="8" t="s">
        <v>37</v>
      </c>
      <c r="F27" s="7"/>
      <c r="G27" s="30" t="s">
        <v>38</v>
      </c>
    </row>
    <row r="28" spans="2:7" x14ac:dyDescent="0.2">
      <c r="B28" s="8"/>
      <c r="C28" s="7"/>
      <c r="D28" s="8" t="s">
        <v>39</v>
      </c>
      <c r="E28" s="8" t="s">
        <v>40</v>
      </c>
      <c r="F28" s="7"/>
      <c r="G28" s="30" t="s">
        <v>41</v>
      </c>
    </row>
    <row r="29" spans="2:7" x14ac:dyDescent="0.2">
      <c r="B29" s="9"/>
      <c r="C29" s="7"/>
      <c r="D29" s="8" t="s">
        <v>42</v>
      </c>
      <c r="E29" s="8" t="s">
        <v>43</v>
      </c>
      <c r="F29" s="7"/>
      <c r="G29" s="30" t="s">
        <v>44</v>
      </c>
    </row>
    <row r="30" spans="2:7" x14ac:dyDescent="0.2">
      <c r="B30" s="6" t="s">
        <v>45</v>
      </c>
      <c r="C30" s="65" t="s">
        <v>84</v>
      </c>
      <c r="D30" s="39">
        <f>-G13</f>
        <v>-695078</v>
      </c>
      <c r="E30" s="39">
        <f>D60</f>
        <v>0</v>
      </c>
      <c r="F30" s="65"/>
      <c r="G30" s="39">
        <f>D30+E30</f>
        <v>-695078</v>
      </c>
    </row>
    <row r="31" spans="2:7" x14ac:dyDescent="0.2">
      <c r="B31" s="9" t="s">
        <v>46</v>
      </c>
      <c r="C31" s="33"/>
      <c r="D31" s="34"/>
      <c r="E31" s="34"/>
      <c r="F31" s="35" t="s">
        <v>49</v>
      </c>
      <c r="G31" s="23">
        <f>G30</f>
        <v>-695078</v>
      </c>
    </row>
    <row r="32" spans="2:7" x14ac:dyDescent="0.2">
      <c r="B32" s="36"/>
      <c r="G32" s="37"/>
    </row>
    <row r="33" spans="2:7" x14ac:dyDescent="0.2">
      <c r="B33" s="10">
        <v>9</v>
      </c>
      <c r="C33" s="38" t="s">
        <v>85</v>
      </c>
      <c r="D33" s="12"/>
      <c r="E33" s="12"/>
      <c r="F33" s="13"/>
      <c r="G33" s="39">
        <f>G20+G31</f>
        <v>-387494.97</v>
      </c>
    </row>
    <row r="34" spans="2:7" x14ac:dyDescent="0.2">
      <c r="B34" s="36"/>
      <c r="G34" s="37"/>
    </row>
    <row r="35" spans="2:7" x14ac:dyDescent="0.2">
      <c r="B35" s="10">
        <v>10</v>
      </c>
      <c r="C35" s="38" t="s">
        <v>64</v>
      </c>
      <c r="D35" s="12"/>
      <c r="E35" s="12"/>
      <c r="F35" s="13"/>
      <c r="G35" s="39">
        <f>G33/6</f>
        <v>-64582.494999999995</v>
      </c>
    </row>
    <row r="37" spans="2:7" x14ac:dyDescent="0.2">
      <c r="B37" s="5"/>
      <c r="C37" s="40" t="s">
        <v>50</v>
      </c>
      <c r="D37" s="41"/>
      <c r="E37" s="41"/>
      <c r="F37" s="41"/>
      <c r="G37" s="42"/>
    </row>
    <row r="38" spans="2:7" x14ac:dyDescent="0.2">
      <c r="B38" s="5"/>
      <c r="C38" s="43"/>
      <c r="D38" s="43"/>
      <c r="E38" s="43"/>
      <c r="F38" s="43"/>
      <c r="G38" s="15"/>
    </row>
    <row r="39" spans="2:7" x14ac:dyDescent="0.2">
      <c r="B39" s="8">
        <v>11</v>
      </c>
      <c r="C39" s="44" t="s">
        <v>51</v>
      </c>
      <c r="D39" s="44"/>
      <c r="E39" s="44"/>
      <c r="F39" s="44"/>
      <c r="G39" s="45">
        <f>G14</f>
        <v>695078</v>
      </c>
    </row>
    <row r="40" spans="2:7" x14ac:dyDescent="0.2">
      <c r="B40" s="8">
        <v>12</v>
      </c>
      <c r="C40" s="44" t="s">
        <v>52</v>
      </c>
      <c r="D40" s="44"/>
      <c r="E40" s="44"/>
      <c r="F40" s="44"/>
      <c r="G40" s="46">
        <f>G31</f>
        <v>-695078</v>
      </c>
    </row>
    <row r="41" spans="2:7" x14ac:dyDescent="0.2">
      <c r="B41" s="8"/>
      <c r="C41" s="44"/>
      <c r="D41" s="44"/>
      <c r="E41" s="44"/>
      <c r="F41" s="44"/>
      <c r="G41" s="45"/>
    </row>
    <row r="42" spans="2:7" ht="15" thickBot="1" x14ac:dyDescent="0.25">
      <c r="B42" s="8">
        <v>13</v>
      </c>
      <c r="C42" s="44" t="s">
        <v>53</v>
      </c>
      <c r="D42" s="44"/>
      <c r="E42" s="44"/>
      <c r="F42" s="44"/>
      <c r="G42" s="47">
        <f>G39+G40</f>
        <v>0</v>
      </c>
    </row>
    <row r="43" spans="2:7" ht="15" thickTop="1" x14ac:dyDescent="0.2">
      <c r="B43" s="8"/>
      <c r="C43" s="44"/>
      <c r="D43" s="44"/>
      <c r="E43" s="44"/>
      <c r="F43" s="44"/>
      <c r="G43" s="45"/>
    </row>
    <row r="44" spans="2:7" x14ac:dyDescent="0.2">
      <c r="B44" s="8">
        <v>14</v>
      </c>
      <c r="C44" s="44" t="s">
        <v>54</v>
      </c>
      <c r="D44" s="44"/>
      <c r="E44" s="44"/>
      <c r="F44" s="44"/>
      <c r="G44" s="45">
        <f>G33</f>
        <v>-387494.97</v>
      </c>
    </row>
    <row r="45" spans="2:7" x14ac:dyDescent="0.2">
      <c r="B45" s="8"/>
      <c r="C45" s="44"/>
      <c r="D45" s="44"/>
      <c r="E45" s="44"/>
      <c r="F45" s="44"/>
      <c r="G45" s="45"/>
    </row>
    <row r="46" spans="2:7" x14ac:dyDescent="0.2">
      <c r="B46" s="8">
        <v>15</v>
      </c>
      <c r="C46" s="44" t="s">
        <v>55</v>
      </c>
      <c r="D46" s="44"/>
      <c r="E46" s="44"/>
      <c r="F46" s="44"/>
      <c r="G46" s="46">
        <f>SUM(F15:F20)</f>
        <v>-387494.97</v>
      </c>
    </row>
    <row r="47" spans="2:7" x14ac:dyDescent="0.2">
      <c r="B47" s="8"/>
      <c r="C47" s="44"/>
      <c r="D47" s="44"/>
      <c r="E47" s="44"/>
      <c r="F47" s="44"/>
      <c r="G47" s="45"/>
    </row>
    <row r="48" spans="2:7" ht="15" thickBot="1" x14ac:dyDescent="0.25">
      <c r="B48" s="8">
        <v>16</v>
      </c>
      <c r="C48" s="44" t="s">
        <v>56</v>
      </c>
      <c r="D48" s="44"/>
      <c r="E48" s="44"/>
      <c r="F48" s="44"/>
      <c r="G48" s="47">
        <f>G44-G46</f>
        <v>0</v>
      </c>
    </row>
    <row r="49" spans="2:7" ht="15" thickTop="1" x14ac:dyDescent="0.2">
      <c r="B49" s="32"/>
      <c r="C49" s="48"/>
      <c r="D49" s="48"/>
      <c r="E49" s="48"/>
      <c r="F49" s="48"/>
      <c r="G49" s="49"/>
    </row>
    <row r="51" spans="2:7" x14ac:dyDescent="0.2">
      <c r="B51" t="s">
        <v>57</v>
      </c>
    </row>
    <row r="52" spans="2:7" x14ac:dyDescent="0.2">
      <c r="B52" s="36"/>
      <c r="C52" s="5"/>
      <c r="D52" s="6" t="s">
        <v>58</v>
      </c>
      <c r="E52" s="31"/>
      <c r="F52" s="74"/>
      <c r="G52" s="74"/>
    </row>
    <row r="53" spans="2:7" x14ac:dyDescent="0.2">
      <c r="B53" s="36"/>
      <c r="C53" s="9" t="s">
        <v>19</v>
      </c>
      <c r="D53" s="9" t="s">
        <v>98</v>
      </c>
      <c r="E53" s="31"/>
      <c r="F53" s="74"/>
      <c r="G53" s="74"/>
    </row>
    <row r="54" spans="2:7" x14ac:dyDescent="0.2">
      <c r="C54" s="17">
        <v>44562</v>
      </c>
      <c r="D54" s="50">
        <v>0</v>
      </c>
      <c r="E54" s="75"/>
      <c r="F54" s="71"/>
      <c r="G54" s="71"/>
    </row>
    <row r="55" spans="2:7" x14ac:dyDescent="0.2">
      <c r="C55" s="19">
        <v>44593</v>
      </c>
      <c r="D55" s="51">
        <v>0</v>
      </c>
      <c r="E55" s="75"/>
      <c r="F55" s="71"/>
      <c r="G55" s="71"/>
    </row>
    <row r="56" spans="2:7" x14ac:dyDescent="0.2">
      <c r="C56" s="19">
        <v>44621</v>
      </c>
      <c r="D56" s="51">
        <v>0</v>
      </c>
      <c r="E56" s="75"/>
      <c r="F56" s="71"/>
      <c r="G56" s="71"/>
    </row>
    <row r="57" spans="2:7" x14ac:dyDescent="0.2">
      <c r="C57" s="19">
        <v>44652</v>
      </c>
      <c r="D57" s="51">
        <v>0</v>
      </c>
      <c r="E57" s="75"/>
      <c r="F57" s="71"/>
      <c r="G57" s="71"/>
    </row>
    <row r="58" spans="2:7" x14ac:dyDescent="0.2">
      <c r="C58" s="19">
        <v>44682</v>
      </c>
      <c r="D58" s="51">
        <v>0</v>
      </c>
      <c r="E58" s="75"/>
      <c r="F58" s="71"/>
      <c r="G58" s="71"/>
    </row>
    <row r="59" spans="2:7" x14ac:dyDescent="0.2">
      <c r="C59" s="19">
        <v>44713</v>
      </c>
      <c r="D59" s="52">
        <v>0</v>
      </c>
      <c r="E59" s="75"/>
      <c r="F59" s="71"/>
      <c r="G59" s="71"/>
    </row>
    <row r="60" spans="2:7" x14ac:dyDescent="0.2">
      <c r="C60" s="53" t="s">
        <v>59</v>
      </c>
      <c r="D60" s="39">
        <f>SUM(D54:D59)</f>
        <v>0</v>
      </c>
      <c r="E60" s="20"/>
      <c r="F60" s="71"/>
      <c r="G60" s="71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2"/>
  <sheetViews>
    <sheetView workbookViewId="0">
      <selection activeCell="E32" sqref="E3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</cols>
  <sheetData>
    <row r="1" spans="1:7" x14ac:dyDescent="0.2">
      <c r="A1" t="str">
        <f>Summary!A1</f>
        <v>DR1 Response 2 - Salt River Surcharge Summary.xlsx</v>
      </c>
    </row>
    <row r="4" spans="1:7" ht="14.25" customHeight="1" x14ac:dyDescent="0.2">
      <c r="B4" s="77" t="s">
        <v>8</v>
      </c>
      <c r="C4" s="78"/>
      <c r="D4" s="78"/>
      <c r="E4" s="78"/>
      <c r="F4" s="78"/>
      <c r="G4" s="79"/>
    </row>
    <row r="5" spans="1:7" x14ac:dyDescent="0.2">
      <c r="B5" s="80"/>
      <c r="C5" s="81"/>
      <c r="D5" s="81"/>
      <c r="E5" s="81"/>
      <c r="F5" s="81"/>
      <c r="G5" s="82"/>
    </row>
    <row r="7" spans="1:7" x14ac:dyDescent="0.2">
      <c r="B7" s="5"/>
      <c r="C7" s="5"/>
      <c r="D7" s="5"/>
      <c r="E7" s="6" t="s">
        <v>9</v>
      </c>
      <c r="F7" s="5"/>
      <c r="G7" s="5"/>
    </row>
    <row r="8" spans="1:7" x14ac:dyDescent="0.2">
      <c r="B8" s="7"/>
      <c r="C8" s="7"/>
      <c r="D8" s="8" t="s">
        <v>10</v>
      </c>
      <c r="E8" s="8" t="s">
        <v>11</v>
      </c>
      <c r="F8" s="7"/>
      <c r="G8" s="7"/>
    </row>
    <row r="9" spans="1:7" x14ac:dyDescent="0.2">
      <c r="B9" s="7"/>
      <c r="C9" s="7"/>
      <c r="D9" s="8" t="s">
        <v>12</v>
      </c>
      <c r="E9" s="8" t="s">
        <v>13</v>
      </c>
      <c r="F9" s="8" t="s">
        <v>14</v>
      </c>
      <c r="G9" s="8" t="s">
        <v>15</v>
      </c>
    </row>
    <row r="10" spans="1:7" x14ac:dyDescent="0.2">
      <c r="B10" s="9"/>
      <c r="C10" s="56"/>
      <c r="D10" s="9" t="s">
        <v>16</v>
      </c>
      <c r="E10" s="9" t="s">
        <v>16</v>
      </c>
      <c r="F10" s="9" t="s">
        <v>17</v>
      </c>
      <c r="G10" s="9" t="s">
        <v>17</v>
      </c>
    </row>
    <row r="11" spans="1:7" x14ac:dyDescent="0.2">
      <c r="B11" s="10" t="s">
        <v>18</v>
      </c>
      <c r="C11" s="10" t="s">
        <v>19</v>
      </c>
      <c r="D11" s="11" t="s">
        <v>20</v>
      </c>
      <c r="E11" s="11" t="s">
        <v>21</v>
      </c>
      <c r="F11" s="11" t="s">
        <v>22</v>
      </c>
      <c r="G11" s="11" t="s">
        <v>23</v>
      </c>
    </row>
    <row r="12" spans="1:7" x14ac:dyDescent="0.2">
      <c r="B12" s="6">
        <v>1</v>
      </c>
      <c r="C12" s="83" t="s">
        <v>24</v>
      </c>
      <c r="D12" s="84"/>
      <c r="E12" s="84"/>
      <c r="F12" s="84"/>
      <c r="G12" s="85"/>
    </row>
    <row r="13" spans="1:7" x14ac:dyDescent="0.2">
      <c r="B13" s="6" t="s">
        <v>25</v>
      </c>
      <c r="C13" s="12" t="s">
        <v>82</v>
      </c>
      <c r="D13" s="12"/>
      <c r="E13" s="12"/>
      <c r="F13" s="13"/>
      <c r="G13" s="14">
        <v>695078</v>
      </c>
    </row>
    <row r="14" spans="1:7" x14ac:dyDescent="0.2">
      <c r="B14" s="8" t="s">
        <v>26</v>
      </c>
      <c r="C14" s="12" t="s">
        <v>83</v>
      </c>
      <c r="D14" s="12"/>
      <c r="E14" s="12"/>
      <c r="F14" s="13"/>
      <c r="G14" s="57">
        <f>'A - 05-31-22'!G33</f>
        <v>-387494.97</v>
      </c>
    </row>
    <row r="15" spans="1:7" x14ac:dyDescent="0.2">
      <c r="B15" s="9" t="s">
        <v>27</v>
      </c>
      <c r="C15" s="12" t="s">
        <v>29</v>
      </c>
      <c r="D15" s="12"/>
      <c r="E15" s="12"/>
      <c r="F15" s="15"/>
      <c r="G15" s="16">
        <f>G13+G14</f>
        <v>307583.03000000003</v>
      </c>
    </row>
    <row r="16" spans="1:7" x14ac:dyDescent="0.2">
      <c r="B16" s="8">
        <v>2</v>
      </c>
      <c r="C16" s="17">
        <v>44743</v>
      </c>
      <c r="D16" s="58">
        <f>1777490-912-8686</f>
        <v>1767892</v>
      </c>
      <c r="E16" s="59">
        <v>1587604.5</v>
      </c>
      <c r="F16" s="18">
        <f t="shared" ref="F16:F23" si="0">D16-E16</f>
        <v>180287.5</v>
      </c>
      <c r="G16" s="16">
        <f t="shared" ref="G16:G23" si="1">G15+F16</f>
        <v>487870.53</v>
      </c>
    </row>
    <row r="17" spans="2:7" x14ac:dyDescent="0.2">
      <c r="B17" s="8">
        <v>3</v>
      </c>
      <c r="C17" s="19">
        <v>44774</v>
      </c>
      <c r="D17" s="60">
        <f>1383664-174-6038</f>
        <v>1377452</v>
      </c>
      <c r="E17" s="61">
        <v>1489952.58</v>
      </c>
      <c r="F17" s="20">
        <f t="shared" si="0"/>
        <v>-112500.58000000007</v>
      </c>
      <c r="G17" s="21">
        <f t="shared" si="1"/>
        <v>375369.94999999995</v>
      </c>
    </row>
    <row r="18" spans="2:7" x14ac:dyDescent="0.2">
      <c r="B18" s="8">
        <v>4</v>
      </c>
      <c r="C18" s="19">
        <v>44805</v>
      </c>
      <c r="D18" s="60">
        <f>973246-0-5341</f>
        <v>967905</v>
      </c>
      <c r="E18" s="61">
        <v>1145689.58</v>
      </c>
      <c r="F18" s="20">
        <f t="shared" si="0"/>
        <v>-177784.58000000007</v>
      </c>
      <c r="G18" s="21">
        <f t="shared" si="1"/>
        <v>197585.36999999988</v>
      </c>
    </row>
    <row r="19" spans="2:7" x14ac:dyDescent="0.2">
      <c r="B19" s="8">
        <v>5</v>
      </c>
      <c r="C19" s="19">
        <v>44835</v>
      </c>
      <c r="D19" s="60">
        <f>978567-636-453</f>
        <v>977478</v>
      </c>
      <c r="E19" s="61">
        <v>757694.27</v>
      </c>
      <c r="F19" s="20">
        <f t="shared" si="0"/>
        <v>219783.72999999998</v>
      </c>
      <c r="G19" s="21">
        <f t="shared" si="1"/>
        <v>417369.09999999986</v>
      </c>
    </row>
    <row r="20" spans="2:7" x14ac:dyDescent="0.2">
      <c r="B20" s="8">
        <v>6</v>
      </c>
      <c r="C20" s="19">
        <v>44866</v>
      </c>
      <c r="D20" s="60">
        <f>1195491-712-4176</f>
        <v>1190603</v>
      </c>
      <c r="E20" s="61">
        <v>1184782.6399999999</v>
      </c>
      <c r="F20" s="20">
        <f t="shared" si="0"/>
        <v>5820.3600000001024</v>
      </c>
      <c r="G20" s="21">
        <f t="shared" si="1"/>
        <v>423189.45999999996</v>
      </c>
    </row>
    <row r="21" spans="2:7" x14ac:dyDescent="0.2">
      <c r="B21" s="8">
        <v>7</v>
      </c>
      <c r="C21" s="19">
        <v>44896</v>
      </c>
      <c r="D21" s="60">
        <f>1689833-750-9331</f>
        <v>1679752</v>
      </c>
      <c r="E21" s="61">
        <v>1593117.22</v>
      </c>
      <c r="F21" s="22">
        <f t="shared" si="0"/>
        <v>86634.780000000028</v>
      </c>
      <c r="G21" s="23">
        <f t="shared" si="1"/>
        <v>509824.24</v>
      </c>
    </row>
    <row r="22" spans="2:7" x14ac:dyDescent="0.2">
      <c r="B22" s="24" t="s">
        <v>30</v>
      </c>
      <c r="C22" s="17">
        <v>44927</v>
      </c>
      <c r="D22" s="58">
        <f>1358629-639-8353</f>
        <v>1349637</v>
      </c>
      <c r="E22" s="59">
        <v>1483645.67</v>
      </c>
      <c r="F22" s="18">
        <f t="shared" si="0"/>
        <v>-134008.66999999993</v>
      </c>
      <c r="G22" s="16">
        <f t="shared" si="1"/>
        <v>375815.57000000007</v>
      </c>
    </row>
    <row r="23" spans="2:7" x14ac:dyDescent="0.2">
      <c r="B23" s="25" t="s">
        <v>31</v>
      </c>
      <c r="C23" s="26">
        <v>44958</v>
      </c>
      <c r="D23" s="62">
        <f>698038-433-3605</f>
        <v>694000</v>
      </c>
      <c r="E23" s="63">
        <v>1063762.18</v>
      </c>
      <c r="F23" s="22">
        <f t="shared" si="0"/>
        <v>-369762.17999999993</v>
      </c>
      <c r="G23" s="23">
        <f t="shared" si="1"/>
        <v>6053.3900000001304</v>
      </c>
    </row>
    <row r="24" spans="2:7" x14ac:dyDescent="0.2">
      <c r="B24" s="9"/>
      <c r="C24" s="27" t="s">
        <v>67</v>
      </c>
      <c r="D24" s="28"/>
      <c r="E24" s="28"/>
      <c r="F24" s="28"/>
      <c r="G24" s="29"/>
    </row>
    <row r="25" spans="2:7" x14ac:dyDescent="0.2">
      <c r="B25" s="6"/>
      <c r="C25" s="5"/>
      <c r="D25" s="5"/>
      <c r="E25" s="5"/>
      <c r="F25" s="5"/>
      <c r="G25" s="16"/>
    </row>
    <row r="26" spans="2:7" x14ac:dyDescent="0.2">
      <c r="B26" s="8"/>
      <c r="C26" s="7"/>
      <c r="D26" s="8" t="s">
        <v>32</v>
      </c>
      <c r="E26" s="8" t="s">
        <v>33</v>
      </c>
      <c r="F26" s="7"/>
      <c r="G26" s="21"/>
    </row>
    <row r="27" spans="2:7" x14ac:dyDescent="0.2">
      <c r="B27" s="8">
        <v>8</v>
      </c>
      <c r="C27" s="7"/>
      <c r="D27" s="8" t="s">
        <v>34</v>
      </c>
      <c r="E27" s="8" t="s">
        <v>35</v>
      </c>
      <c r="F27" s="7"/>
      <c r="G27" s="30" t="s">
        <v>32</v>
      </c>
    </row>
    <row r="28" spans="2:7" x14ac:dyDescent="0.2">
      <c r="B28" s="8"/>
      <c r="C28" s="7"/>
      <c r="D28" s="8" t="s">
        <v>36</v>
      </c>
      <c r="E28" s="8" t="s">
        <v>37</v>
      </c>
      <c r="F28" s="7"/>
      <c r="G28" s="30" t="s">
        <v>38</v>
      </c>
    </row>
    <row r="29" spans="2:7" x14ac:dyDescent="0.2">
      <c r="B29" s="8"/>
      <c r="C29" s="7"/>
      <c r="D29" s="8" t="s">
        <v>39</v>
      </c>
      <c r="E29" s="8" t="s">
        <v>40</v>
      </c>
      <c r="F29" s="7"/>
      <c r="G29" s="30" t="s">
        <v>41</v>
      </c>
    </row>
    <row r="30" spans="2:7" x14ac:dyDescent="0.2">
      <c r="B30" s="9"/>
      <c r="C30" s="7"/>
      <c r="D30" s="8" t="s">
        <v>42</v>
      </c>
      <c r="E30" s="8" t="s">
        <v>43</v>
      </c>
      <c r="F30" s="7"/>
      <c r="G30" s="30" t="s">
        <v>44</v>
      </c>
    </row>
    <row r="31" spans="2:7" x14ac:dyDescent="0.2">
      <c r="B31" s="24" t="s">
        <v>45</v>
      </c>
      <c r="C31" s="5" t="s">
        <v>84</v>
      </c>
      <c r="D31" s="16">
        <f>-G13</f>
        <v>-695078</v>
      </c>
      <c r="E31" s="16">
        <f>D62</f>
        <v>0</v>
      </c>
      <c r="F31" s="5"/>
      <c r="G31" s="16">
        <f>D31+E31</f>
        <v>-695078</v>
      </c>
    </row>
    <row r="32" spans="2:7" x14ac:dyDescent="0.2">
      <c r="B32" s="31" t="s">
        <v>46</v>
      </c>
      <c r="C32" s="32" t="s">
        <v>86</v>
      </c>
      <c r="D32" s="23">
        <f>-G14</f>
        <v>387494.97</v>
      </c>
      <c r="E32" s="23">
        <v>0</v>
      </c>
      <c r="F32" s="32"/>
      <c r="G32" s="23">
        <f>D32+E32</f>
        <v>387494.97</v>
      </c>
    </row>
    <row r="33" spans="2:7" x14ac:dyDescent="0.2">
      <c r="B33" s="9" t="s">
        <v>47</v>
      </c>
      <c r="C33" s="33"/>
      <c r="D33" s="34"/>
      <c r="E33" s="34"/>
      <c r="F33" s="35" t="s">
        <v>49</v>
      </c>
      <c r="G33" s="23">
        <f>G31+G32</f>
        <v>-307583.03000000003</v>
      </c>
    </row>
    <row r="34" spans="2:7" x14ac:dyDescent="0.2">
      <c r="B34" s="36"/>
      <c r="G34" s="37"/>
    </row>
    <row r="35" spans="2:7" x14ac:dyDescent="0.2">
      <c r="B35" s="10">
        <v>9</v>
      </c>
      <c r="C35" s="38" t="s">
        <v>87</v>
      </c>
      <c r="D35" s="12"/>
      <c r="E35" s="12"/>
      <c r="F35" s="13"/>
      <c r="G35" s="39">
        <f>G21+G33</f>
        <v>202241.20999999996</v>
      </c>
    </row>
    <row r="36" spans="2:7" x14ac:dyDescent="0.2">
      <c r="B36" s="36"/>
      <c r="G36" s="37"/>
    </row>
    <row r="37" spans="2:7" x14ac:dyDescent="0.2">
      <c r="B37" s="10">
        <v>10</v>
      </c>
      <c r="C37" s="38" t="s">
        <v>64</v>
      </c>
      <c r="D37" s="12"/>
      <c r="E37" s="12"/>
      <c r="F37" s="13"/>
      <c r="G37" s="39">
        <f>G35/6</f>
        <v>33706.868333333325</v>
      </c>
    </row>
    <row r="39" spans="2:7" x14ac:dyDescent="0.2">
      <c r="B39" s="5"/>
      <c r="C39" s="40" t="s">
        <v>50</v>
      </c>
      <c r="D39" s="41"/>
      <c r="E39" s="41"/>
      <c r="F39" s="41"/>
      <c r="G39" s="42"/>
    </row>
    <row r="40" spans="2:7" x14ac:dyDescent="0.2">
      <c r="B40" s="5"/>
      <c r="C40" s="43"/>
      <c r="D40" s="43"/>
      <c r="E40" s="43"/>
      <c r="F40" s="43"/>
      <c r="G40" s="15"/>
    </row>
    <row r="41" spans="2:7" x14ac:dyDescent="0.2">
      <c r="B41" s="8">
        <v>11</v>
      </c>
      <c r="C41" s="44" t="s">
        <v>51</v>
      </c>
      <c r="D41" s="44"/>
      <c r="E41" s="44"/>
      <c r="F41" s="44"/>
      <c r="G41" s="45">
        <f>G15</f>
        <v>307583.03000000003</v>
      </c>
    </row>
    <row r="42" spans="2:7" x14ac:dyDescent="0.2">
      <c r="B42" s="8">
        <v>12</v>
      </c>
      <c r="C42" s="44" t="s">
        <v>52</v>
      </c>
      <c r="D42" s="44"/>
      <c r="E42" s="44"/>
      <c r="F42" s="44"/>
      <c r="G42" s="46">
        <f>G33</f>
        <v>-307583.03000000003</v>
      </c>
    </row>
    <row r="43" spans="2:7" x14ac:dyDescent="0.2">
      <c r="B43" s="8"/>
      <c r="C43" s="44"/>
      <c r="D43" s="44"/>
      <c r="E43" s="44"/>
      <c r="F43" s="44"/>
      <c r="G43" s="45"/>
    </row>
    <row r="44" spans="2:7" ht="15" thickBot="1" x14ac:dyDescent="0.25">
      <c r="B44" s="8">
        <v>13</v>
      </c>
      <c r="C44" s="44" t="s">
        <v>53</v>
      </c>
      <c r="D44" s="44"/>
      <c r="E44" s="44"/>
      <c r="F44" s="44"/>
      <c r="G44" s="47">
        <f>G41+G42</f>
        <v>0</v>
      </c>
    </row>
    <row r="45" spans="2:7" ht="15" thickTop="1" x14ac:dyDescent="0.2">
      <c r="B45" s="8"/>
      <c r="C45" s="44"/>
      <c r="D45" s="44"/>
      <c r="E45" s="44"/>
      <c r="F45" s="44"/>
      <c r="G45" s="45"/>
    </row>
    <row r="46" spans="2:7" x14ac:dyDescent="0.2">
      <c r="B46" s="8">
        <v>14</v>
      </c>
      <c r="C46" s="44" t="s">
        <v>54</v>
      </c>
      <c r="D46" s="44"/>
      <c r="E46" s="44"/>
      <c r="F46" s="44"/>
      <c r="G46" s="45">
        <f>G35</f>
        <v>202241.20999999996</v>
      </c>
    </row>
    <row r="47" spans="2:7" x14ac:dyDescent="0.2">
      <c r="B47" s="8"/>
      <c r="C47" s="44"/>
      <c r="D47" s="44"/>
      <c r="E47" s="44"/>
      <c r="F47" s="44"/>
      <c r="G47" s="45"/>
    </row>
    <row r="48" spans="2:7" x14ac:dyDescent="0.2">
      <c r="B48" s="8">
        <v>15</v>
      </c>
      <c r="C48" s="44" t="s">
        <v>55</v>
      </c>
      <c r="D48" s="44"/>
      <c r="E48" s="44"/>
      <c r="F48" s="44"/>
      <c r="G48" s="46">
        <f>SUM(F16:F21)</f>
        <v>202241.20999999996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16</v>
      </c>
      <c r="C50" s="44" t="s">
        <v>56</v>
      </c>
      <c r="D50" s="44"/>
      <c r="E50" s="44"/>
      <c r="F50" s="44"/>
      <c r="G50" s="47">
        <f>G46-G48</f>
        <v>0</v>
      </c>
    </row>
    <row r="51" spans="2:7" ht="15" thickTop="1" x14ac:dyDescent="0.2">
      <c r="B51" s="32"/>
      <c r="C51" s="48"/>
      <c r="D51" s="48"/>
      <c r="E51" s="48"/>
      <c r="F51" s="48"/>
      <c r="G51" s="49"/>
    </row>
    <row r="53" spans="2:7" x14ac:dyDescent="0.2">
      <c r="B53" t="s">
        <v>57</v>
      </c>
    </row>
    <row r="54" spans="2:7" x14ac:dyDescent="0.2">
      <c r="B54" s="36"/>
      <c r="C54" s="5"/>
      <c r="D54" s="6" t="s">
        <v>58</v>
      </c>
      <c r="E54" s="31"/>
      <c r="F54" s="74"/>
      <c r="G54" s="74"/>
    </row>
    <row r="55" spans="2:7" x14ac:dyDescent="0.2">
      <c r="B55" s="36"/>
      <c r="C55" s="9" t="s">
        <v>19</v>
      </c>
      <c r="D55" s="9" t="s">
        <v>98</v>
      </c>
      <c r="E55" s="31"/>
      <c r="F55" s="74"/>
      <c r="G55" s="74"/>
    </row>
    <row r="56" spans="2:7" x14ac:dyDescent="0.2">
      <c r="C56" s="17">
        <v>44743</v>
      </c>
      <c r="D56" s="50">
        <v>0</v>
      </c>
      <c r="E56" s="75"/>
      <c r="F56" s="71"/>
      <c r="G56" s="71"/>
    </row>
    <row r="57" spans="2:7" x14ac:dyDescent="0.2">
      <c r="C57" s="19">
        <v>44774</v>
      </c>
      <c r="D57" s="51">
        <v>0</v>
      </c>
      <c r="E57" s="75"/>
      <c r="F57" s="71"/>
      <c r="G57" s="71"/>
    </row>
    <row r="58" spans="2:7" x14ac:dyDescent="0.2">
      <c r="C58" s="19">
        <v>44805</v>
      </c>
      <c r="D58" s="51">
        <v>0</v>
      </c>
      <c r="E58" s="75"/>
      <c r="F58" s="71"/>
      <c r="G58" s="71"/>
    </row>
    <row r="59" spans="2:7" x14ac:dyDescent="0.2">
      <c r="C59" s="19">
        <v>44835</v>
      </c>
      <c r="D59" s="51">
        <v>0</v>
      </c>
      <c r="E59" s="75"/>
      <c r="F59" s="71"/>
      <c r="G59" s="71"/>
    </row>
    <row r="60" spans="2:7" x14ac:dyDescent="0.2">
      <c r="C60" s="19">
        <v>44866</v>
      </c>
      <c r="D60" s="51">
        <v>0</v>
      </c>
      <c r="E60" s="75"/>
      <c r="F60" s="71"/>
      <c r="G60" s="71"/>
    </row>
    <row r="61" spans="2:7" x14ac:dyDescent="0.2">
      <c r="C61" s="19">
        <v>44896</v>
      </c>
      <c r="D61" s="52">
        <v>0</v>
      </c>
      <c r="E61" s="75"/>
      <c r="F61" s="71"/>
      <c r="G61" s="71"/>
    </row>
    <row r="62" spans="2:7" x14ac:dyDescent="0.2">
      <c r="C62" s="53" t="s">
        <v>59</v>
      </c>
      <c r="D62" s="39">
        <f>SUM(D56:D61)</f>
        <v>0</v>
      </c>
      <c r="E62" s="20"/>
      <c r="F62" s="71"/>
      <c r="G62" s="71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4"/>
  <sheetViews>
    <sheetView workbookViewId="0">
      <selection activeCell="E33" sqref="E33"/>
    </sheetView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Summary!A1</f>
        <v>DR1 Response 2 - Salt River Surcharge Summary.xlsx</v>
      </c>
    </row>
    <row r="4" spans="1:7" ht="14.25" customHeight="1" x14ac:dyDescent="0.2">
      <c r="B4" s="77" t="s">
        <v>8</v>
      </c>
      <c r="C4" s="78"/>
      <c r="D4" s="78"/>
      <c r="E4" s="78"/>
      <c r="F4" s="78"/>
      <c r="G4" s="79"/>
    </row>
    <row r="5" spans="1:7" x14ac:dyDescent="0.2">
      <c r="B5" s="80"/>
      <c r="C5" s="81"/>
      <c r="D5" s="81"/>
      <c r="E5" s="81"/>
      <c r="F5" s="81"/>
      <c r="G5" s="82"/>
    </row>
    <row r="7" spans="1:7" x14ac:dyDescent="0.2">
      <c r="B7" s="5"/>
      <c r="C7" s="5"/>
      <c r="D7" s="5"/>
      <c r="E7" s="6" t="s">
        <v>9</v>
      </c>
      <c r="F7" s="5"/>
      <c r="G7" s="5"/>
    </row>
    <row r="8" spans="1:7" x14ac:dyDescent="0.2">
      <c r="B8" s="7"/>
      <c r="C8" s="7"/>
      <c r="D8" s="8" t="s">
        <v>10</v>
      </c>
      <c r="E8" s="8" t="s">
        <v>11</v>
      </c>
      <c r="F8" s="7"/>
      <c r="G8" s="7"/>
    </row>
    <row r="9" spans="1:7" x14ac:dyDescent="0.2">
      <c r="B9" s="7"/>
      <c r="C9" s="7"/>
      <c r="D9" s="8" t="s">
        <v>12</v>
      </c>
      <c r="E9" s="8" t="s">
        <v>13</v>
      </c>
      <c r="F9" s="8" t="s">
        <v>14</v>
      </c>
      <c r="G9" s="8" t="s">
        <v>15</v>
      </c>
    </row>
    <row r="10" spans="1:7" x14ac:dyDescent="0.2">
      <c r="B10" s="9"/>
      <c r="C10" s="56"/>
      <c r="D10" s="9" t="s">
        <v>16</v>
      </c>
      <c r="E10" s="9" t="s">
        <v>16</v>
      </c>
      <c r="F10" s="9" t="s">
        <v>17</v>
      </c>
      <c r="G10" s="9" t="s">
        <v>17</v>
      </c>
    </row>
    <row r="11" spans="1:7" x14ac:dyDescent="0.2">
      <c r="B11" s="10" t="s">
        <v>18</v>
      </c>
      <c r="C11" s="10" t="s">
        <v>19</v>
      </c>
      <c r="D11" s="11" t="s">
        <v>20</v>
      </c>
      <c r="E11" s="11" t="s">
        <v>21</v>
      </c>
      <c r="F11" s="11" t="s">
        <v>22</v>
      </c>
      <c r="G11" s="11" t="s">
        <v>23</v>
      </c>
    </row>
    <row r="12" spans="1:7" x14ac:dyDescent="0.2">
      <c r="B12" s="6">
        <v>1</v>
      </c>
      <c r="C12" s="83" t="s">
        <v>24</v>
      </c>
      <c r="D12" s="84"/>
      <c r="E12" s="84"/>
      <c r="F12" s="84"/>
      <c r="G12" s="85"/>
    </row>
    <row r="13" spans="1:7" x14ac:dyDescent="0.2">
      <c r="B13" s="6" t="s">
        <v>25</v>
      </c>
      <c r="C13" s="12" t="s">
        <v>82</v>
      </c>
      <c r="D13" s="12"/>
      <c r="E13" s="12"/>
      <c r="F13" s="13"/>
      <c r="G13" s="14">
        <v>695078</v>
      </c>
    </row>
    <row r="14" spans="1:7" x14ac:dyDescent="0.2">
      <c r="B14" s="8" t="s">
        <v>26</v>
      </c>
      <c r="C14" s="12" t="s">
        <v>83</v>
      </c>
      <c r="D14" s="12"/>
      <c r="E14" s="12"/>
      <c r="F14" s="13"/>
      <c r="G14" s="57">
        <f>'A - 05-31-22'!G33</f>
        <v>-387494.97</v>
      </c>
    </row>
    <row r="15" spans="1:7" x14ac:dyDescent="0.2">
      <c r="B15" s="8" t="s">
        <v>27</v>
      </c>
      <c r="C15" s="12" t="s">
        <v>88</v>
      </c>
      <c r="D15" s="12"/>
      <c r="E15" s="12"/>
      <c r="F15" s="13"/>
      <c r="G15" s="57">
        <f>'B - 11-30-22'!G35</f>
        <v>202241.20999999996</v>
      </c>
    </row>
    <row r="16" spans="1:7" x14ac:dyDescent="0.2">
      <c r="B16" s="9" t="s">
        <v>28</v>
      </c>
      <c r="C16" s="12" t="s">
        <v>29</v>
      </c>
      <c r="D16" s="12"/>
      <c r="E16" s="12"/>
      <c r="F16" s="15"/>
      <c r="G16" s="16">
        <f>G13+G14+G15</f>
        <v>509824.24</v>
      </c>
    </row>
    <row r="17" spans="2:7" x14ac:dyDescent="0.2">
      <c r="B17" s="8">
        <v>2</v>
      </c>
      <c r="C17" s="17">
        <v>44927</v>
      </c>
      <c r="D17" s="58">
        <f>1358629-639-8353</f>
        <v>1349637</v>
      </c>
      <c r="E17" s="59">
        <v>1483645.67</v>
      </c>
      <c r="F17" s="18">
        <f t="shared" ref="F17:F24" si="0">D17-E17</f>
        <v>-134008.66999999993</v>
      </c>
      <c r="G17" s="16">
        <f t="shared" ref="G17:G24" si="1">G16+F17</f>
        <v>375815.57000000007</v>
      </c>
    </row>
    <row r="18" spans="2:7" x14ac:dyDescent="0.2">
      <c r="B18" s="8">
        <v>3</v>
      </c>
      <c r="C18" s="19">
        <v>44958</v>
      </c>
      <c r="D18" s="60">
        <f>698038-433-3605</f>
        <v>694000</v>
      </c>
      <c r="E18" s="61">
        <v>1063762.18</v>
      </c>
      <c r="F18" s="20">
        <f t="shared" si="0"/>
        <v>-369762.17999999993</v>
      </c>
      <c r="G18" s="21">
        <f t="shared" si="1"/>
        <v>6053.3900000001304</v>
      </c>
    </row>
    <row r="19" spans="2:7" x14ac:dyDescent="0.2">
      <c r="B19" s="8">
        <v>4</v>
      </c>
      <c r="C19" s="19">
        <v>44986</v>
      </c>
      <c r="D19" s="60">
        <f>882524-557-5630</f>
        <v>876337</v>
      </c>
      <c r="E19" s="61">
        <v>774333.67</v>
      </c>
      <c r="F19" s="20">
        <f t="shared" si="0"/>
        <v>102003.32999999996</v>
      </c>
      <c r="G19" s="21">
        <f t="shared" si="1"/>
        <v>108056.72000000009</v>
      </c>
    </row>
    <row r="20" spans="2:7" x14ac:dyDescent="0.2">
      <c r="B20" s="8">
        <v>5</v>
      </c>
      <c r="C20" s="19">
        <v>45017</v>
      </c>
      <c r="D20" s="60">
        <f>1003386-754-8070</f>
        <v>994562</v>
      </c>
      <c r="E20" s="61">
        <v>805843.75</v>
      </c>
      <c r="F20" s="20">
        <f t="shared" si="0"/>
        <v>188718.25</v>
      </c>
      <c r="G20" s="21">
        <f t="shared" si="1"/>
        <v>296774.97000000009</v>
      </c>
    </row>
    <row r="21" spans="2:7" x14ac:dyDescent="0.2">
      <c r="B21" s="8">
        <v>6</v>
      </c>
      <c r="C21" s="19">
        <v>45047</v>
      </c>
      <c r="D21" s="60">
        <f>1121205-736-7950</f>
        <v>1112519</v>
      </c>
      <c r="E21" s="61">
        <v>1183114.1100000001</v>
      </c>
      <c r="F21" s="20">
        <f t="shared" si="0"/>
        <v>-70595.110000000102</v>
      </c>
      <c r="G21" s="21">
        <f t="shared" si="1"/>
        <v>226179.86</v>
      </c>
    </row>
    <row r="22" spans="2:7" x14ac:dyDescent="0.2">
      <c r="B22" s="8">
        <v>7</v>
      </c>
      <c r="C22" s="19">
        <v>45078</v>
      </c>
      <c r="D22" s="60">
        <f>1299128-886-6349</f>
        <v>1291893</v>
      </c>
      <c r="E22" s="61">
        <v>1216986.27</v>
      </c>
      <c r="F22" s="22">
        <f t="shared" si="0"/>
        <v>74906.729999999981</v>
      </c>
      <c r="G22" s="23">
        <f t="shared" si="1"/>
        <v>301086.58999999997</v>
      </c>
    </row>
    <row r="23" spans="2:7" x14ac:dyDescent="0.2">
      <c r="B23" s="24" t="s">
        <v>30</v>
      </c>
      <c r="C23" s="17">
        <v>45108</v>
      </c>
      <c r="D23" s="58">
        <f>1694757-925-8494</f>
        <v>1685338</v>
      </c>
      <c r="E23" s="59">
        <v>1696938.11</v>
      </c>
      <c r="F23" s="18">
        <f t="shared" si="0"/>
        <v>-11600.110000000102</v>
      </c>
      <c r="G23" s="16">
        <f t="shared" si="1"/>
        <v>289486.47999999986</v>
      </c>
    </row>
    <row r="24" spans="2:7" x14ac:dyDescent="0.2">
      <c r="B24" s="25" t="s">
        <v>31</v>
      </c>
      <c r="C24" s="26">
        <v>45139</v>
      </c>
      <c r="D24" s="62">
        <f>1776036-0-4774</f>
        <v>1771262</v>
      </c>
      <c r="E24" s="63">
        <v>1588589.83</v>
      </c>
      <c r="F24" s="22">
        <f t="shared" si="0"/>
        <v>182672.16999999993</v>
      </c>
      <c r="G24" s="23">
        <f t="shared" si="1"/>
        <v>472158.64999999979</v>
      </c>
    </row>
    <row r="25" spans="2:7" x14ac:dyDescent="0.2">
      <c r="B25" s="9"/>
      <c r="C25" s="27" t="s">
        <v>72</v>
      </c>
      <c r="D25" s="28"/>
      <c r="E25" s="28"/>
      <c r="F25" s="28"/>
      <c r="G25" s="29"/>
    </row>
    <row r="26" spans="2:7" x14ac:dyDescent="0.2">
      <c r="B26" s="6"/>
      <c r="C26" s="5"/>
      <c r="D26" s="5"/>
      <c r="E26" s="5"/>
      <c r="F26" s="5"/>
      <c r="G26" s="16"/>
    </row>
    <row r="27" spans="2:7" x14ac:dyDescent="0.2">
      <c r="B27" s="8"/>
      <c r="C27" s="7"/>
      <c r="D27" s="8" t="s">
        <v>32</v>
      </c>
      <c r="E27" s="8" t="s">
        <v>33</v>
      </c>
      <c r="F27" s="7"/>
      <c r="G27" s="21"/>
    </row>
    <row r="28" spans="2:7" x14ac:dyDescent="0.2">
      <c r="B28" s="8">
        <v>8</v>
      </c>
      <c r="C28" s="7"/>
      <c r="D28" s="8" t="s">
        <v>34</v>
      </c>
      <c r="E28" s="8" t="s">
        <v>35</v>
      </c>
      <c r="F28" s="7"/>
      <c r="G28" s="30" t="s">
        <v>32</v>
      </c>
    </row>
    <row r="29" spans="2:7" x14ac:dyDescent="0.2">
      <c r="B29" s="8"/>
      <c r="C29" s="7"/>
      <c r="D29" s="8" t="s">
        <v>36</v>
      </c>
      <c r="E29" s="8" t="s">
        <v>37</v>
      </c>
      <c r="F29" s="7"/>
      <c r="G29" s="30" t="s">
        <v>38</v>
      </c>
    </row>
    <row r="30" spans="2:7" x14ac:dyDescent="0.2">
      <c r="B30" s="8"/>
      <c r="C30" s="7"/>
      <c r="D30" s="8" t="s">
        <v>39</v>
      </c>
      <c r="E30" s="8" t="s">
        <v>40</v>
      </c>
      <c r="F30" s="7"/>
      <c r="G30" s="30" t="s">
        <v>41</v>
      </c>
    </row>
    <row r="31" spans="2:7" x14ac:dyDescent="0.2">
      <c r="B31" s="9"/>
      <c r="C31" s="7"/>
      <c r="D31" s="8" t="s">
        <v>42</v>
      </c>
      <c r="E31" s="8" t="s">
        <v>43</v>
      </c>
      <c r="F31" s="7"/>
      <c r="G31" s="30" t="s">
        <v>44</v>
      </c>
    </row>
    <row r="32" spans="2:7" x14ac:dyDescent="0.2">
      <c r="B32" s="24" t="s">
        <v>45</v>
      </c>
      <c r="C32" s="5" t="s">
        <v>84</v>
      </c>
      <c r="D32" s="16">
        <f>-G13</f>
        <v>-695078</v>
      </c>
      <c r="E32" s="16">
        <f>D64</f>
        <v>0</v>
      </c>
      <c r="F32" s="5"/>
      <c r="G32" s="16">
        <f t="shared" ref="G32:G34" si="2">D32+E32</f>
        <v>-695078</v>
      </c>
    </row>
    <row r="33" spans="2:7" x14ac:dyDescent="0.2">
      <c r="B33" s="31" t="s">
        <v>46</v>
      </c>
      <c r="C33" s="66" t="s">
        <v>86</v>
      </c>
      <c r="D33" s="21">
        <f>-G14</f>
        <v>387494.97</v>
      </c>
      <c r="E33" s="21">
        <v>0</v>
      </c>
      <c r="F33" s="7"/>
      <c r="G33" s="21">
        <f t="shared" si="2"/>
        <v>387494.97</v>
      </c>
    </row>
    <row r="34" spans="2:7" x14ac:dyDescent="0.2">
      <c r="B34" s="31" t="s">
        <v>47</v>
      </c>
      <c r="C34" s="49" t="s">
        <v>89</v>
      </c>
      <c r="D34" s="23">
        <f>-G15</f>
        <v>-202241.20999999996</v>
      </c>
      <c r="E34" s="23">
        <v>0</v>
      </c>
      <c r="F34" s="32"/>
      <c r="G34" s="23">
        <f t="shared" si="2"/>
        <v>-202241.20999999996</v>
      </c>
    </row>
    <row r="35" spans="2:7" x14ac:dyDescent="0.2">
      <c r="B35" s="9" t="s">
        <v>48</v>
      </c>
      <c r="C35" s="33"/>
      <c r="D35" s="34"/>
      <c r="E35" s="34"/>
      <c r="F35" s="35" t="s">
        <v>49</v>
      </c>
      <c r="G35" s="23">
        <f>G32+G33+G34</f>
        <v>-509824.24</v>
      </c>
    </row>
    <row r="36" spans="2:7" x14ac:dyDescent="0.2">
      <c r="B36" s="36"/>
      <c r="G36" s="37"/>
    </row>
    <row r="37" spans="2:7" x14ac:dyDescent="0.2">
      <c r="B37" s="10">
        <v>9</v>
      </c>
      <c r="C37" s="38" t="s">
        <v>90</v>
      </c>
      <c r="D37" s="12"/>
      <c r="E37" s="12"/>
      <c r="F37" s="13"/>
      <c r="G37" s="39">
        <f>G22+G35</f>
        <v>-208737.65000000002</v>
      </c>
    </row>
    <row r="38" spans="2:7" x14ac:dyDescent="0.2">
      <c r="B38" s="36"/>
      <c r="G38" s="37"/>
    </row>
    <row r="39" spans="2:7" x14ac:dyDescent="0.2">
      <c r="B39" s="10">
        <v>10</v>
      </c>
      <c r="C39" s="38" t="s">
        <v>64</v>
      </c>
      <c r="D39" s="12"/>
      <c r="E39" s="12"/>
      <c r="F39" s="13"/>
      <c r="G39" s="39">
        <f>G37/6</f>
        <v>-34789.608333333337</v>
      </c>
    </row>
    <row r="41" spans="2:7" x14ac:dyDescent="0.2">
      <c r="B41" s="5"/>
      <c r="C41" s="40" t="s">
        <v>50</v>
      </c>
      <c r="D41" s="41"/>
      <c r="E41" s="41"/>
      <c r="F41" s="41"/>
      <c r="G41" s="42"/>
    </row>
    <row r="42" spans="2:7" x14ac:dyDescent="0.2">
      <c r="B42" s="5"/>
      <c r="C42" s="43"/>
      <c r="D42" s="43"/>
      <c r="E42" s="43"/>
      <c r="F42" s="43"/>
      <c r="G42" s="15"/>
    </row>
    <row r="43" spans="2:7" x14ac:dyDescent="0.2">
      <c r="B43" s="8">
        <v>11</v>
      </c>
      <c r="C43" s="44" t="s">
        <v>51</v>
      </c>
      <c r="D43" s="44"/>
      <c r="E43" s="44"/>
      <c r="F43" s="44"/>
      <c r="G43" s="45">
        <f>G16</f>
        <v>509824.24</v>
      </c>
    </row>
    <row r="44" spans="2:7" x14ac:dyDescent="0.2">
      <c r="B44" s="8">
        <v>12</v>
      </c>
      <c r="C44" s="44" t="s">
        <v>52</v>
      </c>
      <c r="D44" s="44"/>
      <c r="E44" s="44"/>
      <c r="F44" s="44"/>
      <c r="G44" s="46">
        <f>G35</f>
        <v>-509824.24</v>
      </c>
    </row>
    <row r="45" spans="2:7" x14ac:dyDescent="0.2">
      <c r="B45" s="8"/>
      <c r="C45" s="44"/>
      <c r="D45" s="44"/>
      <c r="E45" s="44"/>
      <c r="F45" s="44"/>
      <c r="G45" s="45"/>
    </row>
    <row r="46" spans="2:7" ht="15" thickBot="1" x14ac:dyDescent="0.25">
      <c r="B46" s="8">
        <v>13</v>
      </c>
      <c r="C46" s="44" t="s">
        <v>53</v>
      </c>
      <c r="D46" s="44"/>
      <c r="E46" s="44"/>
      <c r="F46" s="44"/>
      <c r="G46" s="47">
        <f>G43+G44</f>
        <v>0</v>
      </c>
    </row>
    <row r="47" spans="2:7" ht="15" thickTop="1" x14ac:dyDescent="0.2">
      <c r="B47" s="8"/>
      <c r="C47" s="44"/>
      <c r="D47" s="44"/>
      <c r="E47" s="44"/>
      <c r="F47" s="44"/>
      <c r="G47" s="45"/>
    </row>
    <row r="48" spans="2:7" x14ac:dyDescent="0.2">
      <c r="B48" s="8">
        <v>14</v>
      </c>
      <c r="C48" s="44" t="s">
        <v>54</v>
      </c>
      <c r="D48" s="44"/>
      <c r="E48" s="44"/>
      <c r="F48" s="44"/>
      <c r="G48" s="45">
        <f>G37</f>
        <v>-208737.65000000002</v>
      </c>
    </row>
    <row r="49" spans="2:7" x14ac:dyDescent="0.2">
      <c r="B49" s="8"/>
      <c r="C49" s="44"/>
      <c r="D49" s="44"/>
      <c r="E49" s="44"/>
      <c r="F49" s="44"/>
      <c r="G49" s="45"/>
    </row>
    <row r="50" spans="2:7" x14ac:dyDescent="0.2">
      <c r="B50" s="8">
        <v>15</v>
      </c>
      <c r="C50" s="44" t="s">
        <v>55</v>
      </c>
      <c r="D50" s="44"/>
      <c r="E50" s="44"/>
      <c r="F50" s="44"/>
      <c r="G50" s="46">
        <f>SUM(F17:F22)</f>
        <v>-208737.65000000002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16</v>
      </c>
      <c r="C52" s="44" t="s">
        <v>56</v>
      </c>
      <c r="D52" s="44"/>
      <c r="E52" s="44"/>
      <c r="F52" s="44"/>
      <c r="G52" s="47">
        <f>G48-G50</f>
        <v>0</v>
      </c>
    </row>
    <row r="53" spans="2:7" ht="15" thickTop="1" x14ac:dyDescent="0.2">
      <c r="B53" s="32"/>
      <c r="C53" s="48"/>
      <c r="D53" s="48"/>
      <c r="E53" s="48"/>
      <c r="F53" s="48"/>
      <c r="G53" s="49"/>
    </row>
    <row r="55" spans="2:7" x14ac:dyDescent="0.2">
      <c r="B55" t="s">
        <v>57</v>
      </c>
    </row>
    <row r="56" spans="2:7" x14ac:dyDescent="0.2">
      <c r="B56" s="36"/>
      <c r="C56" s="5"/>
      <c r="D56" s="6" t="s">
        <v>58</v>
      </c>
      <c r="E56" s="31"/>
      <c r="F56" s="74"/>
      <c r="G56" s="74"/>
    </row>
    <row r="57" spans="2:7" x14ac:dyDescent="0.2">
      <c r="B57" s="36"/>
      <c r="C57" s="9" t="s">
        <v>19</v>
      </c>
      <c r="D57" s="9" t="s">
        <v>98</v>
      </c>
      <c r="E57" s="31"/>
      <c r="F57" s="74"/>
      <c r="G57" s="74"/>
    </row>
    <row r="58" spans="2:7" x14ac:dyDescent="0.2">
      <c r="C58" s="17">
        <v>44927</v>
      </c>
      <c r="D58" s="50">
        <v>0</v>
      </c>
      <c r="E58" s="75"/>
      <c r="F58" s="71"/>
      <c r="G58" s="71"/>
    </row>
    <row r="59" spans="2:7" x14ac:dyDescent="0.2">
      <c r="C59" s="19">
        <v>44958</v>
      </c>
      <c r="D59" s="51">
        <v>0</v>
      </c>
      <c r="E59" s="75"/>
      <c r="F59" s="71"/>
      <c r="G59" s="71"/>
    </row>
    <row r="60" spans="2:7" x14ac:dyDescent="0.2">
      <c r="C60" s="19">
        <v>44986</v>
      </c>
      <c r="D60" s="51">
        <v>0</v>
      </c>
      <c r="E60" s="75"/>
      <c r="F60" s="71"/>
      <c r="G60" s="71"/>
    </row>
    <row r="61" spans="2:7" x14ac:dyDescent="0.2">
      <c r="C61" s="19">
        <v>45017</v>
      </c>
      <c r="D61" s="51">
        <v>0</v>
      </c>
      <c r="E61" s="75"/>
      <c r="F61" s="71"/>
      <c r="G61" s="71"/>
    </row>
    <row r="62" spans="2:7" x14ac:dyDescent="0.2">
      <c r="C62" s="19">
        <v>45047</v>
      </c>
      <c r="D62" s="51">
        <v>0</v>
      </c>
      <c r="E62" s="75"/>
      <c r="F62" s="71"/>
      <c r="G62" s="71"/>
    </row>
    <row r="63" spans="2:7" x14ac:dyDescent="0.2">
      <c r="C63" s="19">
        <v>45078</v>
      </c>
      <c r="D63" s="52">
        <v>0</v>
      </c>
      <c r="E63" s="75"/>
      <c r="F63" s="71"/>
      <c r="G63" s="71"/>
    </row>
    <row r="64" spans="2:7" x14ac:dyDescent="0.2">
      <c r="C64" s="53" t="s">
        <v>59</v>
      </c>
      <c r="D64" s="39">
        <f>SUM(D58:D63)</f>
        <v>0</v>
      </c>
      <c r="E64" s="20"/>
      <c r="F64" s="71"/>
      <c r="G64" s="71"/>
    </row>
  </sheetData>
  <mergeCells count="2">
    <mergeCell ref="B4:G5"/>
    <mergeCell ref="C12:G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6"/>
  <sheetViews>
    <sheetView workbookViewId="0"/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Summary!A1</f>
        <v>DR1 Response 2 - Salt River Surcharge Summary.xlsx</v>
      </c>
    </row>
    <row r="4" spans="1:7" ht="14.25" customHeight="1" x14ac:dyDescent="0.2">
      <c r="A4" s="55"/>
      <c r="B4" s="77" t="s">
        <v>8</v>
      </c>
      <c r="C4" s="78"/>
      <c r="D4" s="78"/>
      <c r="E4" s="78"/>
      <c r="F4" s="78"/>
      <c r="G4" s="79"/>
    </row>
    <row r="5" spans="1:7" x14ac:dyDescent="0.2">
      <c r="A5" s="55"/>
      <c r="B5" s="80"/>
      <c r="C5" s="81"/>
      <c r="D5" s="81"/>
      <c r="E5" s="81"/>
      <c r="F5" s="81"/>
      <c r="G5" s="82"/>
    </row>
    <row r="6" spans="1:7" x14ac:dyDescent="0.2">
      <c r="A6" s="55"/>
    </row>
    <row r="7" spans="1:7" x14ac:dyDescent="0.2">
      <c r="A7" s="55"/>
      <c r="B7" s="5"/>
      <c r="C7" s="5"/>
      <c r="D7" s="5"/>
      <c r="E7" s="6" t="s">
        <v>9</v>
      </c>
      <c r="F7" s="5"/>
      <c r="G7" s="5"/>
    </row>
    <row r="8" spans="1:7" x14ac:dyDescent="0.2">
      <c r="A8" s="55"/>
      <c r="B8" s="7"/>
      <c r="C8" s="7"/>
      <c r="D8" s="8" t="s">
        <v>10</v>
      </c>
      <c r="E8" s="8" t="s">
        <v>11</v>
      </c>
      <c r="F8" s="7"/>
      <c r="G8" s="7"/>
    </row>
    <row r="9" spans="1:7" x14ac:dyDescent="0.2">
      <c r="A9" s="55"/>
      <c r="B9" s="7"/>
      <c r="C9" s="7"/>
      <c r="D9" s="8" t="s">
        <v>12</v>
      </c>
      <c r="E9" s="8" t="s">
        <v>13</v>
      </c>
      <c r="F9" s="8" t="s">
        <v>14</v>
      </c>
      <c r="G9" s="8" t="s">
        <v>15</v>
      </c>
    </row>
    <row r="10" spans="1:7" x14ac:dyDescent="0.2">
      <c r="A10" s="55"/>
      <c r="B10" s="9"/>
      <c r="C10" s="56"/>
      <c r="D10" s="9" t="s">
        <v>16</v>
      </c>
      <c r="E10" s="9" t="s">
        <v>16</v>
      </c>
      <c r="F10" s="9" t="s">
        <v>17</v>
      </c>
      <c r="G10" s="9" t="s">
        <v>17</v>
      </c>
    </row>
    <row r="11" spans="1:7" x14ac:dyDescent="0.2">
      <c r="A11" s="55"/>
      <c r="B11" s="10" t="s">
        <v>18</v>
      </c>
      <c r="C11" s="10" t="s">
        <v>19</v>
      </c>
      <c r="D11" s="11" t="s">
        <v>20</v>
      </c>
      <c r="E11" s="11" t="s">
        <v>21</v>
      </c>
      <c r="F11" s="11" t="s">
        <v>22</v>
      </c>
      <c r="G11" s="11" t="s">
        <v>23</v>
      </c>
    </row>
    <row r="12" spans="1:7" x14ac:dyDescent="0.2">
      <c r="A12" s="55"/>
      <c r="B12" s="6">
        <v>1</v>
      </c>
      <c r="C12" s="83" t="s">
        <v>24</v>
      </c>
      <c r="D12" s="84"/>
      <c r="E12" s="84"/>
      <c r="F12" s="84"/>
      <c r="G12" s="85"/>
    </row>
    <row r="13" spans="1:7" x14ac:dyDescent="0.2">
      <c r="A13" s="55"/>
      <c r="B13" s="6" t="s">
        <v>25</v>
      </c>
      <c r="C13" s="12" t="s">
        <v>82</v>
      </c>
      <c r="D13" s="12"/>
      <c r="E13" s="12"/>
      <c r="F13" s="13"/>
      <c r="G13" s="14">
        <v>695078</v>
      </c>
    </row>
    <row r="14" spans="1:7" x14ac:dyDescent="0.2">
      <c r="A14" s="55"/>
      <c r="B14" s="8" t="s">
        <v>26</v>
      </c>
      <c r="C14" s="12" t="s">
        <v>83</v>
      </c>
      <c r="D14" s="12"/>
      <c r="E14" s="12"/>
      <c r="F14" s="13"/>
      <c r="G14" s="57">
        <f>'A - 05-31-22'!G33</f>
        <v>-387494.97</v>
      </c>
    </row>
    <row r="15" spans="1:7" x14ac:dyDescent="0.2">
      <c r="A15" s="55"/>
      <c r="B15" s="8" t="s">
        <v>27</v>
      </c>
      <c r="C15" s="12" t="s">
        <v>88</v>
      </c>
      <c r="D15" s="12"/>
      <c r="E15" s="12"/>
      <c r="F15" s="13"/>
      <c r="G15" s="57">
        <f>'B - 11-30-22'!G35</f>
        <v>202241.20999999996</v>
      </c>
    </row>
    <row r="16" spans="1:7" x14ac:dyDescent="0.2">
      <c r="A16" s="55"/>
      <c r="B16" s="8" t="s">
        <v>28</v>
      </c>
      <c r="C16" s="12" t="s">
        <v>91</v>
      </c>
      <c r="D16" s="12"/>
      <c r="E16" s="12"/>
      <c r="F16" s="15"/>
      <c r="G16" s="58">
        <f>'C - 05-31-23'!G37</f>
        <v>-208737.65000000002</v>
      </c>
    </row>
    <row r="17" spans="1:7" x14ac:dyDescent="0.2">
      <c r="A17" s="55"/>
      <c r="B17" s="9" t="s">
        <v>60</v>
      </c>
      <c r="C17" s="12" t="s">
        <v>29</v>
      </c>
      <c r="D17" s="12"/>
      <c r="E17" s="12"/>
      <c r="F17" s="15"/>
      <c r="G17" s="16">
        <f>G13+G14+G15+G16</f>
        <v>301086.58999999997</v>
      </c>
    </row>
    <row r="18" spans="1:7" x14ac:dyDescent="0.2">
      <c r="A18" s="55"/>
      <c r="B18" s="8">
        <v>2</v>
      </c>
      <c r="C18" s="17">
        <v>45108</v>
      </c>
      <c r="D18" s="58">
        <f>1694757-925-8494</f>
        <v>1685338</v>
      </c>
      <c r="E18" s="59">
        <v>1696938.11</v>
      </c>
      <c r="F18" s="18">
        <f t="shared" ref="F18:F25" si="0">D18-E18</f>
        <v>-11600.110000000102</v>
      </c>
      <c r="G18" s="16">
        <f t="shared" ref="G18:G25" si="1">G17+F18</f>
        <v>289486.47999999986</v>
      </c>
    </row>
    <row r="19" spans="1:7" x14ac:dyDescent="0.2">
      <c r="A19" s="55"/>
      <c r="B19" s="8">
        <v>3</v>
      </c>
      <c r="C19" s="19">
        <v>45139</v>
      </c>
      <c r="D19" s="60">
        <f>1776036-0-4774</f>
        <v>1771262</v>
      </c>
      <c r="E19" s="61">
        <v>1588589.83</v>
      </c>
      <c r="F19" s="20">
        <f t="shared" si="0"/>
        <v>182672.16999999993</v>
      </c>
      <c r="G19" s="21">
        <f t="shared" si="1"/>
        <v>472158.64999999979</v>
      </c>
    </row>
    <row r="20" spans="1:7" x14ac:dyDescent="0.2">
      <c r="A20" s="55"/>
      <c r="B20" s="8">
        <v>4</v>
      </c>
      <c r="C20" s="19">
        <v>45170</v>
      </c>
      <c r="D20" s="60">
        <f>1160840-0-2159</f>
        <v>1158681</v>
      </c>
      <c r="E20" s="61">
        <v>1385158.88</v>
      </c>
      <c r="F20" s="20">
        <f t="shared" si="0"/>
        <v>-226477.87999999989</v>
      </c>
      <c r="G20" s="21">
        <f t="shared" si="1"/>
        <v>245680.7699999999</v>
      </c>
    </row>
    <row r="21" spans="1:7" x14ac:dyDescent="0.2">
      <c r="A21" s="55"/>
      <c r="B21" s="8">
        <v>5</v>
      </c>
      <c r="C21" s="19">
        <v>45200</v>
      </c>
      <c r="D21" s="60">
        <f>966272-706-541</f>
        <v>965025</v>
      </c>
      <c r="E21" s="61">
        <v>1006604.21</v>
      </c>
      <c r="F21" s="20">
        <f t="shared" si="0"/>
        <v>-41579.209999999963</v>
      </c>
      <c r="G21" s="21">
        <f t="shared" si="1"/>
        <v>204101.55999999994</v>
      </c>
    </row>
    <row r="22" spans="1:7" x14ac:dyDescent="0.2">
      <c r="A22" s="55"/>
      <c r="B22" s="8">
        <v>6</v>
      </c>
      <c r="C22" s="19">
        <v>45231</v>
      </c>
      <c r="D22" s="60">
        <f>1242483-854-4247</f>
        <v>1237382</v>
      </c>
      <c r="E22" s="61">
        <v>1055558.69</v>
      </c>
      <c r="F22" s="20">
        <f t="shared" si="0"/>
        <v>181823.31000000006</v>
      </c>
      <c r="G22" s="21">
        <f t="shared" si="1"/>
        <v>385924.87</v>
      </c>
    </row>
    <row r="23" spans="1:7" x14ac:dyDescent="0.2">
      <c r="A23" s="55"/>
      <c r="B23" s="8">
        <v>7</v>
      </c>
      <c r="C23" s="19">
        <v>45261</v>
      </c>
      <c r="D23" s="60">
        <f>1389304-819-5652</f>
        <v>1382833</v>
      </c>
      <c r="E23" s="61">
        <v>1536428.46</v>
      </c>
      <c r="F23" s="22">
        <f t="shared" si="0"/>
        <v>-153595.45999999996</v>
      </c>
      <c r="G23" s="23">
        <f t="shared" si="1"/>
        <v>232329.41000000003</v>
      </c>
    </row>
    <row r="24" spans="1:7" x14ac:dyDescent="0.2">
      <c r="A24" s="55"/>
      <c r="B24" s="24" t="s">
        <v>30</v>
      </c>
      <c r="C24" s="17">
        <v>45292</v>
      </c>
      <c r="D24" s="58">
        <f>1711570-754-7976</f>
        <v>1702840</v>
      </c>
      <c r="E24" s="59">
        <v>1775163.83</v>
      </c>
      <c r="F24" s="18">
        <f t="shared" si="0"/>
        <v>-72323.830000000075</v>
      </c>
      <c r="G24" s="16">
        <f t="shared" si="1"/>
        <v>160005.57999999996</v>
      </c>
    </row>
    <row r="25" spans="1:7" x14ac:dyDescent="0.2">
      <c r="A25" s="55"/>
      <c r="B25" s="25" t="s">
        <v>31</v>
      </c>
      <c r="C25" s="26">
        <v>45323</v>
      </c>
      <c r="D25" s="62">
        <f>1238169-706-6688</f>
        <v>1230775</v>
      </c>
      <c r="E25" s="63">
        <v>1176969.06</v>
      </c>
      <c r="F25" s="22">
        <f t="shared" si="0"/>
        <v>53805.939999999944</v>
      </c>
      <c r="G25" s="23">
        <f t="shared" si="1"/>
        <v>213811.5199999999</v>
      </c>
    </row>
    <row r="26" spans="1:7" x14ac:dyDescent="0.2">
      <c r="A26" s="55"/>
      <c r="B26" s="9"/>
      <c r="C26" s="27" t="s">
        <v>76</v>
      </c>
      <c r="D26" s="28"/>
      <c r="E26" s="28"/>
      <c r="F26" s="28"/>
      <c r="G26" s="29"/>
    </row>
    <row r="27" spans="1:7" x14ac:dyDescent="0.2">
      <c r="A27" s="55"/>
      <c r="B27" s="6"/>
      <c r="C27" s="5"/>
      <c r="D27" s="5"/>
      <c r="E27" s="5"/>
      <c r="F27" s="5"/>
      <c r="G27" s="16"/>
    </row>
    <row r="28" spans="1:7" x14ac:dyDescent="0.2">
      <c r="A28" s="55"/>
      <c r="B28" s="8"/>
      <c r="C28" s="7"/>
      <c r="D28" s="8" t="s">
        <v>32</v>
      </c>
      <c r="E28" s="8" t="s">
        <v>33</v>
      </c>
      <c r="F28" s="7"/>
      <c r="G28" s="21"/>
    </row>
    <row r="29" spans="1:7" x14ac:dyDescent="0.2">
      <c r="A29" s="55"/>
      <c r="B29" s="8">
        <v>8</v>
      </c>
      <c r="C29" s="7"/>
      <c r="D29" s="8" t="s">
        <v>34</v>
      </c>
      <c r="E29" s="8" t="s">
        <v>35</v>
      </c>
      <c r="F29" s="7"/>
      <c r="G29" s="30" t="s">
        <v>32</v>
      </c>
    </row>
    <row r="30" spans="1:7" x14ac:dyDescent="0.2">
      <c r="A30" s="55"/>
      <c r="B30" s="8"/>
      <c r="C30" s="7"/>
      <c r="D30" s="8" t="s">
        <v>36</v>
      </c>
      <c r="E30" s="8" t="s">
        <v>37</v>
      </c>
      <c r="F30" s="7"/>
      <c r="G30" s="30" t="s">
        <v>38</v>
      </c>
    </row>
    <row r="31" spans="1:7" x14ac:dyDescent="0.2">
      <c r="A31" s="55"/>
      <c r="B31" s="8"/>
      <c r="C31" s="7"/>
      <c r="D31" s="8" t="s">
        <v>39</v>
      </c>
      <c r="E31" s="8" t="s">
        <v>40</v>
      </c>
      <c r="F31" s="7"/>
      <c r="G31" s="30" t="s">
        <v>41</v>
      </c>
    </row>
    <row r="32" spans="1:7" x14ac:dyDescent="0.2">
      <c r="A32" s="55"/>
      <c r="B32" s="9"/>
      <c r="C32" s="7"/>
      <c r="D32" s="8" t="s">
        <v>42</v>
      </c>
      <c r="E32" s="8" t="s">
        <v>43</v>
      </c>
      <c r="F32" s="7"/>
      <c r="G32" s="30" t="s">
        <v>44</v>
      </c>
    </row>
    <row r="33" spans="1:7" x14ac:dyDescent="0.2">
      <c r="A33" s="55"/>
      <c r="B33" s="24" t="s">
        <v>45</v>
      </c>
      <c r="C33" s="67" t="s">
        <v>92</v>
      </c>
      <c r="D33" s="68">
        <f>-G13</f>
        <v>-695078</v>
      </c>
      <c r="E33" s="68">
        <f>D66</f>
        <v>0</v>
      </c>
      <c r="F33" s="43"/>
      <c r="G33" s="69">
        <f t="shared" ref="G33:G36" si="2">D33+E33</f>
        <v>-695078</v>
      </c>
    </row>
    <row r="34" spans="1:7" x14ac:dyDescent="0.2">
      <c r="A34" s="55"/>
      <c r="B34" s="31" t="s">
        <v>46</v>
      </c>
      <c r="C34" s="70" t="s">
        <v>86</v>
      </c>
      <c r="D34" s="71">
        <f>-G14</f>
        <v>387494.97</v>
      </c>
      <c r="E34" s="71">
        <v>0</v>
      </c>
      <c r="F34" s="44"/>
      <c r="G34" s="45">
        <f t="shared" si="2"/>
        <v>387494.97</v>
      </c>
    </row>
    <row r="35" spans="1:7" x14ac:dyDescent="0.2">
      <c r="A35" s="55"/>
      <c r="B35" s="31" t="s">
        <v>47</v>
      </c>
      <c r="C35" s="70" t="s">
        <v>89</v>
      </c>
      <c r="D35" s="71">
        <f>-G15</f>
        <v>-202241.20999999996</v>
      </c>
      <c r="E35" s="71">
        <v>0</v>
      </c>
      <c r="F35" s="44"/>
      <c r="G35" s="45">
        <f t="shared" si="2"/>
        <v>-202241.20999999996</v>
      </c>
    </row>
    <row r="36" spans="1:7" x14ac:dyDescent="0.2">
      <c r="A36" s="55"/>
      <c r="B36" s="31" t="s">
        <v>48</v>
      </c>
      <c r="C36" s="72" t="s">
        <v>93</v>
      </c>
      <c r="D36" s="73">
        <f>-G16</f>
        <v>208737.65000000002</v>
      </c>
      <c r="E36" s="73">
        <v>0</v>
      </c>
      <c r="F36" s="48"/>
      <c r="G36" s="46">
        <f t="shared" si="2"/>
        <v>208737.65000000002</v>
      </c>
    </row>
    <row r="37" spans="1:7" x14ac:dyDescent="0.2">
      <c r="A37" s="55"/>
      <c r="B37" s="9" t="s">
        <v>61</v>
      </c>
      <c r="C37" s="33"/>
      <c r="D37" s="34"/>
      <c r="E37" s="34"/>
      <c r="F37" s="35" t="s">
        <v>49</v>
      </c>
      <c r="G37" s="23">
        <f>G33+G34+G35+G36</f>
        <v>-301086.58999999997</v>
      </c>
    </row>
    <row r="38" spans="1:7" x14ac:dyDescent="0.2">
      <c r="A38" s="55"/>
      <c r="B38" s="36"/>
      <c r="G38" s="37"/>
    </row>
    <row r="39" spans="1:7" x14ac:dyDescent="0.2">
      <c r="A39" s="55"/>
      <c r="B39" s="10">
        <v>9</v>
      </c>
      <c r="C39" s="38" t="s">
        <v>62</v>
      </c>
      <c r="D39" s="12"/>
      <c r="E39" s="12"/>
      <c r="F39" s="13"/>
      <c r="G39" s="39">
        <f>G23+G37</f>
        <v>-68757.179999999935</v>
      </c>
    </row>
    <row r="40" spans="1:7" x14ac:dyDescent="0.2">
      <c r="A40" s="55"/>
      <c r="B40" s="36"/>
      <c r="G40" s="37"/>
    </row>
    <row r="41" spans="1:7" x14ac:dyDescent="0.2">
      <c r="A41" s="55"/>
      <c r="B41" s="10">
        <v>10</v>
      </c>
      <c r="C41" s="38" t="s">
        <v>64</v>
      </c>
      <c r="D41" s="12"/>
      <c r="E41" s="12"/>
      <c r="F41" s="13"/>
      <c r="G41" s="39">
        <f>G39/6</f>
        <v>-11459.52999999999</v>
      </c>
    </row>
    <row r="42" spans="1:7" x14ac:dyDescent="0.2">
      <c r="A42" s="55"/>
    </row>
    <row r="43" spans="1:7" x14ac:dyDescent="0.2">
      <c r="A43" s="55"/>
      <c r="B43" s="5"/>
      <c r="C43" s="40" t="s">
        <v>50</v>
      </c>
      <c r="D43" s="41"/>
      <c r="E43" s="41"/>
      <c r="F43" s="41"/>
      <c r="G43" s="42"/>
    </row>
    <row r="44" spans="1:7" x14ac:dyDescent="0.2">
      <c r="A44" s="55"/>
      <c r="B44" s="5"/>
      <c r="C44" s="43"/>
      <c r="D44" s="43"/>
      <c r="E44" s="43"/>
      <c r="F44" s="43"/>
      <c r="G44" s="15"/>
    </row>
    <row r="45" spans="1:7" x14ac:dyDescent="0.2">
      <c r="A45" s="55"/>
      <c r="B45" s="8">
        <v>11</v>
      </c>
      <c r="C45" s="44" t="s">
        <v>51</v>
      </c>
      <c r="D45" s="44"/>
      <c r="E45" s="44"/>
      <c r="F45" s="44"/>
      <c r="G45" s="45">
        <f>G17</f>
        <v>301086.58999999997</v>
      </c>
    </row>
    <row r="46" spans="1:7" x14ac:dyDescent="0.2">
      <c r="A46" s="55"/>
      <c r="B46" s="8">
        <v>12</v>
      </c>
      <c r="C46" s="44" t="s">
        <v>52</v>
      </c>
      <c r="D46" s="44"/>
      <c r="E46" s="44"/>
      <c r="F46" s="44"/>
      <c r="G46" s="46">
        <f>G37</f>
        <v>-301086.58999999997</v>
      </c>
    </row>
    <row r="47" spans="1:7" x14ac:dyDescent="0.2">
      <c r="A47" s="55"/>
      <c r="B47" s="8"/>
      <c r="C47" s="44"/>
      <c r="D47" s="44"/>
      <c r="E47" s="44"/>
      <c r="F47" s="44"/>
      <c r="G47" s="45"/>
    </row>
    <row r="48" spans="1:7" ht="15" thickBot="1" x14ac:dyDescent="0.25">
      <c r="A48" s="55"/>
      <c r="B48" s="8">
        <v>13</v>
      </c>
      <c r="C48" s="44" t="s">
        <v>53</v>
      </c>
      <c r="D48" s="44"/>
      <c r="E48" s="44"/>
      <c r="F48" s="44"/>
      <c r="G48" s="47">
        <f>G45+G46</f>
        <v>0</v>
      </c>
    </row>
    <row r="49" spans="1:7" ht="15" thickTop="1" x14ac:dyDescent="0.2">
      <c r="A49" s="55"/>
      <c r="B49" s="8"/>
      <c r="C49" s="44"/>
      <c r="D49" s="44"/>
      <c r="E49" s="44"/>
      <c r="F49" s="44"/>
      <c r="G49" s="45"/>
    </row>
    <row r="50" spans="1:7" x14ac:dyDescent="0.2">
      <c r="A50" s="55"/>
      <c r="B50" s="8">
        <v>14</v>
      </c>
      <c r="C50" s="44" t="s">
        <v>54</v>
      </c>
      <c r="D50" s="44"/>
      <c r="E50" s="44"/>
      <c r="F50" s="44"/>
      <c r="G50" s="45">
        <f>G39</f>
        <v>-68757.179999999935</v>
      </c>
    </row>
    <row r="51" spans="1:7" x14ac:dyDescent="0.2">
      <c r="A51" s="55"/>
      <c r="B51" s="8"/>
      <c r="C51" s="44"/>
      <c r="D51" s="44"/>
      <c r="E51" s="44"/>
      <c r="F51" s="44"/>
      <c r="G51" s="45"/>
    </row>
    <row r="52" spans="1:7" x14ac:dyDescent="0.2">
      <c r="A52" s="55"/>
      <c r="B52" s="8">
        <v>15</v>
      </c>
      <c r="C52" s="44" t="s">
        <v>55</v>
      </c>
      <c r="D52" s="44"/>
      <c r="E52" s="44"/>
      <c r="F52" s="44"/>
      <c r="G52" s="46">
        <f>SUM(F18:F23)</f>
        <v>-68757.179999999935</v>
      </c>
    </row>
    <row r="53" spans="1:7" x14ac:dyDescent="0.2">
      <c r="A53" s="55"/>
      <c r="B53" s="8"/>
      <c r="C53" s="44"/>
      <c r="D53" s="44"/>
      <c r="E53" s="44"/>
      <c r="F53" s="44"/>
      <c r="G53" s="45"/>
    </row>
    <row r="54" spans="1:7" ht="15" thickBot="1" x14ac:dyDescent="0.25">
      <c r="A54" s="55"/>
      <c r="B54" s="8">
        <v>16</v>
      </c>
      <c r="C54" s="44" t="s">
        <v>56</v>
      </c>
      <c r="D54" s="44"/>
      <c r="E54" s="44"/>
      <c r="F54" s="44"/>
      <c r="G54" s="47">
        <f>G50-G52</f>
        <v>0</v>
      </c>
    </row>
    <row r="55" spans="1:7" ht="15" thickTop="1" x14ac:dyDescent="0.2">
      <c r="A55" s="55"/>
      <c r="B55" s="32"/>
      <c r="C55" s="48"/>
      <c r="D55" s="48"/>
      <c r="E55" s="48"/>
      <c r="F55" s="48"/>
      <c r="G55" s="49"/>
    </row>
    <row r="56" spans="1:7" x14ac:dyDescent="0.2">
      <c r="A56" s="55"/>
    </row>
    <row r="57" spans="1:7" x14ac:dyDescent="0.2">
      <c r="A57" s="55"/>
      <c r="B57" t="s">
        <v>57</v>
      </c>
    </row>
    <row r="58" spans="1:7" x14ac:dyDescent="0.2">
      <c r="A58" s="55"/>
      <c r="B58" s="36"/>
      <c r="C58" s="5"/>
      <c r="D58" s="6" t="s">
        <v>58</v>
      </c>
      <c r="E58" s="31"/>
      <c r="F58" s="74"/>
      <c r="G58" s="74"/>
    </row>
    <row r="59" spans="1:7" x14ac:dyDescent="0.2">
      <c r="B59" s="36"/>
      <c r="C59" s="9" t="s">
        <v>19</v>
      </c>
      <c r="D59" s="9" t="s">
        <v>98</v>
      </c>
      <c r="E59" s="31"/>
      <c r="F59" s="74"/>
      <c r="G59" s="74"/>
    </row>
    <row r="60" spans="1:7" x14ac:dyDescent="0.2">
      <c r="C60" s="17">
        <v>45108</v>
      </c>
      <c r="D60" s="50">
        <v>0</v>
      </c>
      <c r="E60" s="75"/>
      <c r="F60" s="71"/>
      <c r="G60" s="71"/>
    </row>
    <row r="61" spans="1:7" x14ac:dyDescent="0.2">
      <c r="C61" s="19">
        <v>45139</v>
      </c>
      <c r="D61" s="51">
        <v>0</v>
      </c>
      <c r="E61" s="75"/>
      <c r="F61" s="71"/>
      <c r="G61" s="71"/>
    </row>
    <row r="62" spans="1:7" x14ac:dyDescent="0.2">
      <c r="C62" s="19">
        <v>45170</v>
      </c>
      <c r="D62" s="51">
        <v>0</v>
      </c>
      <c r="E62" s="75"/>
      <c r="F62" s="71"/>
      <c r="G62" s="71"/>
    </row>
    <row r="63" spans="1:7" x14ac:dyDescent="0.2">
      <c r="C63" s="19">
        <v>45200</v>
      </c>
      <c r="D63" s="51">
        <v>0</v>
      </c>
      <c r="E63" s="75"/>
      <c r="F63" s="71"/>
      <c r="G63" s="71"/>
    </row>
    <row r="64" spans="1:7" x14ac:dyDescent="0.2">
      <c r="C64" s="19">
        <v>45231</v>
      </c>
      <c r="D64" s="51">
        <v>0</v>
      </c>
      <c r="E64" s="75"/>
      <c r="F64" s="71"/>
      <c r="G64" s="71"/>
    </row>
    <row r="65" spans="3:7" x14ac:dyDescent="0.2">
      <c r="C65" s="19">
        <v>45261</v>
      </c>
      <c r="D65" s="52">
        <v>0</v>
      </c>
      <c r="E65" s="75"/>
      <c r="F65" s="71"/>
      <c r="G65" s="71"/>
    </row>
    <row r="66" spans="3:7" x14ac:dyDescent="0.2">
      <c r="C66" s="53" t="s">
        <v>59</v>
      </c>
      <c r="D66" s="39">
        <f>SUM(D60:D65)</f>
        <v>0</v>
      </c>
      <c r="E66" s="20"/>
      <c r="F66" s="71"/>
      <c r="G66" s="71"/>
    </row>
  </sheetData>
  <mergeCells count="2">
    <mergeCell ref="B4:G5"/>
    <mergeCell ref="C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7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tr">
        <f>Summary!A1</f>
        <v>DR1 Response 2 - Salt River Surcharge Summary.xlsx</v>
      </c>
    </row>
    <row r="4" spans="1:7" ht="14.25" customHeight="1" x14ac:dyDescent="0.2">
      <c r="B4" s="77" t="s">
        <v>8</v>
      </c>
      <c r="C4" s="78"/>
      <c r="D4" s="78"/>
      <c r="E4" s="78"/>
      <c r="F4" s="78"/>
      <c r="G4" s="79"/>
    </row>
    <row r="5" spans="1:7" x14ac:dyDescent="0.2">
      <c r="B5" s="80"/>
      <c r="C5" s="81"/>
      <c r="D5" s="81"/>
      <c r="E5" s="81"/>
      <c r="F5" s="81"/>
      <c r="G5" s="82"/>
    </row>
    <row r="7" spans="1:7" x14ac:dyDescent="0.2">
      <c r="B7" s="5"/>
      <c r="C7" s="5"/>
      <c r="D7" s="5"/>
      <c r="E7" s="6" t="s">
        <v>9</v>
      </c>
      <c r="F7" s="5"/>
      <c r="G7" s="5"/>
    </row>
    <row r="8" spans="1:7" x14ac:dyDescent="0.2">
      <c r="B8" s="7"/>
      <c r="C8" s="7"/>
      <c r="D8" s="8" t="s">
        <v>10</v>
      </c>
      <c r="E8" s="8" t="s">
        <v>11</v>
      </c>
      <c r="F8" s="7"/>
      <c r="G8" s="7"/>
    </row>
    <row r="9" spans="1:7" x14ac:dyDescent="0.2">
      <c r="B9" s="7"/>
      <c r="C9" s="7"/>
      <c r="D9" s="8" t="s">
        <v>12</v>
      </c>
      <c r="E9" s="8" t="s">
        <v>13</v>
      </c>
      <c r="F9" s="8" t="s">
        <v>14</v>
      </c>
      <c r="G9" s="8" t="s">
        <v>15</v>
      </c>
    </row>
    <row r="10" spans="1:7" x14ac:dyDescent="0.2">
      <c r="B10" s="9"/>
      <c r="C10" s="56"/>
      <c r="D10" s="9" t="s">
        <v>16</v>
      </c>
      <c r="E10" s="9" t="s">
        <v>16</v>
      </c>
      <c r="F10" s="9" t="s">
        <v>17</v>
      </c>
      <c r="G10" s="9" t="s">
        <v>17</v>
      </c>
    </row>
    <row r="11" spans="1:7" x14ac:dyDescent="0.2">
      <c r="B11" s="10" t="s">
        <v>18</v>
      </c>
      <c r="C11" s="10" t="s">
        <v>19</v>
      </c>
      <c r="D11" s="11" t="s">
        <v>20</v>
      </c>
      <c r="E11" s="11" t="s">
        <v>21</v>
      </c>
      <c r="F11" s="11" t="s">
        <v>22</v>
      </c>
      <c r="G11" s="11" t="s">
        <v>23</v>
      </c>
    </row>
    <row r="12" spans="1:7" x14ac:dyDescent="0.2">
      <c r="B12" s="6">
        <v>1</v>
      </c>
      <c r="C12" s="83" t="s">
        <v>24</v>
      </c>
      <c r="D12" s="84"/>
      <c r="E12" s="84"/>
      <c r="F12" s="84"/>
      <c r="G12" s="85"/>
    </row>
    <row r="13" spans="1:7" x14ac:dyDescent="0.2">
      <c r="B13" s="6" t="s">
        <v>25</v>
      </c>
      <c r="C13" s="12" t="s">
        <v>82</v>
      </c>
      <c r="D13" s="12"/>
      <c r="E13" s="12"/>
      <c r="F13" s="13"/>
      <c r="G13" s="14">
        <v>695078</v>
      </c>
    </row>
    <row r="14" spans="1:7" x14ac:dyDescent="0.2">
      <c r="B14" s="8" t="s">
        <v>26</v>
      </c>
      <c r="C14" s="12" t="s">
        <v>83</v>
      </c>
      <c r="D14" s="12"/>
      <c r="E14" s="12"/>
      <c r="F14" s="13"/>
      <c r="G14" s="57">
        <f>'A - 05-31-22'!G33</f>
        <v>-387494.97</v>
      </c>
    </row>
    <row r="15" spans="1:7" x14ac:dyDescent="0.2">
      <c r="B15" s="8" t="s">
        <v>27</v>
      </c>
      <c r="C15" s="12" t="s">
        <v>88</v>
      </c>
      <c r="D15" s="12"/>
      <c r="E15" s="12"/>
      <c r="F15" s="13"/>
      <c r="G15" s="57">
        <f>'B - 11-30-22'!G35</f>
        <v>202241.20999999996</v>
      </c>
    </row>
    <row r="16" spans="1:7" x14ac:dyDescent="0.2">
      <c r="B16" s="8" t="s">
        <v>28</v>
      </c>
      <c r="C16" s="12" t="s">
        <v>91</v>
      </c>
      <c r="D16" s="12"/>
      <c r="E16" s="12"/>
      <c r="F16" s="15"/>
      <c r="G16" s="58">
        <f>'C - 05-31-23'!G37</f>
        <v>-208737.65000000002</v>
      </c>
    </row>
    <row r="17" spans="2:7" x14ac:dyDescent="0.2">
      <c r="B17" s="8" t="s">
        <v>60</v>
      </c>
      <c r="C17" s="12" t="s">
        <v>94</v>
      </c>
      <c r="D17" s="12"/>
      <c r="E17" s="12"/>
      <c r="F17" s="15"/>
      <c r="G17" s="58">
        <f>'D - 11-30-23'!G39</f>
        <v>-68757.179999999935</v>
      </c>
    </row>
    <row r="18" spans="2:7" x14ac:dyDescent="0.2">
      <c r="B18" s="9" t="s">
        <v>66</v>
      </c>
      <c r="C18" s="12" t="s">
        <v>29</v>
      </c>
      <c r="D18" s="12"/>
      <c r="E18" s="12"/>
      <c r="F18" s="15"/>
      <c r="G18" s="16">
        <f>G13+G14+G15+G16+G17</f>
        <v>232329.41000000003</v>
      </c>
    </row>
    <row r="19" spans="2:7" x14ac:dyDescent="0.2">
      <c r="B19" s="8">
        <v>2</v>
      </c>
      <c r="C19" s="17">
        <v>45292</v>
      </c>
      <c r="D19" s="58">
        <f>1711570-754-7976</f>
        <v>1702840</v>
      </c>
      <c r="E19" s="59">
        <v>1775163.83</v>
      </c>
      <c r="F19" s="18">
        <f t="shared" ref="F19:F26" si="0">D19-E19</f>
        <v>-72323.830000000075</v>
      </c>
      <c r="G19" s="16">
        <f t="shared" ref="G19:G26" si="1">G18+F19</f>
        <v>160005.57999999996</v>
      </c>
    </row>
    <row r="20" spans="2:7" x14ac:dyDescent="0.2">
      <c r="B20" s="8">
        <v>3</v>
      </c>
      <c r="C20" s="19">
        <v>45323</v>
      </c>
      <c r="D20" s="60">
        <f>1238169-706-6688</f>
        <v>1230775</v>
      </c>
      <c r="E20" s="61">
        <v>1176969.06</v>
      </c>
      <c r="F20" s="20">
        <f t="shared" si="0"/>
        <v>53805.939999999944</v>
      </c>
      <c r="G20" s="21">
        <f t="shared" si="1"/>
        <v>213811.5199999999</v>
      </c>
    </row>
    <row r="21" spans="2:7" x14ac:dyDescent="0.2">
      <c r="B21" s="8">
        <v>4</v>
      </c>
      <c r="C21" s="19">
        <v>45352</v>
      </c>
      <c r="D21" s="60">
        <f>772232-505-4980</f>
        <v>766747</v>
      </c>
      <c r="E21" s="61">
        <v>1041336.85</v>
      </c>
      <c r="F21" s="20">
        <f t="shared" si="0"/>
        <v>-274589.84999999998</v>
      </c>
      <c r="G21" s="21">
        <f t="shared" si="1"/>
        <v>-60778.330000000075</v>
      </c>
    </row>
    <row r="22" spans="2:7" x14ac:dyDescent="0.2">
      <c r="B22" s="8">
        <v>5</v>
      </c>
      <c r="C22" s="19">
        <v>45383</v>
      </c>
      <c r="D22" s="60">
        <f>835031-697-4308</f>
        <v>830026</v>
      </c>
      <c r="E22" s="61">
        <v>777029.97</v>
      </c>
      <c r="F22" s="20">
        <f t="shared" si="0"/>
        <v>52996.030000000028</v>
      </c>
      <c r="G22" s="21">
        <f t="shared" si="1"/>
        <v>-7782.3000000000466</v>
      </c>
    </row>
    <row r="23" spans="2:7" x14ac:dyDescent="0.2">
      <c r="B23" s="8">
        <v>6</v>
      </c>
      <c r="C23" s="19">
        <v>45413</v>
      </c>
      <c r="D23" s="60">
        <f>1315181-858-9573</f>
        <v>1304750</v>
      </c>
      <c r="E23" s="61">
        <v>1223560.24</v>
      </c>
      <c r="F23" s="20">
        <f t="shared" si="0"/>
        <v>81189.760000000009</v>
      </c>
      <c r="G23" s="21">
        <f t="shared" si="1"/>
        <v>73407.459999999963</v>
      </c>
    </row>
    <row r="24" spans="2:7" x14ac:dyDescent="0.2">
      <c r="B24" s="8">
        <v>7</v>
      </c>
      <c r="C24" s="19">
        <v>45444</v>
      </c>
      <c r="D24" s="60">
        <f>1815084-1042-6513</f>
        <v>1807529</v>
      </c>
      <c r="E24" s="61">
        <v>1533154.32</v>
      </c>
      <c r="F24" s="22">
        <f t="shared" si="0"/>
        <v>274374.67999999993</v>
      </c>
      <c r="G24" s="23">
        <f t="shared" si="1"/>
        <v>347782.1399999999</v>
      </c>
    </row>
    <row r="25" spans="2:7" x14ac:dyDescent="0.2">
      <c r="B25" s="24" t="s">
        <v>30</v>
      </c>
      <c r="C25" s="17">
        <v>45474</v>
      </c>
      <c r="D25" s="58">
        <f>1743757-0-3357</f>
        <v>1740400</v>
      </c>
      <c r="E25" s="59">
        <v>2093032.41</v>
      </c>
      <c r="F25" s="18">
        <f t="shared" si="0"/>
        <v>-352632.40999999992</v>
      </c>
      <c r="G25" s="16">
        <f t="shared" si="1"/>
        <v>-4850.2700000000186</v>
      </c>
    </row>
    <row r="26" spans="2:7" x14ac:dyDescent="0.2">
      <c r="B26" s="25" t="s">
        <v>31</v>
      </c>
      <c r="C26" s="26">
        <v>45505</v>
      </c>
      <c r="D26" s="62">
        <f>1556874-0-5503</f>
        <v>1551371</v>
      </c>
      <c r="E26" s="63">
        <v>1876689.3</v>
      </c>
      <c r="F26" s="22">
        <f t="shared" si="0"/>
        <v>-325318.30000000005</v>
      </c>
      <c r="G26" s="23">
        <f t="shared" si="1"/>
        <v>-330168.57000000007</v>
      </c>
    </row>
    <row r="27" spans="2:7" x14ac:dyDescent="0.2">
      <c r="B27" s="9"/>
      <c r="C27" s="27" t="s">
        <v>78</v>
      </c>
      <c r="D27" s="28"/>
      <c r="E27" s="28"/>
      <c r="F27" s="28"/>
      <c r="G27" s="29"/>
    </row>
    <row r="28" spans="2:7" x14ac:dyDescent="0.2">
      <c r="B28" s="6"/>
      <c r="C28" s="5"/>
      <c r="D28" s="5"/>
      <c r="E28" s="5"/>
      <c r="F28" s="5"/>
      <c r="G28" s="16"/>
    </row>
    <row r="29" spans="2:7" x14ac:dyDescent="0.2">
      <c r="B29" s="8"/>
      <c r="C29" s="7"/>
      <c r="D29" s="8" t="s">
        <v>32</v>
      </c>
      <c r="E29" s="8" t="s">
        <v>33</v>
      </c>
      <c r="F29" s="7"/>
      <c r="G29" s="21"/>
    </row>
    <row r="30" spans="2:7" x14ac:dyDescent="0.2">
      <c r="B30" s="8">
        <v>8</v>
      </c>
      <c r="C30" s="7"/>
      <c r="D30" s="8" t="s">
        <v>34</v>
      </c>
      <c r="E30" s="8" t="s">
        <v>35</v>
      </c>
      <c r="F30" s="7"/>
      <c r="G30" s="30" t="s">
        <v>32</v>
      </c>
    </row>
    <row r="31" spans="2:7" x14ac:dyDescent="0.2">
      <c r="B31" s="8"/>
      <c r="C31" s="7"/>
      <c r="D31" s="8" t="s">
        <v>36</v>
      </c>
      <c r="E31" s="8" t="s">
        <v>37</v>
      </c>
      <c r="F31" s="7"/>
      <c r="G31" s="30" t="s">
        <v>38</v>
      </c>
    </row>
    <row r="32" spans="2:7" x14ac:dyDescent="0.2">
      <c r="B32" s="8"/>
      <c r="C32" s="7"/>
      <c r="D32" s="8" t="s">
        <v>39</v>
      </c>
      <c r="E32" s="8" t="s">
        <v>40</v>
      </c>
      <c r="F32" s="7"/>
      <c r="G32" s="30" t="s">
        <v>41</v>
      </c>
    </row>
    <row r="33" spans="2:7" x14ac:dyDescent="0.2">
      <c r="B33" s="9"/>
      <c r="C33" s="7"/>
      <c r="D33" s="8" t="s">
        <v>42</v>
      </c>
      <c r="E33" s="8" t="s">
        <v>43</v>
      </c>
      <c r="F33" s="7"/>
      <c r="G33" s="30" t="s">
        <v>44</v>
      </c>
    </row>
    <row r="34" spans="2:7" x14ac:dyDescent="0.2">
      <c r="B34" s="24" t="s">
        <v>45</v>
      </c>
      <c r="C34" s="5" t="s">
        <v>92</v>
      </c>
      <c r="D34" s="16">
        <f>-G13</f>
        <v>-695078</v>
      </c>
      <c r="E34" s="16">
        <f>D68</f>
        <v>463384</v>
      </c>
      <c r="F34" s="5"/>
      <c r="G34" s="16">
        <f t="shared" ref="G34:G38" si="2">D34+E34</f>
        <v>-231694</v>
      </c>
    </row>
    <row r="35" spans="2:7" x14ac:dyDescent="0.2">
      <c r="B35" s="31" t="s">
        <v>46</v>
      </c>
      <c r="C35" s="7" t="s">
        <v>86</v>
      </c>
      <c r="D35" s="21">
        <f>-G14</f>
        <v>387494.97</v>
      </c>
      <c r="E35" s="21">
        <v>0</v>
      </c>
      <c r="F35" s="7"/>
      <c r="G35" s="21">
        <f t="shared" si="2"/>
        <v>387494.97</v>
      </c>
    </row>
    <row r="36" spans="2:7" x14ac:dyDescent="0.2">
      <c r="B36" s="31" t="s">
        <v>47</v>
      </c>
      <c r="C36" s="7" t="s">
        <v>89</v>
      </c>
      <c r="D36" s="21">
        <f>-G15</f>
        <v>-202241.20999999996</v>
      </c>
      <c r="E36" s="21">
        <v>0</v>
      </c>
      <c r="F36" s="7"/>
      <c r="G36" s="21">
        <f t="shared" si="2"/>
        <v>-202241.20999999996</v>
      </c>
    </row>
    <row r="37" spans="2:7" x14ac:dyDescent="0.2">
      <c r="B37" s="31" t="s">
        <v>48</v>
      </c>
      <c r="C37" s="7" t="s">
        <v>93</v>
      </c>
      <c r="D37" s="21">
        <f>-G16</f>
        <v>208737.65000000002</v>
      </c>
      <c r="E37" s="21">
        <v>0</v>
      </c>
      <c r="F37" s="7"/>
      <c r="G37" s="21">
        <f t="shared" si="2"/>
        <v>208737.65000000002</v>
      </c>
    </row>
    <row r="38" spans="2:7" x14ac:dyDescent="0.2">
      <c r="B38" s="31" t="s">
        <v>61</v>
      </c>
      <c r="C38" s="32" t="s">
        <v>95</v>
      </c>
      <c r="D38" s="23">
        <f>-G17</f>
        <v>68757.179999999935</v>
      </c>
      <c r="E38" s="23">
        <v>0</v>
      </c>
      <c r="F38" s="32"/>
      <c r="G38" s="23">
        <f t="shared" si="2"/>
        <v>68757.179999999935</v>
      </c>
    </row>
    <row r="39" spans="2:7" x14ac:dyDescent="0.2">
      <c r="B39" s="9" t="s">
        <v>68</v>
      </c>
      <c r="C39" s="33"/>
      <c r="D39" s="34"/>
      <c r="E39" s="34"/>
      <c r="F39" s="35" t="s">
        <v>49</v>
      </c>
      <c r="G39" s="23">
        <f>G34+G35+G36+G37+G38</f>
        <v>231054.58999999997</v>
      </c>
    </row>
    <row r="40" spans="2:7" x14ac:dyDescent="0.2">
      <c r="B40" s="36"/>
      <c r="G40" s="37"/>
    </row>
    <row r="41" spans="2:7" x14ac:dyDescent="0.2">
      <c r="B41" s="10">
        <v>9</v>
      </c>
      <c r="C41" s="38" t="s">
        <v>69</v>
      </c>
      <c r="D41" s="12"/>
      <c r="E41" s="12"/>
      <c r="F41" s="13"/>
      <c r="G41" s="39">
        <f>G24+G39</f>
        <v>578836.72999999986</v>
      </c>
    </row>
    <row r="42" spans="2:7" x14ac:dyDescent="0.2">
      <c r="B42" s="36"/>
      <c r="G42" s="37"/>
    </row>
    <row r="43" spans="2:7" x14ac:dyDescent="0.2">
      <c r="B43" s="10">
        <v>10</v>
      </c>
      <c r="C43" s="38" t="s">
        <v>64</v>
      </c>
      <c r="D43" s="12"/>
      <c r="E43" s="12"/>
      <c r="F43" s="13"/>
      <c r="G43" s="39">
        <f>G41/6</f>
        <v>96472.788333333316</v>
      </c>
    </row>
    <row r="45" spans="2:7" x14ac:dyDescent="0.2">
      <c r="B45" s="5"/>
      <c r="C45" s="40" t="s">
        <v>50</v>
      </c>
      <c r="D45" s="41"/>
      <c r="E45" s="41"/>
      <c r="F45" s="41"/>
      <c r="G45" s="42"/>
    </row>
    <row r="46" spans="2:7" x14ac:dyDescent="0.2">
      <c r="B46" s="5"/>
      <c r="C46" s="43"/>
      <c r="D46" s="43"/>
      <c r="E46" s="43"/>
      <c r="F46" s="43"/>
      <c r="G46" s="15"/>
    </row>
    <row r="47" spans="2:7" x14ac:dyDescent="0.2">
      <c r="B47" s="8">
        <v>11</v>
      </c>
      <c r="C47" s="44" t="s">
        <v>51</v>
      </c>
      <c r="D47" s="44"/>
      <c r="E47" s="44"/>
      <c r="F47" s="44"/>
      <c r="G47" s="45">
        <f>G18</f>
        <v>232329.41000000003</v>
      </c>
    </row>
    <row r="48" spans="2:7" x14ac:dyDescent="0.2">
      <c r="B48" s="8">
        <v>12</v>
      </c>
      <c r="C48" s="44" t="s">
        <v>52</v>
      </c>
      <c r="D48" s="44"/>
      <c r="E48" s="44"/>
      <c r="F48" s="44"/>
      <c r="G48" s="46">
        <f>G39</f>
        <v>231054.58999999997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13</v>
      </c>
      <c r="C50" s="44" t="s">
        <v>53</v>
      </c>
      <c r="D50" s="44"/>
      <c r="E50" s="44"/>
      <c r="F50" s="44"/>
      <c r="G50" s="47">
        <f>G47+G48</f>
        <v>463384</v>
      </c>
    </row>
    <row r="51" spans="2:7" ht="15" thickTop="1" x14ac:dyDescent="0.2">
      <c r="B51" s="8"/>
      <c r="C51" s="44"/>
      <c r="D51" s="44"/>
      <c r="E51" s="44"/>
      <c r="F51" s="44"/>
      <c r="G51" s="45"/>
    </row>
    <row r="52" spans="2:7" x14ac:dyDescent="0.2">
      <c r="B52" s="8">
        <v>14</v>
      </c>
      <c r="C52" s="44" t="s">
        <v>54</v>
      </c>
      <c r="D52" s="44"/>
      <c r="E52" s="44"/>
      <c r="F52" s="44"/>
      <c r="G52" s="45">
        <f>G41</f>
        <v>578836.72999999986</v>
      </c>
    </row>
    <row r="53" spans="2:7" x14ac:dyDescent="0.2">
      <c r="B53" s="8"/>
      <c r="C53" s="44"/>
      <c r="D53" s="44"/>
      <c r="E53" s="44"/>
      <c r="F53" s="44"/>
      <c r="G53" s="45"/>
    </row>
    <row r="54" spans="2:7" x14ac:dyDescent="0.2">
      <c r="B54" s="8">
        <v>15</v>
      </c>
      <c r="C54" s="44" t="s">
        <v>55</v>
      </c>
      <c r="D54" s="44"/>
      <c r="E54" s="44"/>
      <c r="F54" s="44"/>
      <c r="G54" s="46">
        <f>SUM(F19:F24)</f>
        <v>115452.72999999986</v>
      </c>
    </row>
    <row r="55" spans="2:7" x14ac:dyDescent="0.2">
      <c r="B55" s="8"/>
      <c r="C55" s="44"/>
      <c r="D55" s="44"/>
      <c r="E55" s="44"/>
      <c r="F55" s="44"/>
      <c r="G55" s="45"/>
    </row>
    <row r="56" spans="2:7" ht="15" thickBot="1" x14ac:dyDescent="0.25">
      <c r="B56" s="8">
        <v>16</v>
      </c>
      <c r="C56" s="44" t="s">
        <v>56</v>
      </c>
      <c r="D56" s="44"/>
      <c r="E56" s="44"/>
      <c r="F56" s="44"/>
      <c r="G56" s="47">
        <f>G52-G54</f>
        <v>463384</v>
      </c>
    </row>
    <row r="57" spans="2:7" ht="15" thickTop="1" x14ac:dyDescent="0.2">
      <c r="B57" s="32"/>
      <c r="C57" s="48"/>
      <c r="D57" s="48"/>
      <c r="E57" s="48"/>
      <c r="F57" s="48"/>
      <c r="G57" s="49"/>
    </row>
    <row r="59" spans="2:7" x14ac:dyDescent="0.2">
      <c r="B59" t="s">
        <v>57</v>
      </c>
    </row>
    <row r="60" spans="2:7" x14ac:dyDescent="0.2">
      <c r="B60" s="36"/>
      <c r="C60" s="5"/>
      <c r="D60" s="6" t="s">
        <v>58</v>
      </c>
      <c r="E60" s="31"/>
      <c r="F60" s="74"/>
      <c r="G60" s="74"/>
    </row>
    <row r="61" spans="2:7" x14ac:dyDescent="0.2">
      <c r="B61" s="36"/>
      <c r="C61" s="9" t="s">
        <v>19</v>
      </c>
      <c r="D61" s="9" t="s">
        <v>98</v>
      </c>
      <c r="E61" s="31"/>
      <c r="F61" s="74"/>
      <c r="G61" s="74"/>
    </row>
    <row r="62" spans="2:7" x14ac:dyDescent="0.2">
      <c r="C62" s="17">
        <v>45292</v>
      </c>
      <c r="D62" s="50">
        <v>0</v>
      </c>
      <c r="E62" s="75"/>
      <c r="F62" s="71"/>
      <c r="G62" s="71"/>
    </row>
    <row r="63" spans="2:7" x14ac:dyDescent="0.2">
      <c r="C63" s="19">
        <v>45323</v>
      </c>
      <c r="D63" s="51">
        <v>0</v>
      </c>
      <c r="E63" s="75"/>
      <c r="F63" s="71"/>
      <c r="G63" s="71"/>
    </row>
    <row r="64" spans="2:7" x14ac:dyDescent="0.2">
      <c r="C64" s="19">
        <v>45352</v>
      </c>
      <c r="D64" s="51">
        <v>115846</v>
      </c>
      <c r="E64" s="75"/>
      <c r="F64" s="71"/>
      <c r="G64" s="71"/>
    </row>
    <row r="65" spans="2:7" x14ac:dyDescent="0.2">
      <c r="C65" s="19">
        <v>45383</v>
      </c>
      <c r="D65" s="51">
        <v>115846</v>
      </c>
      <c r="E65" s="75"/>
      <c r="F65" s="71"/>
      <c r="G65" s="71"/>
    </row>
    <row r="66" spans="2:7" x14ac:dyDescent="0.2">
      <c r="C66" s="19">
        <v>45413</v>
      </c>
      <c r="D66" s="51">
        <v>115846</v>
      </c>
      <c r="E66" s="75"/>
      <c r="F66" s="71"/>
      <c r="G66" s="71"/>
    </row>
    <row r="67" spans="2:7" x14ac:dyDescent="0.2">
      <c r="C67" s="19">
        <v>45444</v>
      </c>
      <c r="D67" s="52">
        <v>115846</v>
      </c>
      <c r="E67" s="75"/>
      <c r="F67" s="71"/>
      <c r="G67" s="71"/>
    </row>
    <row r="68" spans="2:7" x14ac:dyDescent="0.2">
      <c r="C68" s="53" t="s">
        <v>59</v>
      </c>
      <c r="D68" s="39">
        <f>SUM(D62:D67)</f>
        <v>463384</v>
      </c>
      <c r="E68" s="20"/>
      <c r="F68" s="71"/>
      <c r="G68" s="71"/>
    </row>
    <row r="79" spans="2:7" x14ac:dyDescent="0.2">
      <c r="B79" s="55"/>
    </row>
    <row r="80" spans="2:7" x14ac:dyDescent="0.2">
      <c r="B80" s="55"/>
    </row>
    <row r="81" spans="2:2" x14ac:dyDescent="0.2">
      <c r="B81" s="55"/>
    </row>
    <row r="82" spans="2:2" x14ac:dyDescent="0.2">
      <c r="B82" s="55"/>
    </row>
    <row r="83" spans="2:2" x14ac:dyDescent="0.2">
      <c r="B83" s="55"/>
    </row>
    <row r="84" spans="2:2" x14ac:dyDescent="0.2">
      <c r="B84" s="55"/>
    </row>
    <row r="85" spans="2:2" x14ac:dyDescent="0.2">
      <c r="B85" s="55"/>
    </row>
    <row r="86" spans="2:2" x14ac:dyDescent="0.2">
      <c r="B86" s="55"/>
    </row>
    <row r="87" spans="2:2" x14ac:dyDescent="0.2">
      <c r="B87" s="55"/>
    </row>
  </sheetData>
  <mergeCells count="2">
    <mergeCell ref="B4:G5"/>
    <mergeCell ref="C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0"/>
  <sheetViews>
    <sheetView workbookViewId="0"/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tr">
        <f>Summary!A1</f>
        <v>DR1 Response 2 - Salt River Surcharge Summary.xlsx</v>
      </c>
    </row>
    <row r="4" spans="1:7" ht="14.25" customHeight="1" x14ac:dyDescent="0.2">
      <c r="B4" s="77" t="s">
        <v>8</v>
      </c>
      <c r="C4" s="78"/>
      <c r="D4" s="78"/>
      <c r="E4" s="78"/>
      <c r="F4" s="78"/>
      <c r="G4" s="79"/>
    </row>
    <row r="5" spans="1:7" ht="14.25" customHeight="1" x14ac:dyDescent="0.2">
      <c r="B5" s="80"/>
      <c r="C5" s="81"/>
      <c r="D5" s="81"/>
      <c r="E5" s="81"/>
      <c r="F5" s="81"/>
      <c r="G5" s="82"/>
    </row>
    <row r="7" spans="1:7" x14ac:dyDescent="0.2">
      <c r="B7" s="5"/>
      <c r="C7" s="5"/>
      <c r="D7" s="5"/>
      <c r="E7" s="6" t="s">
        <v>9</v>
      </c>
      <c r="F7" s="5"/>
      <c r="G7" s="5"/>
    </row>
    <row r="8" spans="1:7" x14ac:dyDescent="0.2">
      <c r="B8" s="7"/>
      <c r="C8" s="7"/>
      <c r="D8" s="8" t="s">
        <v>10</v>
      </c>
      <c r="E8" s="8" t="s">
        <v>11</v>
      </c>
      <c r="F8" s="7"/>
      <c r="G8" s="7"/>
    </row>
    <row r="9" spans="1:7" x14ac:dyDescent="0.2">
      <c r="B9" s="7"/>
      <c r="C9" s="7"/>
      <c r="D9" s="8" t="s">
        <v>12</v>
      </c>
      <c r="E9" s="8" t="s">
        <v>13</v>
      </c>
      <c r="F9" s="8" t="s">
        <v>14</v>
      </c>
      <c r="G9" s="8" t="s">
        <v>15</v>
      </c>
    </row>
    <row r="10" spans="1:7" x14ac:dyDescent="0.2">
      <c r="B10" s="9"/>
      <c r="C10" s="56"/>
      <c r="D10" s="9" t="s">
        <v>16</v>
      </c>
      <c r="E10" s="9" t="s">
        <v>16</v>
      </c>
      <c r="F10" s="9" t="s">
        <v>17</v>
      </c>
      <c r="G10" s="9" t="s">
        <v>17</v>
      </c>
    </row>
    <row r="11" spans="1:7" x14ac:dyDescent="0.2">
      <c r="B11" s="10" t="s">
        <v>18</v>
      </c>
      <c r="C11" s="10" t="s">
        <v>19</v>
      </c>
      <c r="D11" s="11" t="s">
        <v>20</v>
      </c>
      <c r="E11" s="11" t="s">
        <v>21</v>
      </c>
      <c r="F11" s="11" t="s">
        <v>22</v>
      </c>
      <c r="G11" s="11" t="s">
        <v>23</v>
      </c>
    </row>
    <row r="12" spans="1:7" x14ac:dyDescent="0.2">
      <c r="B12" s="6">
        <v>1</v>
      </c>
      <c r="C12" s="83" t="s">
        <v>24</v>
      </c>
      <c r="D12" s="84"/>
      <c r="E12" s="84"/>
      <c r="F12" s="84"/>
      <c r="G12" s="85"/>
    </row>
    <row r="13" spans="1:7" x14ac:dyDescent="0.2">
      <c r="B13" s="6" t="s">
        <v>25</v>
      </c>
      <c r="C13" s="12" t="s">
        <v>82</v>
      </c>
      <c r="D13" s="12"/>
      <c r="E13" s="12"/>
      <c r="F13" s="13"/>
      <c r="G13" s="14">
        <v>231694</v>
      </c>
    </row>
    <row r="14" spans="1:7" x14ac:dyDescent="0.2">
      <c r="B14" s="8" t="s">
        <v>26</v>
      </c>
      <c r="C14" s="12" t="s">
        <v>83</v>
      </c>
      <c r="D14" s="12"/>
      <c r="E14" s="12"/>
      <c r="F14" s="13"/>
      <c r="G14" s="57">
        <f>'A - 05-31-22'!G33</f>
        <v>-387494.97</v>
      </c>
    </row>
    <row r="15" spans="1:7" x14ac:dyDescent="0.2">
      <c r="B15" s="8" t="s">
        <v>27</v>
      </c>
      <c r="C15" s="12" t="s">
        <v>88</v>
      </c>
      <c r="D15" s="12"/>
      <c r="E15" s="12"/>
      <c r="F15" s="13"/>
      <c r="G15" s="57">
        <f>'B - 11-30-22'!G35</f>
        <v>202241.20999999996</v>
      </c>
    </row>
    <row r="16" spans="1:7" x14ac:dyDescent="0.2">
      <c r="B16" s="8" t="s">
        <v>28</v>
      </c>
      <c r="C16" s="12" t="s">
        <v>91</v>
      </c>
      <c r="D16" s="12"/>
      <c r="E16" s="12"/>
      <c r="F16" s="15"/>
      <c r="G16" s="58">
        <f>'C - 05-31-23'!G37</f>
        <v>-208737.65000000002</v>
      </c>
    </row>
    <row r="17" spans="2:10" x14ac:dyDescent="0.2">
      <c r="B17" s="8" t="s">
        <v>60</v>
      </c>
      <c r="C17" s="12" t="s">
        <v>94</v>
      </c>
      <c r="D17" s="12"/>
      <c r="E17" s="12"/>
      <c r="F17" s="15"/>
      <c r="G17" s="58">
        <f>'D - 11-30-23'!G39</f>
        <v>-68757.179999999935</v>
      </c>
    </row>
    <row r="18" spans="2:10" x14ac:dyDescent="0.2">
      <c r="B18" s="8" t="s">
        <v>66</v>
      </c>
      <c r="C18" s="12" t="s">
        <v>96</v>
      </c>
      <c r="D18" s="12"/>
      <c r="E18" s="12"/>
      <c r="F18" s="15"/>
      <c r="G18" s="58">
        <f>'E - 05-31-24'!G41</f>
        <v>578836.72999999986</v>
      </c>
    </row>
    <row r="19" spans="2:10" x14ac:dyDescent="0.2">
      <c r="B19" s="9" t="s">
        <v>71</v>
      </c>
      <c r="C19" s="12" t="s">
        <v>29</v>
      </c>
      <c r="D19" s="12"/>
      <c r="E19" s="12"/>
      <c r="F19" s="15"/>
      <c r="G19" s="16">
        <f>G13+G14+G15+G16+G17+G18</f>
        <v>347782.1399999999</v>
      </c>
    </row>
    <row r="20" spans="2:10" x14ac:dyDescent="0.2">
      <c r="B20" s="8">
        <v>2</v>
      </c>
      <c r="C20" s="17">
        <v>45474</v>
      </c>
      <c r="D20" s="58">
        <f>1743757-0-3357</f>
        <v>1740400</v>
      </c>
      <c r="E20" s="59">
        <v>2093032.41</v>
      </c>
      <c r="F20" s="18">
        <f t="shared" ref="F20:F27" si="0">D20-E20</f>
        <v>-352632.40999999992</v>
      </c>
      <c r="G20" s="16">
        <f t="shared" ref="G20:G27" si="1">G19+F20</f>
        <v>-4850.2700000000186</v>
      </c>
      <c r="J20" s="37"/>
    </row>
    <row r="21" spans="2:10" x14ac:dyDescent="0.2">
      <c r="B21" s="8">
        <v>3</v>
      </c>
      <c r="C21" s="19">
        <v>45505</v>
      </c>
      <c r="D21" s="60">
        <f>1556874-0-5503</f>
        <v>1551371</v>
      </c>
      <c r="E21" s="61">
        <v>1876689.3</v>
      </c>
      <c r="F21" s="20">
        <f t="shared" si="0"/>
        <v>-325318.30000000005</v>
      </c>
      <c r="G21" s="21">
        <f t="shared" si="1"/>
        <v>-330168.57000000007</v>
      </c>
    </row>
    <row r="22" spans="2:10" x14ac:dyDescent="0.2">
      <c r="B22" s="8">
        <v>4</v>
      </c>
      <c r="C22" s="19">
        <v>45536</v>
      </c>
      <c r="D22" s="60">
        <f>1539519-0-2247</f>
        <v>1537272</v>
      </c>
      <c r="E22" s="61">
        <v>1544049.19</v>
      </c>
      <c r="F22" s="20">
        <f t="shared" si="0"/>
        <v>-6777.1899999999441</v>
      </c>
      <c r="G22" s="21">
        <f t="shared" si="1"/>
        <v>-336945.76</v>
      </c>
      <c r="J22" s="37"/>
    </row>
    <row r="23" spans="2:10" x14ac:dyDescent="0.2">
      <c r="B23" s="8">
        <v>5</v>
      </c>
      <c r="C23" s="19">
        <v>45566</v>
      </c>
      <c r="D23" s="60">
        <f>1160714-852-3823</f>
        <v>1156039</v>
      </c>
      <c r="E23" s="61">
        <v>1410307.43</v>
      </c>
      <c r="F23" s="20">
        <f t="shared" si="0"/>
        <v>-254268.42999999993</v>
      </c>
      <c r="G23" s="21">
        <f t="shared" si="1"/>
        <v>-591214.18999999994</v>
      </c>
    </row>
    <row r="24" spans="2:10" x14ac:dyDescent="0.2">
      <c r="B24" s="8">
        <v>6</v>
      </c>
      <c r="C24" s="19">
        <v>45597</v>
      </c>
      <c r="D24" s="60">
        <f>1262622-905-5500</f>
        <v>1256217</v>
      </c>
      <c r="E24" s="61">
        <v>1448535.58</v>
      </c>
      <c r="F24" s="20">
        <f t="shared" si="0"/>
        <v>-192318.58000000007</v>
      </c>
      <c r="G24" s="21">
        <f t="shared" si="1"/>
        <v>-783532.77</v>
      </c>
      <c r="J24" s="37"/>
    </row>
    <row r="25" spans="2:10" x14ac:dyDescent="0.2">
      <c r="B25" s="8">
        <v>7</v>
      </c>
      <c r="C25" s="19">
        <v>45627</v>
      </c>
      <c r="D25" s="60">
        <f>1869490-1133-9015</f>
        <v>1859342</v>
      </c>
      <c r="E25" s="61">
        <v>1690335.61</v>
      </c>
      <c r="F25" s="22">
        <f t="shared" si="0"/>
        <v>169006.3899999999</v>
      </c>
      <c r="G25" s="23">
        <f t="shared" si="1"/>
        <v>-614526.38000000012</v>
      </c>
    </row>
    <row r="26" spans="2:10" x14ac:dyDescent="0.2">
      <c r="B26" s="24" t="s">
        <v>30</v>
      </c>
      <c r="C26" s="17">
        <v>45658</v>
      </c>
      <c r="D26" s="58">
        <f>2346994-1031-9156</f>
        <v>2336807</v>
      </c>
      <c r="E26" s="59">
        <v>2284277.09</v>
      </c>
      <c r="F26" s="18">
        <f t="shared" si="0"/>
        <v>52529.910000000149</v>
      </c>
      <c r="G26" s="16">
        <f t="shared" si="1"/>
        <v>-561996.47</v>
      </c>
    </row>
    <row r="27" spans="2:10" x14ac:dyDescent="0.2">
      <c r="B27" s="25" t="s">
        <v>31</v>
      </c>
      <c r="C27" s="26">
        <v>45689</v>
      </c>
      <c r="D27" s="52">
        <v>0</v>
      </c>
      <c r="E27" s="54">
        <v>0</v>
      </c>
      <c r="F27" s="22">
        <f t="shared" si="0"/>
        <v>0</v>
      </c>
      <c r="G27" s="23">
        <f t="shared" si="1"/>
        <v>-561996.47</v>
      </c>
    </row>
    <row r="28" spans="2:10" x14ac:dyDescent="0.2">
      <c r="B28" s="9"/>
      <c r="C28" s="27" t="s">
        <v>81</v>
      </c>
      <c r="D28" s="28"/>
      <c r="E28" s="28"/>
      <c r="F28" s="28"/>
      <c r="G28" s="29"/>
    </row>
    <row r="29" spans="2:10" x14ac:dyDescent="0.2">
      <c r="B29" s="6"/>
      <c r="C29" s="5"/>
      <c r="D29" s="5"/>
      <c r="E29" s="5"/>
      <c r="F29" s="5"/>
      <c r="G29" s="16"/>
    </row>
    <row r="30" spans="2:10" x14ac:dyDescent="0.2">
      <c r="B30" s="8"/>
      <c r="C30" s="7"/>
      <c r="D30" s="8" t="s">
        <v>32</v>
      </c>
      <c r="E30" s="8" t="s">
        <v>33</v>
      </c>
      <c r="F30" s="7"/>
      <c r="G30" s="21"/>
    </row>
    <row r="31" spans="2:10" x14ac:dyDescent="0.2">
      <c r="B31" s="8">
        <v>8</v>
      </c>
      <c r="C31" s="7"/>
      <c r="D31" s="8" t="s">
        <v>34</v>
      </c>
      <c r="E31" s="8" t="s">
        <v>35</v>
      </c>
      <c r="F31" s="7"/>
      <c r="G31" s="30" t="s">
        <v>32</v>
      </c>
    </row>
    <row r="32" spans="2:10" x14ac:dyDescent="0.2">
      <c r="B32" s="8"/>
      <c r="C32" s="7"/>
      <c r="D32" s="8" t="s">
        <v>36</v>
      </c>
      <c r="E32" s="8" t="s">
        <v>37</v>
      </c>
      <c r="F32" s="7"/>
      <c r="G32" s="30" t="s">
        <v>38</v>
      </c>
    </row>
    <row r="33" spans="2:7" x14ac:dyDescent="0.2">
      <c r="B33" s="8"/>
      <c r="C33" s="7"/>
      <c r="D33" s="8" t="s">
        <v>39</v>
      </c>
      <c r="E33" s="8" t="s">
        <v>40</v>
      </c>
      <c r="F33" s="7"/>
      <c r="G33" s="30" t="s">
        <v>41</v>
      </c>
    </row>
    <row r="34" spans="2:7" x14ac:dyDescent="0.2">
      <c r="B34" s="9"/>
      <c r="C34" s="7"/>
      <c r="D34" s="8" t="s">
        <v>42</v>
      </c>
      <c r="E34" s="8" t="s">
        <v>43</v>
      </c>
      <c r="F34" s="7"/>
      <c r="G34" s="30" t="s">
        <v>44</v>
      </c>
    </row>
    <row r="35" spans="2:7" x14ac:dyDescent="0.2">
      <c r="B35" s="24" t="s">
        <v>45</v>
      </c>
      <c r="C35" s="5" t="s">
        <v>92</v>
      </c>
      <c r="D35" s="16">
        <f t="shared" ref="D35:D40" si="2">-G13</f>
        <v>-231694</v>
      </c>
      <c r="E35" s="16">
        <f>D70</f>
        <v>231694</v>
      </c>
      <c r="F35" s="5"/>
      <c r="G35" s="16">
        <f t="shared" ref="G35:G40" si="3">D35+E35</f>
        <v>0</v>
      </c>
    </row>
    <row r="36" spans="2:7" x14ac:dyDescent="0.2">
      <c r="B36" s="31" t="s">
        <v>46</v>
      </c>
      <c r="C36" s="7" t="s">
        <v>86</v>
      </c>
      <c r="D36" s="21">
        <f t="shared" si="2"/>
        <v>387494.97</v>
      </c>
      <c r="E36" s="21">
        <v>0</v>
      </c>
      <c r="F36" s="7"/>
      <c r="G36" s="21">
        <f t="shared" si="3"/>
        <v>387494.97</v>
      </c>
    </row>
    <row r="37" spans="2:7" x14ac:dyDescent="0.2">
      <c r="B37" s="31" t="s">
        <v>47</v>
      </c>
      <c r="C37" s="7" t="s">
        <v>89</v>
      </c>
      <c r="D37" s="21">
        <f t="shared" si="2"/>
        <v>-202241.20999999996</v>
      </c>
      <c r="E37" s="21">
        <v>0</v>
      </c>
      <c r="F37" s="7"/>
      <c r="G37" s="21">
        <f t="shared" si="3"/>
        <v>-202241.20999999996</v>
      </c>
    </row>
    <row r="38" spans="2:7" x14ac:dyDescent="0.2">
      <c r="B38" s="31" t="s">
        <v>48</v>
      </c>
      <c r="C38" s="7" t="s">
        <v>93</v>
      </c>
      <c r="D38" s="21">
        <f t="shared" si="2"/>
        <v>208737.65000000002</v>
      </c>
      <c r="E38" s="21">
        <v>0</v>
      </c>
      <c r="F38" s="7"/>
      <c r="G38" s="21">
        <f t="shared" si="3"/>
        <v>208737.65000000002</v>
      </c>
    </row>
    <row r="39" spans="2:7" x14ac:dyDescent="0.2">
      <c r="B39" s="31" t="s">
        <v>61</v>
      </c>
      <c r="C39" s="7" t="s">
        <v>95</v>
      </c>
      <c r="D39" s="21">
        <f t="shared" si="2"/>
        <v>68757.179999999935</v>
      </c>
      <c r="E39" s="21">
        <v>0</v>
      </c>
      <c r="F39" s="7"/>
      <c r="G39" s="21">
        <f t="shared" si="3"/>
        <v>68757.179999999935</v>
      </c>
    </row>
    <row r="40" spans="2:7" x14ac:dyDescent="0.2">
      <c r="B40" s="31" t="s">
        <v>68</v>
      </c>
      <c r="C40" s="32" t="s">
        <v>97</v>
      </c>
      <c r="D40" s="23">
        <f t="shared" si="2"/>
        <v>-578836.72999999986</v>
      </c>
      <c r="E40" s="23">
        <v>0</v>
      </c>
      <c r="F40" s="32"/>
      <c r="G40" s="23">
        <f t="shared" si="3"/>
        <v>-578836.72999999986</v>
      </c>
    </row>
    <row r="41" spans="2:7" x14ac:dyDescent="0.2">
      <c r="B41" s="9" t="s">
        <v>73</v>
      </c>
      <c r="C41" s="33"/>
      <c r="D41" s="34"/>
      <c r="E41" s="34"/>
      <c r="F41" s="35" t="s">
        <v>49</v>
      </c>
      <c r="G41" s="23">
        <f>G35+G36+G37+G38+G39+G40</f>
        <v>-116088.1399999999</v>
      </c>
    </row>
    <row r="42" spans="2:7" x14ac:dyDescent="0.2">
      <c r="B42" s="36"/>
      <c r="G42" s="37"/>
    </row>
    <row r="43" spans="2:7" x14ac:dyDescent="0.2">
      <c r="B43" s="10">
        <v>9</v>
      </c>
      <c r="C43" s="38" t="s">
        <v>74</v>
      </c>
      <c r="D43" s="12"/>
      <c r="E43" s="12"/>
      <c r="F43" s="13"/>
      <c r="G43" s="39">
        <f>G25+G41</f>
        <v>-730614.52</v>
      </c>
    </row>
    <row r="44" spans="2:7" x14ac:dyDescent="0.2">
      <c r="B44" s="36"/>
      <c r="G44" s="37"/>
    </row>
    <row r="45" spans="2:7" x14ac:dyDescent="0.2">
      <c r="B45" s="10">
        <v>10</v>
      </c>
      <c r="C45" s="38" t="s">
        <v>64</v>
      </c>
      <c r="D45" s="12"/>
      <c r="E45" s="12"/>
      <c r="F45" s="13"/>
      <c r="G45" s="39">
        <f>G43/6</f>
        <v>-121769.08666666667</v>
      </c>
    </row>
    <row r="47" spans="2:7" x14ac:dyDescent="0.2">
      <c r="B47" s="5"/>
      <c r="C47" s="40" t="s">
        <v>50</v>
      </c>
      <c r="D47" s="41"/>
      <c r="E47" s="41"/>
      <c r="F47" s="41"/>
      <c r="G47" s="42"/>
    </row>
    <row r="48" spans="2:7" x14ac:dyDescent="0.2">
      <c r="B48" s="5"/>
      <c r="C48" s="43"/>
      <c r="D48" s="43"/>
      <c r="E48" s="43"/>
      <c r="F48" s="43"/>
      <c r="G48" s="15"/>
    </row>
    <row r="49" spans="2:7" x14ac:dyDescent="0.2">
      <c r="B49" s="8">
        <v>11</v>
      </c>
      <c r="C49" s="44" t="s">
        <v>51</v>
      </c>
      <c r="D49" s="44"/>
      <c r="E49" s="44"/>
      <c r="F49" s="44"/>
      <c r="G49" s="45">
        <f>G19</f>
        <v>347782.1399999999</v>
      </c>
    </row>
    <row r="50" spans="2:7" x14ac:dyDescent="0.2">
      <c r="B50" s="8">
        <v>12</v>
      </c>
      <c r="C50" s="44" t="s">
        <v>52</v>
      </c>
      <c r="D50" s="44"/>
      <c r="E50" s="44"/>
      <c r="F50" s="44"/>
      <c r="G50" s="46">
        <f>G41</f>
        <v>-116088.1399999999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13</v>
      </c>
      <c r="C52" s="44" t="s">
        <v>53</v>
      </c>
      <c r="D52" s="44"/>
      <c r="E52" s="44"/>
      <c r="F52" s="44"/>
      <c r="G52" s="47">
        <f>G49+G50</f>
        <v>231694</v>
      </c>
    </row>
    <row r="53" spans="2:7" ht="15" thickTop="1" x14ac:dyDescent="0.2">
      <c r="B53" s="8"/>
      <c r="C53" s="44"/>
      <c r="D53" s="44"/>
      <c r="E53" s="44"/>
      <c r="F53" s="44"/>
      <c r="G53" s="45"/>
    </row>
    <row r="54" spans="2:7" x14ac:dyDescent="0.2">
      <c r="B54" s="8">
        <v>14</v>
      </c>
      <c r="C54" s="44" t="s">
        <v>54</v>
      </c>
      <c r="D54" s="44"/>
      <c r="E54" s="44"/>
      <c r="F54" s="44"/>
      <c r="G54" s="45">
        <f>G43</f>
        <v>-730614.52</v>
      </c>
    </row>
    <row r="55" spans="2:7" x14ac:dyDescent="0.2">
      <c r="B55" s="8"/>
      <c r="C55" s="44"/>
      <c r="D55" s="44"/>
      <c r="E55" s="44"/>
      <c r="F55" s="44"/>
      <c r="G55" s="45"/>
    </row>
    <row r="56" spans="2:7" x14ac:dyDescent="0.2">
      <c r="B56" s="8">
        <v>15</v>
      </c>
      <c r="C56" s="44" t="s">
        <v>55</v>
      </c>
      <c r="D56" s="44"/>
      <c r="E56" s="44"/>
      <c r="F56" s="44"/>
      <c r="G56" s="46">
        <f>SUM(F20:F25)</f>
        <v>-962308.52</v>
      </c>
    </row>
    <row r="57" spans="2:7" x14ac:dyDescent="0.2">
      <c r="B57" s="8"/>
      <c r="C57" s="44"/>
      <c r="D57" s="44"/>
      <c r="E57" s="44"/>
      <c r="F57" s="44"/>
      <c r="G57" s="45"/>
    </row>
    <row r="58" spans="2:7" ht="15" thickBot="1" x14ac:dyDescent="0.25">
      <c r="B58" s="8">
        <v>16</v>
      </c>
      <c r="C58" s="44" t="s">
        <v>56</v>
      </c>
      <c r="D58" s="44"/>
      <c r="E58" s="44"/>
      <c r="F58" s="44"/>
      <c r="G58" s="47">
        <f>G54-G56</f>
        <v>231694</v>
      </c>
    </row>
    <row r="59" spans="2:7" ht="15" thickTop="1" x14ac:dyDescent="0.2">
      <c r="B59" s="32"/>
      <c r="C59" s="48"/>
      <c r="D59" s="48"/>
      <c r="E59" s="48"/>
      <c r="F59" s="48"/>
      <c r="G59" s="49"/>
    </row>
    <row r="61" spans="2:7" x14ac:dyDescent="0.2">
      <c r="B61" t="s">
        <v>57</v>
      </c>
    </row>
    <row r="62" spans="2:7" x14ac:dyDescent="0.2">
      <c r="B62" s="36"/>
      <c r="C62" s="5"/>
      <c r="D62" s="6" t="s">
        <v>58</v>
      </c>
      <c r="E62" s="31"/>
      <c r="F62" s="74"/>
      <c r="G62" s="74"/>
    </row>
    <row r="63" spans="2:7" x14ac:dyDescent="0.2">
      <c r="B63" s="36"/>
      <c r="C63" s="9" t="s">
        <v>19</v>
      </c>
      <c r="D63" s="9" t="s">
        <v>98</v>
      </c>
      <c r="E63" s="31"/>
      <c r="F63" s="74"/>
      <c r="G63" s="74"/>
    </row>
    <row r="64" spans="2:7" x14ac:dyDescent="0.2">
      <c r="C64" s="17">
        <v>45474</v>
      </c>
      <c r="D64" s="50">
        <v>115846</v>
      </c>
      <c r="E64" s="75"/>
      <c r="F64" s="71"/>
      <c r="G64" s="71"/>
    </row>
    <row r="65" spans="3:7" x14ac:dyDescent="0.2">
      <c r="C65" s="19">
        <v>45505</v>
      </c>
      <c r="D65" s="51">
        <v>115848</v>
      </c>
      <c r="E65" s="75"/>
      <c r="F65" s="71"/>
      <c r="G65" s="71"/>
    </row>
    <row r="66" spans="3:7" x14ac:dyDescent="0.2">
      <c r="C66" s="19">
        <v>45536</v>
      </c>
      <c r="D66" s="51">
        <v>0</v>
      </c>
      <c r="E66" s="75"/>
      <c r="F66" s="71"/>
      <c r="G66" s="71"/>
    </row>
    <row r="67" spans="3:7" x14ac:dyDescent="0.2">
      <c r="C67" s="19">
        <v>45566</v>
      </c>
      <c r="D67" s="51">
        <v>0</v>
      </c>
      <c r="E67" s="75"/>
      <c r="F67" s="71"/>
      <c r="G67" s="71"/>
    </row>
    <row r="68" spans="3:7" x14ac:dyDescent="0.2">
      <c r="C68" s="19">
        <v>45597</v>
      </c>
      <c r="D68" s="51">
        <v>0</v>
      </c>
      <c r="E68" s="75"/>
      <c r="F68" s="71"/>
      <c r="G68" s="71"/>
    </row>
    <row r="69" spans="3:7" x14ac:dyDescent="0.2">
      <c r="C69" s="19">
        <v>45627</v>
      </c>
      <c r="D69" s="52">
        <v>0</v>
      </c>
      <c r="E69" s="75"/>
      <c r="F69" s="71"/>
      <c r="G69" s="71"/>
    </row>
    <row r="70" spans="3:7" x14ac:dyDescent="0.2">
      <c r="C70" s="53" t="s">
        <v>59</v>
      </c>
      <c r="D70" s="39">
        <f>SUM(D64:D69)</f>
        <v>231694</v>
      </c>
      <c r="E70" s="20"/>
      <c r="F70" s="71"/>
      <c r="G70" s="71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dcterms:created xsi:type="dcterms:W3CDTF">2022-06-13T11:58:16Z</dcterms:created>
  <dcterms:modified xsi:type="dcterms:W3CDTF">2025-03-31T01:08:03Z</dcterms:modified>
</cp:coreProperties>
</file>