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81A67ED6-FDE0-4F7F-B46A-2CABE5FD29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D60" i="2"/>
  <c r="E21" i="3" l="1"/>
  <c r="E20" i="3" l="1"/>
  <c r="E27" i="8" l="1"/>
  <c r="J47" i="8"/>
  <c r="K47" i="8"/>
  <c r="J27" i="8" l="1"/>
  <c r="D27" i="8"/>
  <c r="L47" i="8" l="1"/>
  <c r="J46" i="8"/>
  <c r="L46" i="8" s="1"/>
  <c r="J45" i="8"/>
  <c r="L45" i="8" s="1"/>
  <c r="J44" i="8"/>
  <c r="L44" i="8" s="1"/>
  <c r="J43" i="8"/>
  <c r="L43" i="8" s="1"/>
  <c r="J42" i="8"/>
  <c r="L42" i="8" s="1"/>
  <c r="J41" i="8"/>
  <c r="L41" i="8" s="1"/>
  <c r="J40" i="8"/>
  <c r="L40" i="8" s="1"/>
  <c r="M40" i="8" s="1"/>
  <c r="M41" i="8" s="1"/>
  <c r="M42" i="8" s="1"/>
  <c r="M43" i="8" s="1"/>
  <c r="M44" i="8" s="1"/>
  <c r="M45" i="8" s="1"/>
  <c r="L27" i="8"/>
  <c r="L26" i="8"/>
  <c r="J25" i="8"/>
  <c r="L25" i="8" s="1"/>
  <c r="L24" i="8"/>
  <c r="L23" i="8"/>
  <c r="J22" i="8"/>
  <c r="L22" i="8" s="1"/>
  <c r="L21" i="8"/>
  <c r="L20" i="8"/>
  <c r="M20" i="8" s="1"/>
  <c r="M21" i="8" s="1"/>
  <c r="M22" i="8" s="1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M23" i="8" l="1"/>
  <c r="M24" i="8" s="1"/>
  <c r="M25" i="8" s="1"/>
  <c r="M46" i="8"/>
  <c r="M47" i="8" s="1"/>
  <c r="M49" i="8"/>
  <c r="M51" i="8" s="1"/>
  <c r="M29" i="8"/>
  <c r="M31" i="8" s="1"/>
  <c r="M26" i="8"/>
  <c r="M27" i="8" s="1"/>
  <c r="J46" i="6" l="1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M39" i="6" s="1"/>
  <c r="L26" i="6"/>
  <c r="L25" i="6"/>
  <c r="J24" i="6"/>
  <c r="L24" i="6" s="1"/>
  <c r="J23" i="6"/>
  <c r="L23" i="6" s="1"/>
  <c r="J22" i="6"/>
  <c r="L22" i="6" s="1"/>
  <c r="L21" i="6"/>
  <c r="L20" i="6"/>
  <c r="J19" i="6"/>
  <c r="L19" i="6" s="1"/>
  <c r="M19" i="6" s="1"/>
  <c r="M20" i="6" s="1"/>
  <c r="M21" i="6" s="1"/>
  <c r="M22" i="6" s="1"/>
  <c r="M23" i="6" s="1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M24" i="6" l="1"/>
  <c r="M40" i="6"/>
  <c r="M25" i="6"/>
  <c r="M26" i="6" s="1"/>
  <c r="M28" i="6"/>
  <c r="M30" i="6" s="1"/>
  <c r="M41" i="6"/>
  <c r="M42" i="6" s="1"/>
  <c r="M43" i="6" s="1"/>
  <c r="M44" i="6" s="1"/>
  <c r="M45" i="6" l="1"/>
  <c r="M46" i="6" s="1"/>
  <c r="M48" i="6"/>
  <c r="M50" i="6" s="1"/>
  <c r="J45" i="5" l="1"/>
  <c r="L45" i="5" s="1"/>
  <c r="J44" i="5"/>
  <c r="L44" i="5" s="1"/>
  <c r="K43" i="5"/>
  <c r="J43" i="5"/>
  <c r="L43" i="5" s="1"/>
  <c r="K42" i="5"/>
  <c r="J42" i="5"/>
  <c r="L42" i="5" s="1"/>
  <c r="K41" i="5"/>
  <c r="J41" i="5"/>
  <c r="L41" i="5" s="1"/>
  <c r="K40" i="5"/>
  <c r="J40" i="5"/>
  <c r="L40" i="5" s="1"/>
  <c r="K39" i="5"/>
  <c r="J39" i="5"/>
  <c r="L39" i="5" s="1"/>
  <c r="K38" i="5"/>
  <c r="J38" i="5"/>
  <c r="L38" i="5" s="1"/>
  <c r="M38" i="5" s="1"/>
  <c r="L25" i="5"/>
  <c r="J24" i="5"/>
  <c r="L24" i="5" s="1"/>
  <c r="L23" i="5"/>
  <c r="L22" i="5"/>
  <c r="L21" i="5"/>
  <c r="L20" i="5"/>
  <c r="L19" i="5"/>
  <c r="J18" i="5"/>
  <c r="L18" i="5" s="1"/>
  <c r="M18" i="5" s="1"/>
  <c r="M19" i="5" s="1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M20" i="5" l="1"/>
  <c r="M21" i="5" s="1"/>
  <c r="M22" i="5" s="1"/>
  <c r="M23" i="5" s="1"/>
  <c r="M27" i="5" s="1"/>
  <c r="M29" i="5" s="1"/>
  <c r="M24" i="5"/>
  <c r="M25" i="5" s="1"/>
  <c r="M39" i="5"/>
  <c r="M40" i="5" s="1"/>
  <c r="M41" i="5" s="1"/>
  <c r="M42" i="5" s="1"/>
  <c r="M43" i="5" s="1"/>
  <c r="M47" i="5" l="1"/>
  <c r="M49" i="5" s="1"/>
  <c r="M44" i="5"/>
  <c r="M45" i="5" s="1"/>
  <c r="K44" i="4" l="1"/>
  <c r="J44" i="4"/>
  <c r="L44" i="4" s="1"/>
  <c r="K43" i="4"/>
  <c r="J43" i="4"/>
  <c r="L43" i="4" s="1"/>
  <c r="K42" i="4"/>
  <c r="J42" i="4"/>
  <c r="L42" i="4" s="1"/>
  <c r="K41" i="4"/>
  <c r="J41" i="4"/>
  <c r="L41" i="4" s="1"/>
  <c r="K40" i="4"/>
  <c r="J40" i="4"/>
  <c r="L40" i="4" s="1"/>
  <c r="L39" i="4"/>
  <c r="K39" i="4"/>
  <c r="J39" i="4"/>
  <c r="K38" i="4"/>
  <c r="J38" i="4"/>
  <c r="L38" i="4" s="1"/>
  <c r="K37" i="4"/>
  <c r="J37" i="4"/>
  <c r="L37" i="4" s="1"/>
  <c r="M37" i="4" s="1"/>
  <c r="M38" i="4" s="1"/>
  <c r="L24" i="4"/>
  <c r="J23" i="4"/>
  <c r="L23" i="4" s="1"/>
  <c r="L22" i="4"/>
  <c r="L21" i="4"/>
  <c r="L20" i="4"/>
  <c r="L19" i="4"/>
  <c r="K18" i="4"/>
  <c r="L18" i="4" s="1"/>
  <c r="L17" i="4"/>
  <c r="M17" i="4" s="1"/>
  <c r="M18" i="4" s="1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M19" i="4" l="1"/>
  <c r="M20" i="4" s="1"/>
  <c r="M21" i="4" s="1"/>
  <c r="M22" i="4" s="1"/>
  <c r="M39" i="4"/>
  <c r="M40" i="4"/>
  <c r="M41" i="4" s="1"/>
  <c r="M42" i="4" s="1"/>
  <c r="M23" i="4"/>
  <c r="M24" i="4" s="1"/>
  <c r="M26" i="4"/>
  <c r="M28" i="4" s="1"/>
  <c r="M46" i="4" l="1"/>
  <c r="M48" i="4" s="1"/>
  <c r="M43" i="4"/>
  <c r="M44" i="4" s="1"/>
  <c r="K43" i="3" l="1"/>
  <c r="J43" i="3"/>
  <c r="L43" i="3" s="1"/>
  <c r="K42" i="3"/>
  <c r="J42" i="3"/>
  <c r="L42" i="3" s="1"/>
  <c r="K41" i="3"/>
  <c r="J41" i="3"/>
  <c r="L41" i="3" s="1"/>
  <c r="K40" i="3"/>
  <c r="J40" i="3"/>
  <c r="L40" i="3" s="1"/>
  <c r="K39" i="3"/>
  <c r="J39" i="3"/>
  <c r="L38" i="3"/>
  <c r="K38" i="3"/>
  <c r="J38" i="3"/>
  <c r="K37" i="3"/>
  <c r="J37" i="3"/>
  <c r="L37" i="3" s="1"/>
  <c r="K36" i="3"/>
  <c r="J36" i="3"/>
  <c r="L36" i="3" s="1"/>
  <c r="M36" i="3" s="1"/>
  <c r="M37" i="3" s="1"/>
  <c r="K23" i="3"/>
  <c r="L23" i="3" s="1"/>
  <c r="L22" i="3"/>
  <c r="L21" i="3"/>
  <c r="L20" i="3"/>
  <c r="L19" i="3"/>
  <c r="L18" i="3"/>
  <c r="L17" i="3"/>
  <c r="L16" i="3"/>
  <c r="M16" i="3" s="1"/>
  <c r="M17" i="3" s="1"/>
  <c r="E23" i="3"/>
  <c r="D23" i="3"/>
  <c r="E22" i="3"/>
  <c r="D22" i="3"/>
  <c r="D21" i="3"/>
  <c r="D20" i="3"/>
  <c r="E19" i="3"/>
  <c r="D19" i="3"/>
  <c r="E18" i="3"/>
  <c r="D18" i="3"/>
  <c r="E17" i="3"/>
  <c r="D17" i="3"/>
  <c r="E16" i="3"/>
  <c r="D16" i="3"/>
  <c r="L39" i="3" l="1"/>
  <c r="M38" i="3"/>
  <c r="M39" i="3" s="1"/>
  <c r="M40" i="3" s="1"/>
  <c r="M41" i="3" s="1"/>
  <c r="M18" i="3"/>
  <c r="M19" i="3" s="1"/>
  <c r="M20" i="3" s="1"/>
  <c r="M21" i="3" s="1"/>
  <c r="M22" i="3"/>
  <c r="M23" i="3" s="1"/>
  <c r="M25" i="3"/>
  <c r="M27" i="3" s="1"/>
  <c r="M45" i="3"/>
  <c r="M47" i="3" s="1"/>
  <c r="M42" i="3"/>
  <c r="M43" i="3" s="1"/>
  <c r="K42" i="2" l="1"/>
  <c r="J42" i="2"/>
  <c r="L42" i="2" s="1"/>
  <c r="K41" i="2"/>
  <c r="J41" i="2"/>
  <c r="L41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M35" i="2" s="1"/>
  <c r="M36" i="2" s="1"/>
  <c r="M37" i="2" s="1"/>
  <c r="M38" i="2" s="1"/>
  <c r="M39" i="2" s="1"/>
  <c r="M40" i="2" s="1"/>
  <c r="L22" i="2"/>
  <c r="L21" i="2"/>
  <c r="L20" i="2"/>
  <c r="L19" i="2"/>
  <c r="K18" i="2"/>
  <c r="L18" i="2" s="1"/>
  <c r="K17" i="2"/>
  <c r="L17" i="2" s="1"/>
  <c r="L16" i="2"/>
  <c r="L15" i="2"/>
  <c r="M15" i="2" s="1"/>
  <c r="M16" i="2" s="1"/>
  <c r="M17" i="2" s="1"/>
  <c r="M18" i="2" s="1"/>
  <c r="M19" i="2" s="1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M20" i="2" l="1"/>
  <c r="M21" i="2" s="1"/>
  <c r="M22" i="2" s="1"/>
  <c r="M24" i="2"/>
  <c r="M26" i="2" s="1"/>
  <c r="M41" i="2"/>
  <c r="M42" i="2" s="1"/>
  <c r="M44" i="2"/>
  <c r="M46" i="2" s="1"/>
  <c r="G14" i="2" l="1"/>
  <c r="D35" i="8" l="1"/>
  <c r="F27" i="8"/>
  <c r="F26" i="8"/>
  <c r="F25" i="8"/>
  <c r="F24" i="8"/>
  <c r="F23" i="8"/>
  <c r="F22" i="8"/>
  <c r="F21" i="8"/>
  <c r="F20" i="8"/>
  <c r="G35" i="8" l="1"/>
  <c r="G56" i="8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41" i="3"/>
  <c r="G35" i="3" l="1"/>
  <c r="G44" i="3"/>
  <c r="G15" i="5"/>
  <c r="G15" i="4"/>
  <c r="G15" i="6"/>
  <c r="G15" i="8"/>
  <c r="G22" i="3"/>
  <c r="G23" i="3" s="1"/>
  <c r="D35" i="5" l="1"/>
  <c r="G35" i="5" s="1"/>
  <c r="D37" i="8"/>
  <c r="G37" i="8" s="1"/>
  <c r="D36" i="6"/>
  <c r="G36" i="6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7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109,949 kWhs added to billing (ES adj = $546)</t>
        </r>
      </text>
    </comment>
    <comment ref="K18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156,049 kWhs added to billing (ES adj = $1098)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8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109,949 kWhs added to billing (ES adj = $546)</t>
        </r>
      </text>
    </comment>
    <comment ref="K19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156,049 kWhs added to billing (ES adj = $1098)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2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2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2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4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4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4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4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sharedStrings.xml><?xml version="1.0" encoding="utf-8"?>
<sst xmlns="http://schemas.openxmlformats.org/spreadsheetml/2006/main" count="663" uniqueCount="107">
  <si>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</si>
  <si>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</si>
  <si>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</si>
  <si>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</si>
  <si>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</si>
  <si>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</si>
  <si>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</si>
  <si>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</si>
  <si>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</si>
  <si>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</si>
  <si>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</si>
  <si>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</si>
  <si>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</si>
  <si>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</si>
  <si>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</si>
  <si>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</si>
  <si>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</si>
  <si>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</si>
  <si>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</si>
  <si>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</si>
  <si>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</si>
  <si>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</si>
  <si>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</si>
  <si>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</si>
  <si>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</si>
  <si>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</si>
  <si>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</si>
  <si>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</si>
  <si>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</si>
  <si>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</si>
  <si>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</si>
  <si>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</si>
  <si>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</si>
  <si>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</si>
  <si>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</si>
  <si>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</si>
  <si>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</si>
  <si>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</si>
  <si>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</si>
  <si>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</si>
  <si>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</si>
  <si>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</si>
  <si>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</si>
  <si>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</si>
  <si>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</si>
  <si>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</si>
  <si>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</si>
  <si>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</si>
  <si>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</si>
  <si>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</si>
  <si>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</si>
  <si>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</si>
  <si>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</si>
  <si>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</si>
  <si>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</si>
  <si>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</si>
  <si>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</si>
  <si>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</si>
  <si>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</si>
  <si>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</si>
  <si>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</si>
  <si>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</si>
  <si>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</si>
  <si>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</si>
  <si>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</si>
  <si>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</si>
  <si>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</si>
  <si>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</si>
  <si>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</si>
  <si>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</si>
  <si>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</si>
  <si>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</si>
  <si>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</si>
  <si>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</si>
  <si>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</si>
  <si>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</si>
  <si>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</si>
  <si>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</si>
  <si>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</si>
  <si>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</si>
  <si>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</si>
  <si>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</si>
  <si>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</si>
  <si>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</si>
  <si>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</si>
  <si>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</si>
  <si>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</si>
  <si>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</si>
  <si>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</si>
  <si>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</si>
  <si>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</si>
  <si>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</si>
  <si>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</si>
  <si>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</si>
  <si>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</si>
  <si>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</si>
  <si>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(1)</t>
  </si>
  <si>
    <t>Cumulative 6-month (Over)/Under Recovery</t>
  </si>
  <si>
    <t>Monthly Recovery (per month for six months)</t>
  </si>
  <si>
    <t>DR1 Response2 - Owen Surcharge Summary.xlsx</t>
  </si>
  <si>
    <t>Owen</t>
  </si>
  <si>
    <t>Owen - Calculation of (Over)/Under Recovery</t>
  </si>
  <si>
    <t>Owen Electric Cooperative - Calculation of (Over)/Under Recovery - Direct Surcharge Pass-Throughs</t>
  </si>
  <si>
    <t>Special Contract</t>
  </si>
  <si>
    <t>Rate B Customers</t>
  </si>
  <si>
    <t>2022-00141</t>
  </si>
  <si>
    <t>DR1 Response 2 - Owen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</si>
</sst>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2" fillId="0" borderId="0" xfId="1"/>
    <xf numFmtId="0" fontId="1" fillId="0" borderId="0" xfId="1" applyFont="1"/>
    <xf numFmtId="0" fontId="2" fillId="0" borderId="9" xfId="1" applyBorder="1"/>
    <xf numFmtId="0" fontId="2" fillId="0" borderId="9" xfId="1" applyBorder="1" applyAlignment="1">
      <alignment horizontal="center"/>
    </xf>
    <xf numFmtId="0" fontId="2" fillId="0" borderId="10" xfId="1" applyBorder="1"/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49" fontId="2" fillId="0" borderId="12" xfId="1" applyNumberFormat="1" applyBorder="1" applyAlignment="1">
      <alignment horizontal="center"/>
    </xf>
    <xf numFmtId="17" fontId="4" fillId="0" borderId="9" xfId="2" applyNumberFormat="1" applyFont="1" applyFill="1" applyBorder="1"/>
    <xf numFmtId="5" fontId="2" fillId="3" borderId="9" xfId="1" applyNumberFormat="1" applyFill="1" applyBorder="1"/>
    <xf numFmtId="5" fontId="2" fillId="0" borderId="9" xfId="1" applyNumberFormat="1" applyBorder="1"/>
    <xf numFmtId="17" fontId="4" fillId="0" borderId="10" xfId="2" applyNumberFormat="1" applyFont="1" applyFill="1" applyBorder="1"/>
    <xf numFmtId="5" fontId="2" fillId="3" borderId="10" xfId="1" applyNumberFormat="1" applyFill="1" applyBorder="1"/>
    <xf numFmtId="5" fontId="2" fillId="0" borderId="10" xfId="1" applyNumberFormat="1" applyBorder="1"/>
    <xf numFmtId="5" fontId="4" fillId="3" borderId="10" xfId="1" applyNumberFormat="1" applyFont="1" applyFill="1" applyBorder="1"/>
    <xf numFmtId="17" fontId="4" fillId="0" borderId="11" xfId="2" applyNumberFormat="1" applyFont="1" applyFill="1" applyBorder="1"/>
    <xf numFmtId="5" fontId="2" fillId="3" borderId="11" xfId="1" applyNumberFormat="1" applyFill="1" applyBorder="1"/>
    <xf numFmtId="5" fontId="2" fillId="0" borderId="11" xfId="1" applyNumberFormat="1" applyBorder="1"/>
    <xf numFmtId="0" fontId="2" fillId="0" borderId="13" xfId="1" applyBorder="1"/>
    <xf numFmtId="0" fontId="2" fillId="0" borderId="14" xfId="1" applyBorder="1"/>
    <xf numFmtId="0" fontId="2" fillId="0" borderId="15" xfId="1" applyBorder="1"/>
    <xf numFmtId="5" fontId="2" fillId="0" borderId="12" xfId="1" applyNumberFormat="1" applyBorder="1"/>
    <xf numFmtId="5" fontId="2" fillId="0" borderId="0" xfId="1" applyNumberFormat="1"/>
    <xf numFmtId="5" fontId="3" fillId="3" borderId="10" xfId="3" applyNumberFormat="1" applyFill="1" applyBorder="1"/>
    <xf numFmtId="5" fontId="4" fillId="3" borderId="11" xfId="1" applyNumberFormat="1" applyFont="1" applyFill="1" applyBorder="1"/>
    <xf numFmtId="5" fontId="9" fillId="3" borderId="16" xfId="0" applyNumberFormat="1" applyFont="1" applyFill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6" sqref="C6"/>
    </sheetView>
  </sheetViews>
  <sheetFormatPr defaultColWidth="15.625" defaultRowHeight="14.25" x14ac:dyDescent="0.2"/>
  <sheetData>
    <row r="1" spans="1:6" x14ac:dyDescent="0.2">
      <c r="A1" t="s">
        <v>106</v>
      </c>
    </row>
    <row r="3" spans="1:6" ht="15" x14ac:dyDescent="0.25">
      <c r="C3" s="102" t="s">
        <v>100</v>
      </c>
      <c r="D3" s="102"/>
      <c r="E3" s="102"/>
    </row>
    <row r="4" spans="1:6" ht="15" x14ac:dyDescent="0.25">
      <c r="B4" s="102" t="s">
        <v>0</v>
      </c>
      <c r="C4" s="102"/>
      <c r="D4" s="102"/>
      <c r="E4" s="102"/>
      <c r="F4" s="102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98938.109999999753</v>
      </c>
      <c r="F8" s="2" t="str">
        <f>IF(E8&gt;0,"Under-Recovery","Over-Recovery")</f>
        <v>Under-Recovery</v>
      </c>
    </row>
    <row r="9" spans="1:6" x14ac:dyDescent="0.2">
      <c r="B9" t="s">
        <v>68</v>
      </c>
      <c r="E9" s="3">
        <f>'B - 11-30-22'!G35</f>
        <v>1463542.0900000003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189267.58999999939</v>
      </c>
      <c r="F10" s="2" t="str">
        <f t="shared" si="0"/>
        <v>Under-Recovery</v>
      </c>
    </row>
    <row r="11" spans="1:6" x14ac:dyDescent="0.2">
      <c r="B11" t="s">
        <v>75</v>
      </c>
      <c r="E11" s="3">
        <f>'D - 11-30-23'!G39</f>
        <v>-184226.28999999957</v>
      </c>
      <c r="F11" s="2" t="str">
        <f t="shared" si="0"/>
        <v>Over-Recovery</v>
      </c>
    </row>
    <row r="12" spans="1:6" x14ac:dyDescent="0.2">
      <c r="B12" t="s">
        <v>77</v>
      </c>
      <c r="E12" s="63">
        <f>'E - 05-31-24'!G41</f>
        <v>760499.30999999959</v>
      </c>
      <c r="F12" s="2" t="str">
        <f t="shared" si="0"/>
        <v>Under-Recovery</v>
      </c>
    </row>
    <row r="13" spans="1:6" x14ac:dyDescent="0.2">
      <c r="B13" t="s">
        <v>78</v>
      </c>
      <c r="E13" s="63">
        <f>'F - 11-30-24'!G43</f>
        <v>-587015.59000000032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1741005.2199999993</v>
      </c>
      <c r="F15" s="2" t="str">
        <f>IF(E15&gt;0,"Under-Recovery","Over-Recovery")</f>
        <v>Under-Recovery</v>
      </c>
    </row>
    <row r="16" spans="1:6" ht="15" thickTop="1" x14ac:dyDescent="0.2"/>
    <row r="20" spans="2:6" ht="15" x14ac:dyDescent="0.25">
      <c r="B20" s="102" t="s">
        <v>4</v>
      </c>
      <c r="C20" s="102"/>
      <c r="D20" s="102"/>
      <c r="E20" s="102"/>
      <c r="F20" s="102"/>
    </row>
    <row r="22" spans="2:6" x14ac:dyDescent="0.2">
      <c r="B22" t="s">
        <v>5</v>
      </c>
      <c r="E22" s="3">
        <f>ROUND(E15/6,0)</f>
        <v>290168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145084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I6" s="73"/>
      <c r="J6" s="73"/>
      <c r="K6" s="73"/>
      <c r="L6" s="73"/>
      <c r="M6" s="73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ht="15.75" x14ac:dyDescent="0.25">
      <c r="B8" s="7"/>
      <c r="C8" s="7"/>
      <c r="D8" s="8" t="s">
        <v>8</v>
      </c>
      <c r="E8" s="8" t="s">
        <v>9</v>
      </c>
      <c r="F8" s="7"/>
      <c r="G8" s="7"/>
      <c r="I8" s="74" t="s">
        <v>103</v>
      </c>
      <c r="J8" s="73"/>
      <c r="K8" s="73"/>
      <c r="L8" s="73"/>
      <c r="M8" s="73"/>
    </row>
    <row r="9" spans="1:13" ht="15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  <c r="I9" s="73"/>
      <c r="J9" s="73"/>
      <c r="K9" s="73"/>
      <c r="L9" s="73"/>
      <c r="M9" s="73"/>
    </row>
    <row r="10" spans="1:13" ht="15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  <c r="I10" s="75"/>
      <c r="J10" s="75"/>
      <c r="K10" s="76" t="s">
        <v>7</v>
      </c>
      <c r="L10" s="75"/>
      <c r="M10" s="75"/>
    </row>
    <row r="11" spans="1:13" ht="15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7"/>
      <c r="J11" s="78" t="s">
        <v>8</v>
      </c>
      <c r="K11" s="78" t="s">
        <v>9</v>
      </c>
      <c r="L11" s="77"/>
      <c r="M11" s="77"/>
    </row>
    <row r="12" spans="1:13" ht="15" x14ac:dyDescent="0.2">
      <c r="B12" s="6">
        <v>1</v>
      </c>
      <c r="C12" s="109" t="s">
        <v>22</v>
      </c>
      <c r="D12" s="110"/>
      <c r="E12" s="110"/>
      <c r="F12" s="110"/>
      <c r="G12" s="111"/>
      <c r="I12" s="77"/>
      <c r="J12" s="78" t="s">
        <v>10</v>
      </c>
      <c r="K12" s="78" t="s">
        <v>11</v>
      </c>
      <c r="L12" s="78" t="s">
        <v>12</v>
      </c>
      <c r="M12" s="78" t="s">
        <v>13</v>
      </c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719899</v>
      </c>
      <c r="I13" s="79"/>
      <c r="J13" s="79" t="s">
        <v>14</v>
      </c>
      <c r="K13" s="79" t="s">
        <v>14</v>
      </c>
      <c r="L13" s="79" t="s">
        <v>15</v>
      </c>
      <c r="M13" s="79" t="s">
        <v>15</v>
      </c>
    </row>
    <row r="14" spans="1:13" ht="15" x14ac:dyDescent="0.2">
      <c r="B14" s="9" t="s">
        <v>24</v>
      </c>
      <c r="C14" s="12" t="s">
        <v>27</v>
      </c>
      <c r="D14" s="12"/>
      <c r="E14" s="12"/>
      <c r="F14" s="15"/>
      <c r="G14" s="16">
        <f>G13</f>
        <v>719899</v>
      </c>
      <c r="I14" s="80" t="s">
        <v>17</v>
      </c>
      <c r="J14" s="81" t="s">
        <v>96</v>
      </c>
      <c r="K14" s="81" t="s">
        <v>18</v>
      </c>
      <c r="L14" s="81" t="s">
        <v>19</v>
      </c>
      <c r="M14" s="81" t="s">
        <v>20</v>
      </c>
    </row>
    <row r="15" spans="1:13" ht="15" x14ac:dyDescent="0.2">
      <c r="B15" s="8">
        <v>2</v>
      </c>
      <c r="C15" s="17">
        <v>44562</v>
      </c>
      <c r="D15" s="57">
        <f>1176557-1330-(795+0)</f>
        <v>1174432</v>
      </c>
      <c r="E15" s="58">
        <f>1003059.91+5798.47+170196.33+149659.04+458.3+23764.36</f>
        <v>1352936.4100000001</v>
      </c>
      <c r="F15" s="18">
        <f t="shared" ref="F15:F22" si="0">D15-E15</f>
        <v>-178504.41000000015</v>
      </c>
      <c r="G15" s="16">
        <f t="shared" ref="G15:G22" si="1">G14+F15</f>
        <v>541394.58999999985</v>
      </c>
      <c r="I15" s="82">
        <v>44562</v>
      </c>
      <c r="J15" s="83">
        <v>314570</v>
      </c>
      <c r="K15" s="83">
        <v>314570</v>
      </c>
      <c r="L15" s="84">
        <f t="shared" ref="L15:L22" si="2">J15-K15</f>
        <v>0</v>
      </c>
      <c r="M15" s="84">
        <f>L15</f>
        <v>0</v>
      </c>
    </row>
    <row r="16" spans="1:13" ht="15" x14ac:dyDescent="0.2">
      <c r="B16" s="8">
        <v>3</v>
      </c>
      <c r="C16" s="19">
        <v>44593</v>
      </c>
      <c r="D16" s="59">
        <f>991925-1313-(781+0)</f>
        <v>989831</v>
      </c>
      <c r="E16" s="60">
        <f>1114802.81+5722.9+186012.6+32469.18+393.83+30670.46</f>
        <v>1370071.78</v>
      </c>
      <c r="F16" s="20">
        <f t="shared" si="0"/>
        <v>-380240.78</v>
      </c>
      <c r="G16" s="21">
        <f t="shared" si="1"/>
        <v>161153.80999999982</v>
      </c>
      <c r="I16" s="85">
        <v>44593</v>
      </c>
      <c r="J16" s="86">
        <v>513844</v>
      </c>
      <c r="K16" s="86">
        <v>513844</v>
      </c>
      <c r="L16" s="87">
        <f t="shared" si="2"/>
        <v>0</v>
      </c>
      <c r="M16" s="87">
        <f>M15+L16</f>
        <v>0</v>
      </c>
    </row>
    <row r="17" spans="2:13" ht="15" x14ac:dyDescent="0.2">
      <c r="B17" s="8">
        <v>4</v>
      </c>
      <c r="C17" s="19">
        <v>44621</v>
      </c>
      <c r="D17" s="59">
        <f>651300-1011-(601+0)</f>
        <v>649688</v>
      </c>
      <c r="E17" s="60">
        <f>773411.8+5397.15+144884.74+53200.69+319.55+22600.53</f>
        <v>999814.4600000002</v>
      </c>
      <c r="F17" s="20">
        <f t="shared" si="0"/>
        <v>-350126.4600000002</v>
      </c>
      <c r="G17" s="21">
        <f t="shared" si="1"/>
        <v>-188972.65000000037</v>
      </c>
      <c r="I17" s="85">
        <v>44621</v>
      </c>
      <c r="J17" s="86">
        <v>464134</v>
      </c>
      <c r="K17" s="86">
        <f>463588+546</f>
        <v>464134</v>
      </c>
      <c r="L17" s="87">
        <f t="shared" si="2"/>
        <v>0</v>
      </c>
      <c r="M17" s="87">
        <f t="shared" ref="M17:M20" si="3">M16+L17</f>
        <v>0</v>
      </c>
    </row>
    <row r="18" spans="2:13" ht="15" x14ac:dyDescent="0.2">
      <c r="B18" s="8">
        <v>5</v>
      </c>
      <c r="C18" s="19">
        <v>44652</v>
      </c>
      <c r="D18" s="59">
        <f>816856-1488-(881+0)</f>
        <v>814487</v>
      </c>
      <c r="E18" s="60">
        <f>293446.66+2267.74+55480.23-20780.78+121.81+8921.44</f>
        <v>339457.1</v>
      </c>
      <c r="F18" s="20">
        <f t="shared" si="0"/>
        <v>475029.9</v>
      </c>
      <c r="G18" s="21">
        <f t="shared" si="1"/>
        <v>286057.24999999965</v>
      </c>
      <c r="I18" s="85">
        <v>44652</v>
      </c>
      <c r="J18" s="86">
        <v>608473</v>
      </c>
      <c r="K18" s="86">
        <f>607375+1098</f>
        <v>608473</v>
      </c>
      <c r="L18" s="87">
        <f t="shared" si="2"/>
        <v>0</v>
      </c>
      <c r="M18" s="87">
        <f t="shared" si="3"/>
        <v>0</v>
      </c>
    </row>
    <row r="19" spans="2:13" ht="15" x14ac:dyDescent="0.2">
      <c r="B19" s="8">
        <v>6</v>
      </c>
      <c r="C19" s="19">
        <v>44682</v>
      </c>
      <c r="D19" s="59">
        <f>980119-1584-(935+0)</f>
        <v>977600</v>
      </c>
      <c r="E19" s="60">
        <f>679524.88+5787.44+158781.56+13959.74+269.49+20861.09</f>
        <v>879184.19999999984</v>
      </c>
      <c r="F19" s="20">
        <f t="shared" si="0"/>
        <v>98415.800000000163</v>
      </c>
      <c r="G19" s="21">
        <f t="shared" si="1"/>
        <v>384473.04999999981</v>
      </c>
      <c r="I19" s="85">
        <v>44682</v>
      </c>
      <c r="J19" s="86">
        <v>630504</v>
      </c>
      <c r="K19" s="88">
        <v>630504</v>
      </c>
      <c r="L19" s="87">
        <f t="shared" si="2"/>
        <v>0</v>
      </c>
      <c r="M19" s="87">
        <f t="shared" si="3"/>
        <v>0</v>
      </c>
    </row>
    <row r="20" spans="2:13" ht="15" x14ac:dyDescent="0.2">
      <c r="B20" s="8">
        <v>7</v>
      </c>
      <c r="C20" s="19">
        <v>44713</v>
      </c>
      <c r="D20" s="59">
        <f>1335707-337-(1051+0)</f>
        <v>1334319</v>
      </c>
      <c r="E20" s="60">
        <f>713969.45+5425.74+149739.07+10198.78+230.72+20391.18</f>
        <v>899954.94000000006</v>
      </c>
      <c r="F20" s="22">
        <f t="shared" si="0"/>
        <v>434364.05999999994</v>
      </c>
      <c r="G20" s="23">
        <f t="shared" si="1"/>
        <v>818837.10999999975</v>
      </c>
      <c r="I20" s="89">
        <v>44713</v>
      </c>
      <c r="J20" s="90">
        <v>544866</v>
      </c>
      <c r="K20" s="90">
        <v>544866</v>
      </c>
      <c r="L20" s="91">
        <f t="shared" si="2"/>
        <v>0</v>
      </c>
      <c r="M20" s="91">
        <f t="shared" si="3"/>
        <v>0</v>
      </c>
    </row>
    <row r="21" spans="2:13" ht="15" x14ac:dyDescent="0.2">
      <c r="B21" s="24" t="s">
        <v>28</v>
      </c>
      <c r="C21" s="17">
        <v>44743</v>
      </c>
      <c r="D21" s="57">
        <f>1557265-1718-(1011+0)</f>
        <v>1554536</v>
      </c>
      <c r="E21" s="58">
        <f>1060314.68+6614.63+205924.18+18571.38+273.83+23262.69</f>
        <v>1314961.3899999997</v>
      </c>
      <c r="F21" s="18">
        <f t="shared" si="0"/>
        <v>239574.61000000034</v>
      </c>
      <c r="G21" s="16">
        <f t="shared" si="1"/>
        <v>1058411.7200000002</v>
      </c>
      <c r="I21" s="85">
        <v>44743</v>
      </c>
      <c r="J21" s="83">
        <v>806432</v>
      </c>
      <c r="K21" s="83">
        <v>806432</v>
      </c>
      <c r="L21" s="87">
        <f t="shared" si="2"/>
        <v>0</v>
      </c>
      <c r="M21" s="87">
        <f>M20+L21</f>
        <v>0</v>
      </c>
    </row>
    <row r="22" spans="2:13" ht="15" x14ac:dyDescent="0.2">
      <c r="B22" s="25" t="s">
        <v>29</v>
      </c>
      <c r="C22" s="26">
        <v>44774</v>
      </c>
      <c r="D22" s="61">
        <f>1169390-274-(828+0)</f>
        <v>1168288</v>
      </c>
      <c r="E22" s="62">
        <f>1009438.36+6799.81+220382.35+117644.36+285.4+24755.14</f>
        <v>1379305.42</v>
      </c>
      <c r="F22" s="22">
        <f t="shared" si="0"/>
        <v>-211017.41999999993</v>
      </c>
      <c r="G22" s="23">
        <f t="shared" si="1"/>
        <v>847394.30000000028</v>
      </c>
      <c r="I22" s="89">
        <v>44774</v>
      </c>
      <c r="J22" s="90">
        <v>737707</v>
      </c>
      <c r="K22" s="90">
        <v>737707</v>
      </c>
      <c r="L22" s="91">
        <f t="shared" si="2"/>
        <v>0</v>
      </c>
      <c r="M22" s="91">
        <f>M21+L22</f>
        <v>0</v>
      </c>
    </row>
    <row r="23" spans="2:13" ht="15" x14ac:dyDescent="0.2">
      <c r="B23" s="9"/>
      <c r="C23" s="27" t="s">
        <v>61</v>
      </c>
      <c r="D23" s="28"/>
      <c r="E23" s="28"/>
      <c r="F23" s="28"/>
      <c r="G23" s="29"/>
      <c r="I23" s="73"/>
      <c r="J23" s="73"/>
      <c r="K23" s="73"/>
      <c r="L23" s="73"/>
      <c r="M23" s="73"/>
    </row>
    <row r="24" spans="2:13" ht="15" x14ac:dyDescent="0.2">
      <c r="B24" s="6"/>
      <c r="C24" s="5"/>
      <c r="D24" s="5"/>
      <c r="E24" s="5"/>
      <c r="F24" s="5"/>
      <c r="G24" s="16"/>
      <c r="I24" s="92" t="s">
        <v>97</v>
      </c>
      <c r="J24" s="93"/>
      <c r="K24" s="93"/>
      <c r="L24" s="94"/>
      <c r="M24" s="95">
        <f>M20</f>
        <v>0</v>
      </c>
    </row>
    <row r="25" spans="2:13" ht="15" x14ac:dyDescent="0.2">
      <c r="B25" s="8"/>
      <c r="C25" s="7"/>
      <c r="D25" s="8" t="s">
        <v>30</v>
      </c>
      <c r="E25" s="8" t="s">
        <v>31</v>
      </c>
      <c r="F25" s="7"/>
      <c r="G25" s="21"/>
      <c r="I25" s="73"/>
      <c r="J25" s="73"/>
      <c r="K25" s="73"/>
      <c r="L25" s="73"/>
      <c r="M25" s="96"/>
    </row>
    <row r="26" spans="2:13" ht="15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  <c r="I26" s="92" t="s">
        <v>98</v>
      </c>
      <c r="J26" s="93"/>
      <c r="K26" s="93"/>
      <c r="L26" s="94"/>
      <c r="M26" s="95">
        <f>M24/6</f>
        <v>0</v>
      </c>
    </row>
    <row r="27" spans="2:13" ht="15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  <c r="I27" s="73"/>
      <c r="J27" s="73"/>
      <c r="K27" s="73"/>
      <c r="L27" s="73"/>
      <c r="M27" s="73"/>
    </row>
    <row r="28" spans="2:13" ht="15.75" x14ac:dyDescent="0.25">
      <c r="B28" s="8"/>
      <c r="C28" s="7"/>
      <c r="D28" s="8" t="s">
        <v>37</v>
      </c>
      <c r="E28" s="8" t="s">
        <v>38</v>
      </c>
      <c r="F28" s="7"/>
      <c r="G28" s="30" t="s">
        <v>39</v>
      </c>
      <c r="I28" s="74" t="s">
        <v>104</v>
      </c>
      <c r="J28" s="73"/>
      <c r="K28" s="73"/>
      <c r="L28" s="73"/>
      <c r="M28" s="73"/>
    </row>
    <row r="29" spans="2:13" ht="15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  <c r="I29" s="73"/>
      <c r="J29" s="73"/>
      <c r="K29" s="73"/>
      <c r="L29" s="73"/>
      <c r="M29" s="73"/>
    </row>
    <row r="30" spans="2:13" ht="15" x14ac:dyDescent="0.2">
      <c r="B30" s="6" t="s">
        <v>43</v>
      </c>
      <c r="C30" s="64" t="s">
        <v>82</v>
      </c>
      <c r="D30" s="39">
        <f>-G13</f>
        <v>-719899</v>
      </c>
      <c r="E30" s="39">
        <f>D60</f>
        <v>0</v>
      </c>
      <c r="F30" s="64"/>
      <c r="G30" s="39">
        <f>D30+E30</f>
        <v>-719899</v>
      </c>
      <c r="I30" s="75"/>
      <c r="J30" s="75"/>
      <c r="K30" s="76" t="s">
        <v>7</v>
      </c>
      <c r="L30" s="75"/>
      <c r="M30" s="75"/>
    </row>
    <row r="31" spans="2:13" ht="15" x14ac:dyDescent="0.2">
      <c r="B31" s="9" t="s">
        <v>44</v>
      </c>
      <c r="C31" s="33"/>
      <c r="D31" s="34"/>
      <c r="E31" s="34"/>
      <c r="F31" s="35" t="s">
        <v>47</v>
      </c>
      <c r="G31" s="23">
        <f>G30</f>
        <v>-719899</v>
      </c>
      <c r="I31" s="77"/>
      <c r="J31" s="78" t="s">
        <v>8</v>
      </c>
      <c r="K31" s="78" t="s">
        <v>9</v>
      </c>
      <c r="L31" s="77"/>
      <c r="M31" s="77"/>
    </row>
    <row r="32" spans="2:13" ht="15" x14ac:dyDescent="0.2">
      <c r="B32" s="36"/>
      <c r="G32" s="37"/>
      <c r="I32" s="77"/>
      <c r="J32" s="78" t="s">
        <v>10</v>
      </c>
      <c r="K32" s="78" t="s">
        <v>11</v>
      </c>
      <c r="L32" s="78" t="s">
        <v>12</v>
      </c>
      <c r="M32" s="78" t="s">
        <v>13</v>
      </c>
    </row>
    <row r="33" spans="2:13" ht="15" x14ac:dyDescent="0.2">
      <c r="B33" s="10">
        <v>9</v>
      </c>
      <c r="C33" s="38" t="s">
        <v>83</v>
      </c>
      <c r="D33" s="12"/>
      <c r="E33" s="12"/>
      <c r="F33" s="13"/>
      <c r="G33" s="39">
        <f>G20+G31</f>
        <v>98938.109999999753</v>
      </c>
      <c r="I33" s="79"/>
      <c r="J33" s="79" t="s">
        <v>14</v>
      </c>
      <c r="K33" s="79" t="s">
        <v>14</v>
      </c>
      <c r="L33" s="79" t="s">
        <v>15</v>
      </c>
      <c r="M33" s="79" t="s">
        <v>15</v>
      </c>
    </row>
    <row r="34" spans="2:13" ht="15" x14ac:dyDescent="0.2">
      <c r="B34" s="36"/>
      <c r="G34" s="37"/>
      <c r="I34" s="80" t="s">
        <v>17</v>
      </c>
      <c r="J34" s="81" t="s">
        <v>96</v>
      </c>
      <c r="K34" s="81" t="s">
        <v>18</v>
      </c>
      <c r="L34" s="81" t="s">
        <v>19</v>
      </c>
      <c r="M34" s="81" t="s">
        <v>20</v>
      </c>
    </row>
    <row r="35" spans="2:13" ht="15" x14ac:dyDescent="0.2">
      <c r="B35" s="10">
        <v>10</v>
      </c>
      <c r="C35" s="38" t="s">
        <v>62</v>
      </c>
      <c r="D35" s="12"/>
      <c r="E35" s="12"/>
      <c r="F35" s="13"/>
      <c r="G35" s="39">
        <f>G33/6</f>
        <v>16489.684999999958</v>
      </c>
      <c r="I35" s="82">
        <v>44562</v>
      </c>
      <c r="J35" s="97">
        <f>171913+(795+0)</f>
        <v>172708</v>
      </c>
      <c r="K35" s="83">
        <v>172708</v>
      </c>
      <c r="L35" s="84">
        <f>J35-K35</f>
        <v>0</v>
      </c>
      <c r="M35" s="84">
        <f>+L35</f>
        <v>0</v>
      </c>
    </row>
    <row r="36" spans="2:13" ht="15" x14ac:dyDescent="0.2">
      <c r="I36" s="85">
        <v>44593</v>
      </c>
      <c r="J36" s="97">
        <f>177298+(781+0)</f>
        <v>178079</v>
      </c>
      <c r="K36" s="86">
        <v>178079</v>
      </c>
      <c r="L36" s="87">
        <f>J36-K36</f>
        <v>0</v>
      </c>
      <c r="M36" s="87">
        <f>M35+L36</f>
        <v>0</v>
      </c>
    </row>
    <row r="37" spans="2:13" ht="15" x14ac:dyDescent="0.2">
      <c r="B37" s="5"/>
      <c r="C37" s="40" t="s">
        <v>48</v>
      </c>
      <c r="D37" s="41"/>
      <c r="E37" s="41"/>
      <c r="F37" s="41"/>
      <c r="G37" s="42"/>
      <c r="I37" s="85">
        <v>44621</v>
      </c>
      <c r="J37" s="86">
        <f>153976+(601+0)</f>
        <v>154577</v>
      </c>
      <c r="K37" s="86">
        <v>154577</v>
      </c>
      <c r="L37" s="87">
        <f t="shared" ref="L37:L40" si="4">J37-K37</f>
        <v>0</v>
      </c>
      <c r="M37" s="87">
        <f t="shared" ref="M37:M40" si="5">M36+L37</f>
        <v>0</v>
      </c>
    </row>
    <row r="38" spans="2:13" ht="15" x14ac:dyDescent="0.2">
      <c r="B38" s="5"/>
      <c r="C38" s="43"/>
      <c r="D38" s="43"/>
      <c r="E38" s="43"/>
      <c r="F38" s="43"/>
      <c r="G38" s="15"/>
      <c r="I38" s="85">
        <v>44652</v>
      </c>
      <c r="J38" s="86">
        <f>195994+(881+0)</f>
        <v>196875</v>
      </c>
      <c r="K38" s="86">
        <v>196875</v>
      </c>
      <c r="L38" s="87">
        <f t="shared" si="4"/>
        <v>0</v>
      </c>
      <c r="M38" s="87">
        <f t="shared" si="5"/>
        <v>0</v>
      </c>
    </row>
    <row r="39" spans="2:13" ht="15" x14ac:dyDescent="0.2">
      <c r="B39" s="8">
        <v>11</v>
      </c>
      <c r="C39" s="44" t="s">
        <v>49</v>
      </c>
      <c r="D39" s="44"/>
      <c r="E39" s="44"/>
      <c r="F39" s="44"/>
      <c r="G39" s="45">
        <f>G14</f>
        <v>719899</v>
      </c>
      <c r="I39" s="85">
        <v>44682</v>
      </c>
      <c r="J39" s="86">
        <f>220149+(935+0)</f>
        <v>221084</v>
      </c>
      <c r="K39" s="88">
        <v>221084</v>
      </c>
      <c r="L39" s="87">
        <f t="shared" si="4"/>
        <v>0</v>
      </c>
      <c r="M39" s="87">
        <f t="shared" si="5"/>
        <v>0</v>
      </c>
    </row>
    <row r="40" spans="2:13" ht="15" x14ac:dyDescent="0.2">
      <c r="B40" s="8">
        <v>12</v>
      </c>
      <c r="C40" s="44" t="s">
        <v>50</v>
      </c>
      <c r="D40" s="44"/>
      <c r="E40" s="44"/>
      <c r="F40" s="44"/>
      <c r="G40" s="46">
        <f>G31</f>
        <v>-719899</v>
      </c>
      <c r="I40" s="89">
        <v>44713</v>
      </c>
      <c r="J40" s="90">
        <f>253958+(1051+0)</f>
        <v>255009</v>
      </c>
      <c r="K40" s="90">
        <v>255009</v>
      </c>
      <c r="L40" s="91">
        <f t="shared" si="4"/>
        <v>0</v>
      </c>
      <c r="M40" s="91">
        <f t="shared" si="5"/>
        <v>0</v>
      </c>
    </row>
    <row r="41" spans="2:13" ht="15" x14ac:dyDescent="0.2">
      <c r="B41" s="8"/>
      <c r="C41" s="44"/>
      <c r="D41" s="44"/>
      <c r="E41" s="44"/>
      <c r="F41" s="44"/>
      <c r="G41" s="45"/>
      <c r="I41" s="85">
        <v>44743</v>
      </c>
      <c r="J41" s="83">
        <f>287481+(1011+0)</f>
        <v>288492</v>
      </c>
      <c r="K41" s="83">
        <f>104939+19607+163946</f>
        <v>288492</v>
      </c>
      <c r="L41" s="87">
        <f>J41-K41</f>
        <v>0</v>
      </c>
      <c r="M41" s="87">
        <f>M40+L41</f>
        <v>0</v>
      </c>
    </row>
    <row r="42" spans="2:13" ht="15.7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  <c r="I42" s="89">
        <v>44774</v>
      </c>
      <c r="J42" s="90">
        <f>220837+(828+0)</f>
        <v>221665</v>
      </c>
      <c r="K42" s="90">
        <f>88032+15370+118263</f>
        <v>221665</v>
      </c>
      <c r="L42" s="91">
        <f>J42-K42</f>
        <v>0</v>
      </c>
      <c r="M42" s="91">
        <f>M41+L42</f>
        <v>0</v>
      </c>
    </row>
    <row r="43" spans="2:13" ht="15.75" thickTop="1" x14ac:dyDescent="0.2">
      <c r="B43" s="8"/>
      <c r="C43" s="44"/>
      <c r="D43" s="44"/>
      <c r="E43" s="44"/>
      <c r="F43" s="44"/>
      <c r="G43" s="45"/>
      <c r="I43" s="73"/>
      <c r="J43" s="73"/>
      <c r="K43" s="73"/>
      <c r="L43" s="73"/>
      <c r="M43" s="73"/>
    </row>
    <row r="44" spans="2:13" ht="15" x14ac:dyDescent="0.2">
      <c r="B44" s="8">
        <v>14</v>
      </c>
      <c r="C44" s="44" t="s">
        <v>52</v>
      </c>
      <c r="D44" s="44"/>
      <c r="E44" s="44"/>
      <c r="F44" s="44"/>
      <c r="G44" s="45">
        <f>G33</f>
        <v>98938.109999999753</v>
      </c>
      <c r="I44" s="92" t="s">
        <v>97</v>
      </c>
      <c r="J44" s="93"/>
      <c r="K44" s="93"/>
      <c r="L44" s="94"/>
      <c r="M44" s="95">
        <f>M40</f>
        <v>0</v>
      </c>
    </row>
    <row r="45" spans="2:13" ht="15" x14ac:dyDescent="0.2">
      <c r="B45" s="8"/>
      <c r="C45" s="44"/>
      <c r="D45" s="44"/>
      <c r="E45" s="44"/>
      <c r="F45" s="44"/>
      <c r="G45" s="45"/>
      <c r="I45" s="73"/>
      <c r="J45" s="73"/>
      <c r="K45" s="73"/>
      <c r="L45" s="73"/>
      <c r="M45" s="96"/>
    </row>
    <row r="46" spans="2:13" ht="15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98938.109999999753</v>
      </c>
      <c r="I46" s="92" t="s">
        <v>98</v>
      </c>
      <c r="J46" s="93"/>
      <c r="K46" s="93"/>
      <c r="L46" s="94"/>
      <c r="M46" s="95">
        <f>M44/6</f>
        <v>0</v>
      </c>
    </row>
    <row r="47" spans="2:13" x14ac:dyDescent="0.2">
      <c r="B47" s="8"/>
      <c r="C47" s="44"/>
      <c r="D47" s="44"/>
      <c r="E47" s="44"/>
      <c r="F47" s="44"/>
      <c r="G47" s="45"/>
    </row>
    <row r="48" spans="2:13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100"/>
      <c r="G52" s="100"/>
    </row>
    <row r="53" spans="2:7" x14ac:dyDescent="0.2">
      <c r="B53" s="36"/>
      <c r="C53" s="9" t="s">
        <v>17</v>
      </c>
      <c r="D53" s="9" t="s">
        <v>105</v>
      </c>
      <c r="E53" s="31"/>
      <c r="F53" s="100"/>
      <c r="G53" s="100"/>
    </row>
    <row r="54" spans="2:7" x14ac:dyDescent="0.2">
      <c r="C54" s="17">
        <v>44562</v>
      </c>
      <c r="D54" s="50">
        <v>0</v>
      </c>
      <c r="E54" s="101"/>
      <c r="F54" s="70"/>
      <c r="G54" s="70"/>
    </row>
    <row r="55" spans="2:7" x14ac:dyDescent="0.2">
      <c r="C55" s="19">
        <v>44593</v>
      </c>
      <c r="D55" s="51">
        <v>0</v>
      </c>
      <c r="E55" s="101"/>
      <c r="F55" s="70"/>
      <c r="G55" s="70"/>
    </row>
    <row r="56" spans="2:7" x14ac:dyDescent="0.2">
      <c r="C56" s="19">
        <v>44621</v>
      </c>
      <c r="D56" s="51">
        <v>0</v>
      </c>
      <c r="E56" s="101"/>
      <c r="F56" s="70"/>
      <c r="G56" s="70"/>
    </row>
    <row r="57" spans="2:7" x14ac:dyDescent="0.2">
      <c r="C57" s="19">
        <v>44652</v>
      </c>
      <c r="D57" s="51">
        <v>0</v>
      </c>
      <c r="E57" s="101"/>
      <c r="F57" s="70"/>
      <c r="G57" s="70"/>
    </row>
    <row r="58" spans="2:7" x14ac:dyDescent="0.2">
      <c r="C58" s="19">
        <v>44682</v>
      </c>
      <c r="D58" s="51">
        <v>0</v>
      </c>
      <c r="E58" s="101"/>
      <c r="F58" s="70"/>
      <c r="G58" s="70"/>
    </row>
    <row r="59" spans="2:7" x14ac:dyDescent="0.2">
      <c r="C59" s="19">
        <v>44713</v>
      </c>
      <c r="D59" s="52">
        <v>0</v>
      </c>
      <c r="E59" s="101"/>
      <c r="F59" s="70"/>
      <c r="G59" s="70"/>
    </row>
    <row r="60" spans="2:7" x14ac:dyDescent="0.2">
      <c r="C60" s="53" t="s">
        <v>57</v>
      </c>
      <c r="D60" s="39">
        <f>SUM(D54:D59)</f>
        <v>0</v>
      </c>
      <c r="E60" s="20"/>
      <c r="F60" s="70"/>
      <c r="G60" s="70"/>
    </row>
  </sheetData>
  <mergeCells count="3">
    <mergeCell ref="B4:G5"/>
    <mergeCell ref="C12:G12"/>
    <mergeCell ref="I4:M5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I6" s="73"/>
      <c r="J6" s="73"/>
      <c r="K6" s="73"/>
      <c r="L6" s="73"/>
      <c r="M6" s="73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ht="15.75" x14ac:dyDescent="0.25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  <c r="I9" s="74" t="s">
        <v>103</v>
      </c>
      <c r="J9" s="73"/>
      <c r="K9" s="73"/>
      <c r="L9" s="73"/>
      <c r="M9" s="73"/>
    </row>
    <row r="10" spans="1:13" ht="15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  <c r="I10" s="73"/>
      <c r="J10" s="73"/>
      <c r="K10" s="73"/>
      <c r="L10" s="73"/>
      <c r="M10" s="73"/>
    </row>
    <row r="11" spans="1:13" ht="15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5"/>
      <c r="J11" s="75"/>
      <c r="K11" s="76" t="s">
        <v>7</v>
      </c>
      <c r="L11" s="75"/>
      <c r="M11" s="75"/>
    </row>
    <row r="12" spans="1:13" ht="15" x14ac:dyDescent="0.2">
      <c r="B12" s="6">
        <v>1</v>
      </c>
      <c r="C12" s="109" t="s">
        <v>22</v>
      </c>
      <c r="D12" s="110"/>
      <c r="E12" s="110"/>
      <c r="F12" s="110"/>
      <c r="G12" s="111"/>
      <c r="I12" s="77"/>
      <c r="J12" s="78" t="s">
        <v>8</v>
      </c>
      <c r="K12" s="78" t="s">
        <v>9</v>
      </c>
      <c r="L12" s="77"/>
      <c r="M12" s="77"/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719899</v>
      </c>
      <c r="I13" s="77"/>
      <c r="J13" s="78" t="s">
        <v>10</v>
      </c>
      <c r="K13" s="78" t="s">
        <v>11</v>
      </c>
      <c r="L13" s="78" t="s">
        <v>12</v>
      </c>
      <c r="M13" s="78" t="s">
        <v>13</v>
      </c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98938.109999999753</v>
      </c>
      <c r="I14" s="79"/>
      <c r="J14" s="79" t="s">
        <v>14</v>
      </c>
      <c r="K14" s="79" t="s">
        <v>14</v>
      </c>
      <c r="L14" s="79" t="s">
        <v>15</v>
      </c>
      <c r="M14" s="79" t="s">
        <v>15</v>
      </c>
    </row>
    <row r="15" spans="1:13" ht="15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818837.10999999975</v>
      </c>
      <c r="I15" s="80" t="s">
        <v>17</v>
      </c>
      <c r="J15" s="81" t="s">
        <v>96</v>
      </c>
      <c r="K15" s="81" t="s">
        <v>18</v>
      </c>
      <c r="L15" s="81" t="s">
        <v>19</v>
      </c>
      <c r="M15" s="81" t="s">
        <v>20</v>
      </c>
    </row>
    <row r="16" spans="1:13" ht="15" x14ac:dyDescent="0.2">
      <c r="B16" s="8">
        <v>2</v>
      </c>
      <c r="C16" s="17">
        <v>44743</v>
      </c>
      <c r="D16" s="57">
        <f>1557265-1718-(1011+0)</f>
        <v>1554536</v>
      </c>
      <c r="E16" s="58">
        <f>1060314.68+6614.63+205924.18+18571.38+273.83+23262.69</f>
        <v>1314961.3899999997</v>
      </c>
      <c r="F16" s="18">
        <f t="shared" ref="F16:F23" si="0">D16-E16</f>
        <v>239574.61000000034</v>
      </c>
      <c r="G16" s="16">
        <f t="shared" ref="G16:G23" si="1">G15+F16</f>
        <v>1058411.7200000002</v>
      </c>
      <c r="I16" s="82">
        <v>44743</v>
      </c>
      <c r="J16" s="83">
        <v>806432</v>
      </c>
      <c r="K16" s="83">
        <v>806432</v>
      </c>
      <c r="L16" s="84">
        <f t="shared" ref="L16:L23" si="2">J16-K16</f>
        <v>0</v>
      </c>
      <c r="M16" s="84">
        <f>L16</f>
        <v>0</v>
      </c>
    </row>
    <row r="17" spans="2:13" ht="15" x14ac:dyDescent="0.2">
      <c r="B17" s="8">
        <v>3</v>
      </c>
      <c r="C17" s="19">
        <v>44774</v>
      </c>
      <c r="D17" s="59">
        <f>1169390-274-(828+0)</f>
        <v>1168288</v>
      </c>
      <c r="E17" s="60">
        <f>1009438.36+6799.81+220382.35+117644.36+285.4+24755.14</f>
        <v>1379305.42</v>
      </c>
      <c r="F17" s="20">
        <f t="shared" si="0"/>
        <v>-211017.41999999993</v>
      </c>
      <c r="G17" s="21">
        <f t="shared" si="1"/>
        <v>847394.30000000028</v>
      </c>
      <c r="I17" s="85">
        <v>44774</v>
      </c>
      <c r="J17" s="86">
        <v>737707</v>
      </c>
      <c r="K17" s="86">
        <v>737707</v>
      </c>
      <c r="L17" s="87">
        <f t="shared" si="2"/>
        <v>0</v>
      </c>
      <c r="M17" s="87">
        <f>M16+L17</f>
        <v>0</v>
      </c>
    </row>
    <row r="18" spans="2:13" ht="15" x14ac:dyDescent="0.2">
      <c r="B18" s="8">
        <v>4</v>
      </c>
      <c r="C18" s="19">
        <v>44805</v>
      </c>
      <c r="D18" s="59">
        <f>835470-0-(657+0)</f>
        <v>834813</v>
      </c>
      <c r="E18" s="60">
        <f>506555.87+3296.62+110975.13+64187.83+179.56+15341.98</f>
        <v>700536.99</v>
      </c>
      <c r="F18" s="20">
        <f t="shared" si="0"/>
        <v>134276.01</v>
      </c>
      <c r="G18" s="21">
        <f t="shared" si="1"/>
        <v>981670.31000000029</v>
      </c>
      <c r="I18" s="85">
        <v>44805</v>
      </c>
      <c r="J18" s="86">
        <v>655365</v>
      </c>
      <c r="K18" s="86">
        <v>655365</v>
      </c>
      <c r="L18" s="87">
        <f t="shared" si="2"/>
        <v>0</v>
      </c>
      <c r="M18" s="87">
        <f t="shared" ref="M18:M21" si="3">M17+L18</f>
        <v>0</v>
      </c>
    </row>
    <row r="19" spans="2:13" ht="15" x14ac:dyDescent="0.2">
      <c r="B19" s="8">
        <v>5</v>
      </c>
      <c r="C19" s="19">
        <v>44835</v>
      </c>
      <c r="D19" s="59">
        <f>826951-1321-(780+0)</f>
        <v>824850</v>
      </c>
      <c r="E19" s="60">
        <f>259800.14+2276.1+61352.66-10790.15+133.36+9582.14</f>
        <v>322354.25</v>
      </c>
      <c r="F19" s="20">
        <f t="shared" si="0"/>
        <v>502495.75</v>
      </c>
      <c r="G19" s="21">
        <f t="shared" si="1"/>
        <v>1484166.0600000003</v>
      </c>
      <c r="I19" s="85">
        <v>44835</v>
      </c>
      <c r="J19" s="86">
        <v>845630</v>
      </c>
      <c r="K19" s="86">
        <v>845630</v>
      </c>
      <c r="L19" s="87">
        <f t="shared" si="2"/>
        <v>0</v>
      </c>
      <c r="M19" s="87">
        <f t="shared" si="3"/>
        <v>0</v>
      </c>
    </row>
    <row r="20" spans="2:13" ht="15" x14ac:dyDescent="0.2">
      <c r="B20" s="8">
        <v>6</v>
      </c>
      <c r="C20" s="19">
        <v>44866</v>
      </c>
      <c r="D20" s="59">
        <f>1023284-1471-(865+0)</f>
        <v>1020948</v>
      </c>
      <c r="E20" s="60">
        <f>569656.93+4814.72+136992.06+342.57+17884.98+45169.04</f>
        <v>774860.29999999993</v>
      </c>
      <c r="F20" s="20">
        <f t="shared" si="0"/>
        <v>246087.70000000007</v>
      </c>
      <c r="G20" s="21">
        <f t="shared" si="1"/>
        <v>1730253.7600000002</v>
      </c>
      <c r="I20" s="85">
        <v>44866</v>
      </c>
      <c r="J20" s="86">
        <v>813453</v>
      </c>
      <c r="K20" s="88">
        <v>813453</v>
      </c>
      <c r="L20" s="87">
        <f t="shared" si="2"/>
        <v>0</v>
      </c>
      <c r="M20" s="87">
        <f t="shared" si="3"/>
        <v>0</v>
      </c>
    </row>
    <row r="21" spans="2:13" ht="15" x14ac:dyDescent="0.2">
      <c r="B21" s="8">
        <v>7</v>
      </c>
      <c r="C21" s="19">
        <v>44896</v>
      </c>
      <c r="D21" s="59">
        <f>1519073-1574-(925+0)</f>
        <v>1516574</v>
      </c>
      <c r="E21" s="99">
        <f>761076.13+4839.36+145199.31+32569.44+383.53+20380.79</f>
        <v>964448.56</v>
      </c>
      <c r="F21" s="22">
        <f t="shared" si="0"/>
        <v>552125.43999999994</v>
      </c>
      <c r="G21" s="23">
        <f t="shared" si="1"/>
        <v>2282379.2000000002</v>
      </c>
      <c r="I21" s="89">
        <v>44896</v>
      </c>
      <c r="J21" s="90">
        <v>877876</v>
      </c>
      <c r="K21" s="98">
        <v>877876</v>
      </c>
      <c r="L21" s="91">
        <f t="shared" si="2"/>
        <v>0</v>
      </c>
      <c r="M21" s="91">
        <f t="shared" si="3"/>
        <v>0</v>
      </c>
    </row>
    <row r="22" spans="2:13" ht="15" x14ac:dyDescent="0.2">
      <c r="B22" s="24" t="s">
        <v>28</v>
      </c>
      <c r="C22" s="17">
        <v>44927</v>
      </c>
      <c r="D22" s="57">
        <f>1190768-1355-(803+0)</f>
        <v>1188610</v>
      </c>
      <c r="E22" s="58">
        <f>1066394.86+5848.9+179604.45+39440.9+474.73+27043.86</f>
        <v>1318807.7</v>
      </c>
      <c r="F22" s="18">
        <f t="shared" si="0"/>
        <v>-130197.69999999995</v>
      </c>
      <c r="G22" s="16">
        <f t="shared" si="1"/>
        <v>2152181.5</v>
      </c>
      <c r="I22" s="85">
        <v>44927</v>
      </c>
      <c r="J22" s="83">
        <v>987361</v>
      </c>
      <c r="K22" s="83">
        <v>987361</v>
      </c>
      <c r="L22" s="87">
        <f t="shared" si="2"/>
        <v>0</v>
      </c>
      <c r="M22" s="87">
        <f>M21+L22</f>
        <v>0</v>
      </c>
    </row>
    <row r="23" spans="2:13" ht="15" x14ac:dyDescent="0.2">
      <c r="B23" s="25" t="s">
        <v>29</v>
      </c>
      <c r="C23" s="26">
        <v>44958</v>
      </c>
      <c r="D23" s="61">
        <f>605631-910-(538+0)</f>
        <v>604183</v>
      </c>
      <c r="E23" s="62">
        <f>661786.74+4227+124709.44+139410.33+282.72+18229.61</f>
        <v>948645.83999999985</v>
      </c>
      <c r="F23" s="22">
        <f t="shared" si="0"/>
        <v>-344462.83999999985</v>
      </c>
      <c r="G23" s="23">
        <f t="shared" si="1"/>
        <v>1807718.6600000001</v>
      </c>
      <c r="I23" s="89">
        <v>44958</v>
      </c>
      <c r="J23" s="90">
        <v>487285</v>
      </c>
      <c r="K23" s="90">
        <f>487285</f>
        <v>487285</v>
      </c>
      <c r="L23" s="91">
        <f t="shared" si="2"/>
        <v>0</v>
      </c>
      <c r="M23" s="91">
        <f>M22+L23</f>
        <v>0</v>
      </c>
    </row>
    <row r="24" spans="2:13" ht="15" x14ac:dyDescent="0.2">
      <c r="B24" s="9"/>
      <c r="C24" s="27" t="s">
        <v>65</v>
      </c>
      <c r="D24" s="28"/>
      <c r="E24" s="28"/>
      <c r="F24" s="28"/>
      <c r="G24" s="29"/>
      <c r="I24" s="73"/>
      <c r="J24" s="73"/>
      <c r="K24" s="73"/>
      <c r="L24" s="73"/>
      <c r="M24" s="73"/>
    </row>
    <row r="25" spans="2:13" ht="15" x14ac:dyDescent="0.2">
      <c r="B25" s="6"/>
      <c r="C25" s="5"/>
      <c r="D25" s="5"/>
      <c r="E25" s="5"/>
      <c r="F25" s="5"/>
      <c r="G25" s="16"/>
      <c r="I25" s="92" t="s">
        <v>97</v>
      </c>
      <c r="J25" s="93"/>
      <c r="K25" s="93"/>
      <c r="L25" s="94"/>
      <c r="M25" s="95">
        <f>M21</f>
        <v>0</v>
      </c>
    </row>
    <row r="26" spans="2:13" ht="15" x14ac:dyDescent="0.2">
      <c r="B26" s="8"/>
      <c r="C26" s="7"/>
      <c r="D26" s="8" t="s">
        <v>30</v>
      </c>
      <c r="E26" s="8" t="s">
        <v>31</v>
      </c>
      <c r="F26" s="7"/>
      <c r="G26" s="21"/>
      <c r="I26" s="73"/>
      <c r="J26" s="73"/>
      <c r="K26" s="73"/>
      <c r="L26" s="73"/>
      <c r="M26" s="96"/>
    </row>
    <row r="27" spans="2:13" ht="15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  <c r="I27" s="92" t="s">
        <v>98</v>
      </c>
      <c r="J27" s="93"/>
      <c r="K27" s="93"/>
      <c r="L27" s="94"/>
      <c r="M27" s="95">
        <f>M25/6</f>
        <v>0</v>
      </c>
    </row>
    <row r="28" spans="2:13" ht="15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  <c r="I28" s="73"/>
      <c r="J28" s="73"/>
      <c r="K28" s="73"/>
      <c r="L28" s="73"/>
      <c r="M28" s="73"/>
    </row>
    <row r="29" spans="2:13" ht="15.75" x14ac:dyDescent="0.25">
      <c r="B29" s="8"/>
      <c r="C29" s="7"/>
      <c r="D29" s="8" t="s">
        <v>37</v>
      </c>
      <c r="E29" s="8" t="s">
        <v>38</v>
      </c>
      <c r="F29" s="7"/>
      <c r="G29" s="30" t="s">
        <v>39</v>
      </c>
      <c r="I29" s="74" t="s">
        <v>104</v>
      </c>
      <c r="J29" s="73"/>
      <c r="K29" s="73"/>
      <c r="L29" s="73"/>
      <c r="M29" s="73"/>
    </row>
    <row r="30" spans="2:13" ht="15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  <c r="I30" s="73"/>
      <c r="J30" s="73"/>
      <c r="K30" s="73"/>
      <c r="L30" s="73"/>
      <c r="M30" s="73"/>
    </row>
    <row r="31" spans="2:13" ht="15" x14ac:dyDescent="0.2">
      <c r="B31" s="24" t="s">
        <v>43</v>
      </c>
      <c r="C31" s="5" t="s">
        <v>82</v>
      </c>
      <c r="D31" s="16">
        <f>-G13</f>
        <v>-719899</v>
      </c>
      <c r="E31" s="16">
        <f>D62</f>
        <v>0</v>
      </c>
      <c r="F31" s="5"/>
      <c r="G31" s="16">
        <f>D31+E31</f>
        <v>-719899</v>
      </c>
      <c r="I31" s="75"/>
      <c r="J31" s="75"/>
      <c r="K31" s="76" t="s">
        <v>7</v>
      </c>
      <c r="L31" s="75"/>
      <c r="M31" s="75"/>
    </row>
    <row r="32" spans="2:13" ht="15" x14ac:dyDescent="0.2">
      <c r="B32" s="31" t="s">
        <v>44</v>
      </c>
      <c r="C32" s="32" t="s">
        <v>84</v>
      </c>
      <c r="D32" s="23">
        <f>-G14</f>
        <v>-98938.109999999753</v>
      </c>
      <c r="E32" s="23">
        <v>0</v>
      </c>
      <c r="F32" s="32"/>
      <c r="G32" s="23">
        <f>D32+E32</f>
        <v>-98938.109999999753</v>
      </c>
      <c r="I32" s="77"/>
      <c r="J32" s="78" t="s">
        <v>8</v>
      </c>
      <c r="K32" s="78" t="s">
        <v>9</v>
      </c>
      <c r="L32" s="77"/>
      <c r="M32" s="77"/>
    </row>
    <row r="33" spans="2:13" ht="15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-818837.10999999975</v>
      </c>
      <c r="I33" s="77"/>
      <c r="J33" s="78" t="s">
        <v>10</v>
      </c>
      <c r="K33" s="78" t="s">
        <v>11</v>
      </c>
      <c r="L33" s="78" t="s">
        <v>12</v>
      </c>
      <c r="M33" s="78" t="s">
        <v>13</v>
      </c>
    </row>
    <row r="34" spans="2:13" ht="15" x14ac:dyDescent="0.2">
      <c r="B34" s="36"/>
      <c r="G34" s="37"/>
      <c r="I34" s="79"/>
      <c r="J34" s="79" t="s">
        <v>14</v>
      </c>
      <c r="K34" s="79" t="s">
        <v>14</v>
      </c>
      <c r="L34" s="79" t="s">
        <v>15</v>
      </c>
      <c r="M34" s="79" t="s">
        <v>15</v>
      </c>
    </row>
    <row r="35" spans="2:13" ht="15" x14ac:dyDescent="0.2">
      <c r="B35" s="10">
        <v>9</v>
      </c>
      <c r="C35" s="38" t="s">
        <v>85</v>
      </c>
      <c r="D35" s="12"/>
      <c r="E35" s="12"/>
      <c r="F35" s="13"/>
      <c r="G35" s="39">
        <f>G21+G33</f>
        <v>1463542.0900000003</v>
      </c>
      <c r="I35" s="80" t="s">
        <v>17</v>
      </c>
      <c r="J35" s="81" t="s">
        <v>96</v>
      </c>
      <c r="K35" s="81" t="s">
        <v>18</v>
      </c>
      <c r="L35" s="81" t="s">
        <v>19</v>
      </c>
      <c r="M35" s="81" t="s">
        <v>20</v>
      </c>
    </row>
    <row r="36" spans="2:13" ht="15" x14ac:dyDescent="0.2">
      <c r="B36" s="36"/>
      <c r="G36" s="37"/>
      <c r="I36" s="82">
        <v>44743</v>
      </c>
      <c r="J36" s="97">
        <f>287481+(1011+0)</f>
        <v>288492</v>
      </c>
      <c r="K36" s="83">
        <f>104939+19607+163946</f>
        <v>288492</v>
      </c>
      <c r="L36" s="84">
        <f>J36-K36</f>
        <v>0</v>
      </c>
      <c r="M36" s="84">
        <f>+L36</f>
        <v>0</v>
      </c>
    </row>
    <row r="37" spans="2:13" ht="15" x14ac:dyDescent="0.2">
      <c r="B37" s="10">
        <v>10</v>
      </c>
      <c r="C37" s="38" t="s">
        <v>62</v>
      </c>
      <c r="D37" s="12"/>
      <c r="E37" s="12"/>
      <c r="F37" s="13"/>
      <c r="G37" s="39">
        <f>G35/6</f>
        <v>243923.68166666673</v>
      </c>
      <c r="I37" s="85">
        <v>44774</v>
      </c>
      <c r="J37" s="97">
        <f>220837+(828+0)</f>
        <v>221665</v>
      </c>
      <c r="K37" s="86">
        <f>88032+15370+118263</f>
        <v>221665</v>
      </c>
      <c r="L37" s="87">
        <f>J37-K37</f>
        <v>0</v>
      </c>
      <c r="M37" s="87">
        <f>M36+L37</f>
        <v>0</v>
      </c>
    </row>
    <row r="38" spans="2:13" ht="15" x14ac:dyDescent="0.2">
      <c r="I38" s="85">
        <v>44805</v>
      </c>
      <c r="J38" s="86">
        <f>187501+(657+0)</f>
        <v>188158</v>
      </c>
      <c r="K38" s="86">
        <f>68538+12253+107367</f>
        <v>188158</v>
      </c>
      <c r="L38" s="87">
        <f t="shared" ref="L38:L41" si="4">J38-K38</f>
        <v>0</v>
      </c>
      <c r="M38" s="87">
        <f t="shared" ref="M38:M41" si="5">M37+L38</f>
        <v>0</v>
      </c>
    </row>
    <row r="39" spans="2:13" ht="15" x14ac:dyDescent="0.2">
      <c r="B39" s="5"/>
      <c r="C39" s="40" t="s">
        <v>48</v>
      </c>
      <c r="D39" s="41"/>
      <c r="E39" s="41"/>
      <c r="F39" s="41"/>
      <c r="G39" s="42"/>
      <c r="I39" s="85">
        <v>44835</v>
      </c>
      <c r="J39" s="86">
        <f>223656+(780+0)</f>
        <v>224436</v>
      </c>
      <c r="K39" s="86">
        <f>76403+14405+133628</f>
        <v>224436</v>
      </c>
      <c r="L39" s="87">
        <f t="shared" si="4"/>
        <v>0</v>
      </c>
      <c r="M39" s="87">
        <f t="shared" si="5"/>
        <v>0</v>
      </c>
    </row>
    <row r="40" spans="2:13" ht="15" x14ac:dyDescent="0.2">
      <c r="B40" s="5"/>
      <c r="C40" s="43"/>
      <c r="D40" s="43"/>
      <c r="E40" s="43"/>
      <c r="F40" s="43"/>
      <c r="G40" s="15"/>
      <c r="I40" s="85">
        <v>44866</v>
      </c>
      <c r="J40" s="86">
        <f>217630+(865+0)</f>
        <v>218495</v>
      </c>
      <c r="K40" s="88">
        <f>74893+13770+129832</f>
        <v>218495</v>
      </c>
      <c r="L40" s="87">
        <f t="shared" si="4"/>
        <v>0</v>
      </c>
      <c r="M40" s="87">
        <f t="shared" si="5"/>
        <v>0</v>
      </c>
    </row>
    <row r="41" spans="2:13" ht="15" x14ac:dyDescent="0.2">
      <c r="B41" s="8">
        <v>11</v>
      </c>
      <c r="C41" s="44" t="s">
        <v>49</v>
      </c>
      <c r="D41" s="44"/>
      <c r="E41" s="44"/>
      <c r="F41" s="44"/>
      <c r="G41" s="45">
        <f>G15</f>
        <v>818837.10999999975</v>
      </c>
      <c r="I41" s="89">
        <v>44896</v>
      </c>
      <c r="J41" s="90">
        <f>225500+(925+0)</f>
        <v>226425</v>
      </c>
      <c r="K41" s="90">
        <f>84481+13851+128093</f>
        <v>226425</v>
      </c>
      <c r="L41" s="91">
        <f t="shared" si="4"/>
        <v>0</v>
      </c>
      <c r="M41" s="91">
        <f t="shared" si="5"/>
        <v>0</v>
      </c>
    </row>
    <row r="42" spans="2:13" ht="15" x14ac:dyDescent="0.2">
      <c r="B42" s="8">
        <v>12</v>
      </c>
      <c r="C42" s="44" t="s">
        <v>50</v>
      </c>
      <c r="D42" s="44"/>
      <c r="E42" s="44"/>
      <c r="F42" s="44"/>
      <c r="G42" s="46">
        <f>G33</f>
        <v>-818837.10999999975</v>
      </c>
      <c r="I42" s="85">
        <v>44927</v>
      </c>
      <c r="J42" s="83">
        <f>232483+(803+0)</f>
        <v>233286</v>
      </c>
      <c r="K42" s="83">
        <f>85121+14977+133188</f>
        <v>233286</v>
      </c>
      <c r="L42" s="87">
        <f>J42-K42</f>
        <v>0</v>
      </c>
      <c r="M42" s="87">
        <f>M41+L42</f>
        <v>0</v>
      </c>
    </row>
    <row r="43" spans="2:13" ht="15" x14ac:dyDescent="0.2">
      <c r="B43" s="8"/>
      <c r="C43" s="44"/>
      <c r="D43" s="44"/>
      <c r="E43" s="44"/>
      <c r="F43" s="44"/>
      <c r="G43" s="45"/>
      <c r="I43" s="89">
        <v>44958</v>
      </c>
      <c r="J43" s="90">
        <f>121600+(538+0)</f>
        <v>122138</v>
      </c>
      <c r="K43" s="90">
        <f>43424+8005+70709</f>
        <v>122138</v>
      </c>
      <c r="L43" s="91">
        <f>J43-K43</f>
        <v>0</v>
      </c>
      <c r="M43" s="91">
        <f>M42+L43</f>
        <v>0</v>
      </c>
    </row>
    <row r="44" spans="2:13" ht="15.7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  <c r="I44" s="73"/>
      <c r="J44" s="73"/>
      <c r="K44" s="73"/>
      <c r="L44" s="73"/>
      <c r="M44" s="73"/>
    </row>
    <row r="45" spans="2:13" ht="15.75" thickTop="1" x14ac:dyDescent="0.2">
      <c r="B45" s="8"/>
      <c r="C45" s="44"/>
      <c r="D45" s="44"/>
      <c r="E45" s="44"/>
      <c r="F45" s="44"/>
      <c r="G45" s="45"/>
      <c r="I45" s="92" t="s">
        <v>97</v>
      </c>
      <c r="J45" s="93"/>
      <c r="K45" s="93"/>
      <c r="L45" s="94"/>
      <c r="M45" s="95">
        <f>M41</f>
        <v>0</v>
      </c>
    </row>
    <row r="46" spans="2:13" ht="15" x14ac:dyDescent="0.2">
      <c r="B46" s="8">
        <v>14</v>
      </c>
      <c r="C46" s="44" t="s">
        <v>52</v>
      </c>
      <c r="D46" s="44"/>
      <c r="E46" s="44"/>
      <c r="F46" s="44"/>
      <c r="G46" s="45">
        <f>G35</f>
        <v>1463542.0900000003</v>
      </c>
      <c r="I46" s="73"/>
      <c r="J46" s="73"/>
      <c r="K46" s="73"/>
      <c r="L46" s="73"/>
      <c r="M46" s="96"/>
    </row>
    <row r="47" spans="2:13" ht="15" x14ac:dyDescent="0.2">
      <c r="B47" s="8"/>
      <c r="C47" s="44"/>
      <c r="D47" s="44"/>
      <c r="E47" s="44"/>
      <c r="F47" s="44"/>
      <c r="G47" s="45"/>
      <c r="I47" s="92" t="s">
        <v>98</v>
      </c>
      <c r="J47" s="93"/>
      <c r="K47" s="93"/>
      <c r="L47" s="94"/>
      <c r="M47" s="95">
        <f>M45/6</f>
        <v>0</v>
      </c>
    </row>
    <row r="48" spans="2:13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1463542.0900000003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100"/>
      <c r="G54" s="100"/>
    </row>
    <row r="55" spans="2:7" x14ac:dyDescent="0.2">
      <c r="B55" s="36"/>
      <c r="C55" s="9" t="s">
        <v>17</v>
      </c>
      <c r="D55" s="9" t="s">
        <v>105</v>
      </c>
      <c r="E55" s="31"/>
      <c r="F55" s="100"/>
      <c r="G55" s="100"/>
    </row>
    <row r="56" spans="2:7" x14ac:dyDescent="0.2">
      <c r="C56" s="17">
        <v>44743</v>
      </c>
      <c r="D56" s="50">
        <v>0</v>
      </c>
      <c r="E56" s="101"/>
      <c r="F56" s="70"/>
      <c r="G56" s="70"/>
    </row>
    <row r="57" spans="2:7" x14ac:dyDescent="0.2">
      <c r="C57" s="19">
        <v>44774</v>
      </c>
      <c r="D57" s="51">
        <v>0</v>
      </c>
      <c r="E57" s="101"/>
      <c r="F57" s="70"/>
      <c r="G57" s="70"/>
    </row>
    <row r="58" spans="2:7" x14ac:dyDescent="0.2">
      <c r="C58" s="19">
        <v>44805</v>
      </c>
      <c r="D58" s="51">
        <v>0</v>
      </c>
      <c r="E58" s="101"/>
      <c r="F58" s="70"/>
      <c r="G58" s="70"/>
    </row>
    <row r="59" spans="2:7" x14ac:dyDescent="0.2">
      <c r="C59" s="19">
        <v>44835</v>
      </c>
      <c r="D59" s="51">
        <v>0</v>
      </c>
      <c r="E59" s="101"/>
      <c r="F59" s="70"/>
      <c r="G59" s="70"/>
    </row>
    <row r="60" spans="2:7" x14ac:dyDescent="0.2">
      <c r="C60" s="19">
        <v>44866</v>
      </c>
      <c r="D60" s="51">
        <v>0</v>
      </c>
      <c r="E60" s="101"/>
      <c r="F60" s="70"/>
      <c r="G60" s="70"/>
    </row>
    <row r="61" spans="2:7" x14ac:dyDescent="0.2">
      <c r="C61" s="19">
        <v>44896</v>
      </c>
      <c r="D61" s="52">
        <v>0</v>
      </c>
      <c r="E61" s="101"/>
      <c r="F61" s="70"/>
      <c r="G61" s="70"/>
    </row>
    <row r="62" spans="2:7" x14ac:dyDescent="0.2">
      <c r="C62" s="53" t="s">
        <v>57</v>
      </c>
      <c r="D62" s="39">
        <f>SUM(D56:D61)</f>
        <v>0</v>
      </c>
      <c r="E62" s="20"/>
      <c r="F62" s="70"/>
      <c r="G62" s="70"/>
    </row>
  </sheetData>
  <mergeCells count="3">
    <mergeCell ref="B4:G5"/>
    <mergeCell ref="C12:G12"/>
    <mergeCell ref="I4:M5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4"/>
  <sheetViews>
    <sheetView workbookViewId="0"/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I6" s="73"/>
      <c r="J6" s="73"/>
      <c r="K6" s="73"/>
      <c r="L6" s="73"/>
      <c r="M6" s="73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ht="15.75" x14ac:dyDescent="0.25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  <c r="I10" s="74" t="s">
        <v>103</v>
      </c>
      <c r="J10" s="73"/>
      <c r="K10" s="73"/>
      <c r="L10" s="73"/>
      <c r="M10" s="73"/>
    </row>
    <row r="11" spans="1:13" ht="15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3"/>
      <c r="J11" s="73"/>
      <c r="K11" s="73"/>
      <c r="L11" s="73"/>
      <c r="M11" s="73"/>
    </row>
    <row r="12" spans="1:13" ht="15" x14ac:dyDescent="0.2">
      <c r="B12" s="6">
        <v>1</v>
      </c>
      <c r="C12" s="109" t="s">
        <v>22</v>
      </c>
      <c r="D12" s="110"/>
      <c r="E12" s="110"/>
      <c r="F12" s="110"/>
      <c r="G12" s="111"/>
      <c r="I12" s="75"/>
      <c r="J12" s="75"/>
      <c r="K12" s="76" t="s">
        <v>7</v>
      </c>
      <c r="L12" s="75"/>
      <c r="M12" s="75"/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719899</v>
      </c>
      <c r="I13" s="77"/>
      <c r="J13" s="78" t="s">
        <v>8</v>
      </c>
      <c r="K13" s="78" t="s">
        <v>9</v>
      </c>
      <c r="L13" s="77"/>
      <c r="M13" s="77"/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98938.109999999753</v>
      </c>
      <c r="I14" s="77"/>
      <c r="J14" s="78" t="s">
        <v>10</v>
      </c>
      <c r="K14" s="78" t="s">
        <v>11</v>
      </c>
      <c r="L14" s="78" t="s">
        <v>12</v>
      </c>
      <c r="M14" s="78" t="s">
        <v>13</v>
      </c>
    </row>
    <row r="15" spans="1:13" ht="15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1463542.0900000003</v>
      </c>
      <c r="I15" s="79"/>
      <c r="J15" s="79" t="s">
        <v>14</v>
      </c>
      <c r="K15" s="79" t="s">
        <v>14</v>
      </c>
      <c r="L15" s="79" t="s">
        <v>15</v>
      </c>
      <c r="M15" s="79" t="s">
        <v>15</v>
      </c>
    </row>
    <row r="16" spans="1:13" ht="15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2282379.2000000002</v>
      </c>
      <c r="I16" s="80" t="s">
        <v>17</v>
      </c>
      <c r="J16" s="81" t="s">
        <v>96</v>
      </c>
      <c r="K16" s="81" t="s">
        <v>18</v>
      </c>
      <c r="L16" s="81" t="s">
        <v>19</v>
      </c>
      <c r="M16" s="81" t="s">
        <v>20</v>
      </c>
    </row>
    <row r="17" spans="2:13" ht="15" x14ac:dyDescent="0.2">
      <c r="B17" s="8">
        <v>2</v>
      </c>
      <c r="C17" s="17">
        <v>44927</v>
      </c>
      <c r="D17" s="57">
        <f>1190768-1355-(803+0)</f>
        <v>1188610</v>
      </c>
      <c r="E17" s="58">
        <f>1066394.86+5848.9+179604.45+39440.9+474.73+27043.86</f>
        <v>1318807.7</v>
      </c>
      <c r="F17" s="18">
        <f t="shared" ref="F17:F24" si="0">D17-E17</f>
        <v>-130197.69999999995</v>
      </c>
      <c r="G17" s="16">
        <f t="shared" ref="G17:G24" si="1">G16+F17</f>
        <v>2152181.5</v>
      </c>
      <c r="I17" s="82">
        <v>44927</v>
      </c>
      <c r="J17" s="83">
        <v>987361</v>
      </c>
      <c r="K17" s="83">
        <v>987361</v>
      </c>
      <c r="L17" s="84">
        <f t="shared" ref="L17:L24" si="2">J17-K17</f>
        <v>0</v>
      </c>
      <c r="M17" s="84">
        <f>L17</f>
        <v>0</v>
      </c>
    </row>
    <row r="18" spans="2:13" ht="15" x14ac:dyDescent="0.2">
      <c r="B18" s="8">
        <v>3</v>
      </c>
      <c r="C18" s="19">
        <v>44958</v>
      </c>
      <c r="D18" s="59">
        <f>605631-910-(538+0)</f>
        <v>604183</v>
      </c>
      <c r="E18" s="60">
        <f>661786.74+4227+124709.44+139410.33+282.72+18229.61</f>
        <v>948645.83999999985</v>
      </c>
      <c r="F18" s="20">
        <f t="shared" si="0"/>
        <v>-344462.83999999985</v>
      </c>
      <c r="G18" s="21">
        <f t="shared" si="1"/>
        <v>1807718.6600000001</v>
      </c>
      <c r="I18" s="85">
        <v>44958</v>
      </c>
      <c r="J18" s="86">
        <v>487285</v>
      </c>
      <c r="K18" s="86">
        <f>487285</f>
        <v>487285</v>
      </c>
      <c r="L18" s="87">
        <f t="shared" si="2"/>
        <v>0</v>
      </c>
      <c r="M18" s="87">
        <f>M17+L18</f>
        <v>0</v>
      </c>
    </row>
    <row r="19" spans="2:13" ht="15" x14ac:dyDescent="0.2">
      <c r="B19" s="8">
        <v>4</v>
      </c>
      <c r="C19" s="19">
        <v>44986</v>
      </c>
      <c r="D19" s="59">
        <f>774616-1180-(685)</f>
        <v>772751</v>
      </c>
      <c r="E19" s="60">
        <f>48167.99+307.89+1436.33-36047.62+24.77+1440.8</f>
        <v>15330.159999999996</v>
      </c>
      <c r="F19" s="20">
        <f t="shared" si="0"/>
        <v>757420.84</v>
      </c>
      <c r="G19" s="21">
        <f t="shared" si="1"/>
        <v>2565139.5</v>
      </c>
      <c r="I19" s="85">
        <v>44986</v>
      </c>
      <c r="J19" s="86">
        <v>620468</v>
      </c>
      <c r="K19" s="86">
        <v>620468</v>
      </c>
      <c r="L19" s="87">
        <f t="shared" si="2"/>
        <v>0</v>
      </c>
      <c r="M19" s="87">
        <f t="shared" ref="M19:M22" si="3">M18+L19</f>
        <v>0</v>
      </c>
    </row>
    <row r="20" spans="2:13" ht="15" x14ac:dyDescent="0.2">
      <c r="B20" s="8">
        <v>5</v>
      </c>
      <c r="C20" s="19">
        <v>45017</v>
      </c>
      <c r="D20" s="59">
        <f>858202-1616-932</f>
        <v>855654</v>
      </c>
      <c r="E20" s="60">
        <f>710351.13+5578.29+156813.89-3628.07+312.09+22939.24</f>
        <v>892366.57000000007</v>
      </c>
      <c r="F20" s="20">
        <f t="shared" si="0"/>
        <v>-36712.570000000065</v>
      </c>
      <c r="G20" s="21">
        <f t="shared" si="1"/>
        <v>2528426.9299999997</v>
      </c>
      <c r="I20" s="85">
        <v>45017</v>
      </c>
      <c r="J20" s="86">
        <v>947842</v>
      </c>
      <c r="K20" s="86">
        <v>947842</v>
      </c>
      <c r="L20" s="87">
        <f t="shared" si="2"/>
        <v>0</v>
      </c>
      <c r="M20" s="87">
        <f t="shared" si="3"/>
        <v>0</v>
      </c>
    </row>
    <row r="21" spans="2:13" ht="15" x14ac:dyDescent="0.2">
      <c r="B21" s="8">
        <v>6</v>
      </c>
      <c r="C21" s="19">
        <v>45047</v>
      </c>
      <c r="D21" s="59">
        <f>952063-1583-907</f>
        <v>949573</v>
      </c>
      <c r="E21" s="60">
        <f>890447.71+8052.56+213376.65+32793.55+371.27+27138.8</f>
        <v>1172180.54</v>
      </c>
      <c r="F21" s="20">
        <f t="shared" si="0"/>
        <v>-222607.54000000004</v>
      </c>
      <c r="G21" s="21">
        <f t="shared" si="1"/>
        <v>2305819.3899999997</v>
      </c>
      <c r="I21" s="85">
        <v>45047</v>
      </c>
      <c r="J21" s="86">
        <v>982569</v>
      </c>
      <c r="K21" s="88">
        <v>982569</v>
      </c>
      <c r="L21" s="87">
        <f t="shared" si="2"/>
        <v>0</v>
      </c>
      <c r="M21" s="87">
        <f t="shared" si="3"/>
        <v>0</v>
      </c>
    </row>
    <row r="22" spans="2:13" ht="15" x14ac:dyDescent="0.2">
      <c r="B22" s="8">
        <v>7</v>
      </c>
      <c r="C22" s="19">
        <v>45078</v>
      </c>
      <c r="D22" s="59">
        <f>1094262-1884-1071</f>
        <v>1091307</v>
      </c>
      <c r="E22" s="60">
        <f>710043.54+5739.77+155167.53+33201.63+259.66+21067.47</f>
        <v>925479.60000000009</v>
      </c>
      <c r="F22" s="22">
        <f t="shared" si="0"/>
        <v>165827.39999999991</v>
      </c>
      <c r="G22" s="23">
        <f t="shared" si="1"/>
        <v>2471646.7899999996</v>
      </c>
      <c r="I22" s="89">
        <v>45078</v>
      </c>
      <c r="J22" s="90">
        <v>1040432</v>
      </c>
      <c r="K22" s="98">
        <v>1040432</v>
      </c>
      <c r="L22" s="91">
        <f t="shared" si="2"/>
        <v>0</v>
      </c>
      <c r="M22" s="91">
        <f t="shared" si="3"/>
        <v>0</v>
      </c>
    </row>
    <row r="23" spans="2:13" ht="15" x14ac:dyDescent="0.2">
      <c r="B23" s="24" t="s">
        <v>28</v>
      </c>
      <c r="C23" s="17">
        <v>45108</v>
      </c>
      <c r="D23" s="57">
        <f>1420935-1952-1109</f>
        <v>1417874</v>
      </c>
      <c r="E23" s="58">
        <f>1117483.53+7892.5+238693.81+36895.15+355.13+25006.26</f>
        <v>1426326.38</v>
      </c>
      <c r="F23" s="18">
        <f t="shared" si="0"/>
        <v>-8452.3799999998882</v>
      </c>
      <c r="G23" s="16">
        <f t="shared" si="1"/>
        <v>2463194.4099999997</v>
      </c>
      <c r="I23" s="85">
        <v>45108</v>
      </c>
      <c r="J23" s="83">
        <f>1111028</f>
        <v>1111028</v>
      </c>
      <c r="K23" s="83">
        <v>1111028</v>
      </c>
      <c r="L23" s="87">
        <f t="shared" si="2"/>
        <v>0</v>
      </c>
      <c r="M23" s="87">
        <f>M22+L23</f>
        <v>0</v>
      </c>
    </row>
    <row r="24" spans="2:13" ht="15" x14ac:dyDescent="0.2">
      <c r="B24" s="25" t="s">
        <v>29</v>
      </c>
      <c r="C24" s="26">
        <v>45139</v>
      </c>
      <c r="D24" s="61">
        <f>1493774-0-1110</f>
        <v>1492664</v>
      </c>
      <c r="E24" s="62">
        <f>1129060.01+7937.86+235665.65+32833.6+324.45+26623.39</f>
        <v>1432444.96</v>
      </c>
      <c r="F24" s="22">
        <f t="shared" si="0"/>
        <v>60219.040000000037</v>
      </c>
      <c r="G24" s="23">
        <f t="shared" si="1"/>
        <v>2523413.4499999997</v>
      </c>
      <c r="I24" s="89">
        <v>45139</v>
      </c>
      <c r="J24" s="90">
        <v>1165900</v>
      </c>
      <c r="K24" s="90">
        <v>1165900</v>
      </c>
      <c r="L24" s="91">
        <f t="shared" si="2"/>
        <v>0</v>
      </c>
      <c r="M24" s="91">
        <f>M23+L24</f>
        <v>0</v>
      </c>
    </row>
    <row r="25" spans="2:13" ht="15" x14ac:dyDescent="0.2">
      <c r="B25" s="9"/>
      <c r="C25" s="27" t="s">
        <v>70</v>
      </c>
      <c r="D25" s="28"/>
      <c r="E25" s="28"/>
      <c r="F25" s="28"/>
      <c r="G25" s="29"/>
      <c r="I25" s="73"/>
      <c r="J25" s="73"/>
      <c r="K25" s="73"/>
      <c r="L25" s="73"/>
      <c r="M25" s="73"/>
    </row>
    <row r="26" spans="2:13" ht="15" x14ac:dyDescent="0.2">
      <c r="B26" s="6"/>
      <c r="C26" s="5"/>
      <c r="D26" s="5"/>
      <c r="E26" s="5"/>
      <c r="F26" s="5"/>
      <c r="G26" s="16"/>
      <c r="I26" s="92" t="s">
        <v>97</v>
      </c>
      <c r="J26" s="93"/>
      <c r="K26" s="93"/>
      <c r="L26" s="94"/>
      <c r="M26" s="95">
        <f>M22</f>
        <v>0</v>
      </c>
    </row>
    <row r="27" spans="2:13" ht="15" x14ac:dyDescent="0.2">
      <c r="B27" s="8"/>
      <c r="C27" s="7"/>
      <c r="D27" s="8" t="s">
        <v>30</v>
      </c>
      <c r="E27" s="8" t="s">
        <v>31</v>
      </c>
      <c r="F27" s="7"/>
      <c r="G27" s="21"/>
      <c r="I27" s="73"/>
      <c r="J27" s="73"/>
      <c r="K27" s="73"/>
      <c r="L27" s="73"/>
      <c r="M27" s="96"/>
    </row>
    <row r="28" spans="2:13" ht="15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  <c r="I28" s="92" t="s">
        <v>98</v>
      </c>
      <c r="J28" s="93"/>
      <c r="K28" s="93"/>
      <c r="L28" s="94"/>
      <c r="M28" s="95">
        <f>M26/6</f>
        <v>0</v>
      </c>
    </row>
    <row r="29" spans="2:13" ht="15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  <c r="I29" s="73"/>
      <c r="J29" s="73"/>
      <c r="K29" s="73"/>
      <c r="L29" s="73"/>
      <c r="M29" s="73"/>
    </row>
    <row r="30" spans="2:13" ht="15.75" x14ac:dyDescent="0.25">
      <c r="B30" s="8"/>
      <c r="C30" s="7"/>
      <c r="D30" s="8" t="s">
        <v>37</v>
      </c>
      <c r="E30" s="8" t="s">
        <v>38</v>
      </c>
      <c r="F30" s="7"/>
      <c r="G30" s="30" t="s">
        <v>39</v>
      </c>
      <c r="I30" s="74" t="s">
        <v>104</v>
      </c>
      <c r="J30" s="73"/>
      <c r="K30" s="73"/>
      <c r="L30" s="73"/>
      <c r="M30" s="73"/>
    </row>
    <row r="31" spans="2:13" ht="15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  <c r="I31" s="73"/>
      <c r="J31" s="73"/>
      <c r="K31" s="73"/>
      <c r="L31" s="73"/>
      <c r="M31" s="73"/>
    </row>
    <row r="32" spans="2:13" ht="15" x14ac:dyDescent="0.2">
      <c r="B32" s="24" t="s">
        <v>43</v>
      </c>
      <c r="C32" s="5" t="s">
        <v>82</v>
      </c>
      <c r="D32" s="16">
        <f>-G13</f>
        <v>-719899</v>
      </c>
      <c r="E32" s="16">
        <f>D64</f>
        <v>0</v>
      </c>
      <c r="F32" s="5"/>
      <c r="G32" s="16">
        <f t="shared" ref="G32:G34" si="4">D32+E32</f>
        <v>-719899</v>
      </c>
      <c r="I32" s="75"/>
      <c r="J32" s="75"/>
      <c r="K32" s="76" t="s">
        <v>7</v>
      </c>
      <c r="L32" s="75"/>
      <c r="M32" s="75"/>
    </row>
    <row r="33" spans="2:13" ht="15" x14ac:dyDescent="0.2">
      <c r="B33" s="31" t="s">
        <v>44</v>
      </c>
      <c r="C33" s="65" t="s">
        <v>84</v>
      </c>
      <c r="D33" s="21">
        <f>-G14</f>
        <v>-98938.109999999753</v>
      </c>
      <c r="E33" s="21">
        <v>0</v>
      </c>
      <c r="F33" s="7"/>
      <c r="G33" s="21">
        <f t="shared" si="4"/>
        <v>-98938.109999999753</v>
      </c>
      <c r="I33" s="77"/>
      <c r="J33" s="78" t="s">
        <v>8</v>
      </c>
      <c r="K33" s="78" t="s">
        <v>9</v>
      </c>
      <c r="L33" s="77"/>
      <c r="M33" s="77"/>
    </row>
    <row r="34" spans="2:13" ht="15" x14ac:dyDescent="0.2">
      <c r="B34" s="31" t="s">
        <v>45</v>
      </c>
      <c r="C34" s="49" t="s">
        <v>87</v>
      </c>
      <c r="D34" s="23">
        <f>-G15</f>
        <v>-1463542.0900000003</v>
      </c>
      <c r="E34" s="23">
        <v>0</v>
      </c>
      <c r="F34" s="32"/>
      <c r="G34" s="23">
        <f t="shared" si="4"/>
        <v>-1463542.0900000003</v>
      </c>
      <c r="I34" s="77"/>
      <c r="J34" s="78" t="s">
        <v>10</v>
      </c>
      <c r="K34" s="78" t="s">
        <v>11</v>
      </c>
      <c r="L34" s="78" t="s">
        <v>12</v>
      </c>
      <c r="M34" s="78" t="s">
        <v>13</v>
      </c>
    </row>
    <row r="35" spans="2:13" ht="15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-2282379.2000000002</v>
      </c>
      <c r="I35" s="79"/>
      <c r="J35" s="79" t="s">
        <v>14</v>
      </c>
      <c r="K35" s="79" t="s">
        <v>14</v>
      </c>
      <c r="L35" s="79" t="s">
        <v>15</v>
      </c>
      <c r="M35" s="79" t="s">
        <v>15</v>
      </c>
    </row>
    <row r="36" spans="2:13" ht="15" x14ac:dyDescent="0.2">
      <c r="B36" s="36"/>
      <c r="G36" s="37"/>
      <c r="I36" s="80" t="s">
        <v>17</v>
      </c>
      <c r="J36" s="81" t="s">
        <v>96</v>
      </c>
      <c r="K36" s="81" t="s">
        <v>18</v>
      </c>
      <c r="L36" s="81" t="s">
        <v>19</v>
      </c>
      <c r="M36" s="81" t="s">
        <v>20</v>
      </c>
    </row>
    <row r="37" spans="2:13" ht="15" x14ac:dyDescent="0.2">
      <c r="B37" s="10">
        <v>9</v>
      </c>
      <c r="C37" s="38" t="s">
        <v>88</v>
      </c>
      <c r="D37" s="12"/>
      <c r="E37" s="12"/>
      <c r="F37" s="13"/>
      <c r="G37" s="39">
        <f>G22+G35</f>
        <v>189267.58999999939</v>
      </c>
      <c r="I37" s="82">
        <v>44927</v>
      </c>
      <c r="J37" s="97">
        <f>232483+(803+0)</f>
        <v>233286</v>
      </c>
      <c r="K37" s="83">
        <f>85121+14977+133188</f>
        <v>233286</v>
      </c>
      <c r="L37" s="84">
        <f>J37-K37</f>
        <v>0</v>
      </c>
      <c r="M37" s="84">
        <f>+L37</f>
        <v>0</v>
      </c>
    </row>
    <row r="38" spans="2:13" ht="15" x14ac:dyDescent="0.2">
      <c r="B38" s="36"/>
      <c r="G38" s="37"/>
      <c r="I38" s="85">
        <v>44958</v>
      </c>
      <c r="J38" s="97">
        <f>121600+(538+0)</f>
        <v>122138</v>
      </c>
      <c r="K38" s="86">
        <f>43424+8005+70709</f>
        <v>122138</v>
      </c>
      <c r="L38" s="87">
        <f>J38-K38</f>
        <v>0</v>
      </c>
      <c r="M38" s="87">
        <f>M37+L38</f>
        <v>0</v>
      </c>
    </row>
    <row r="39" spans="2:13" ht="15" x14ac:dyDescent="0.2">
      <c r="B39" s="10">
        <v>10</v>
      </c>
      <c r="C39" s="38" t="s">
        <v>62</v>
      </c>
      <c r="D39" s="12"/>
      <c r="E39" s="12"/>
      <c r="F39" s="13"/>
      <c r="G39" s="39">
        <f>G37/6</f>
        <v>31544.59833333323</v>
      </c>
      <c r="I39" s="85">
        <v>44986</v>
      </c>
      <c r="J39" s="86">
        <f>168242+(685)</f>
        <v>168927</v>
      </c>
      <c r="K39" s="86">
        <f>59380+10067+99480</f>
        <v>168927</v>
      </c>
      <c r="L39" s="87">
        <f t="shared" ref="L39:L42" si="5">J39-K39</f>
        <v>0</v>
      </c>
      <c r="M39" s="87">
        <f t="shared" ref="M39:M42" si="6">M38+L39</f>
        <v>0</v>
      </c>
    </row>
    <row r="40" spans="2:13" ht="15" x14ac:dyDescent="0.2">
      <c r="I40" s="85">
        <v>45017</v>
      </c>
      <c r="J40" s="86">
        <f>214210+932</f>
        <v>215142</v>
      </c>
      <c r="K40" s="86">
        <f>77016+13799+124327</f>
        <v>215142</v>
      </c>
      <c r="L40" s="87">
        <f t="shared" si="5"/>
        <v>0</v>
      </c>
      <c r="M40" s="87">
        <f t="shared" si="6"/>
        <v>0</v>
      </c>
    </row>
    <row r="41" spans="2:13" ht="15" x14ac:dyDescent="0.2">
      <c r="B41" s="5"/>
      <c r="C41" s="40" t="s">
        <v>48</v>
      </c>
      <c r="D41" s="41"/>
      <c r="E41" s="41"/>
      <c r="F41" s="41"/>
      <c r="G41" s="42"/>
      <c r="I41" s="85">
        <v>45047</v>
      </c>
      <c r="J41" s="86">
        <f>235900+907</f>
        <v>236807</v>
      </c>
      <c r="K41" s="88">
        <f>82226+15228+139353</f>
        <v>236807</v>
      </c>
      <c r="L41" s="87">
        <f t="shared" si="5"/>
        <v>0</v>
      </c>
      <c r="M41" s="87">
        <f t="shared" si="6"/>
        <v>0</v>
      </c>
    </row>
    <row r="42" spans="2:13" ht="15" x14ac:dyDescent="0.2">
      <c r="B42" s="5"/>
      <c r="C42" s="43"/>
      <c r="D42" s="43"/>
      <c r="E42" s="43"/>
      <c r="F42" s="43"/>
      <c r="G42" s="15"/>
      <c r="I42" s="89">
        <v>45078</v>
      </c>
      <c r="J42" s="90">
        <f>248221+1071</f>
        <v>249292</v>
      </c>
      <c r="K42" s="90">
        <f>88558+16335+144399</f>
        <v>249292</v>
      </c>
      <c r="L42" s="91">
        <f t="shared" si="5"/>
        <v>0</v>
      </c>
      <c r="M42" s="91">
        <f t="shared" si="6"/>
        <v>0</v>
      </c>
    </row>
    <row r="43" spans="2:13" ht="15" x14ac:dyDescent="0.2">
      <c r="B43" s="8">
        <v>11</v>
      </c>
      <c r="C43" s="44" t="s">
        <v>49</v>
      </c>
      <c r="D43" s="44"/>
      <c r="E43" s="44"/>
      <c r="F43" s="44"/>
      <c r="G43" s="45">
        <f>G16</f>
        <v>2282379.2000000002</v>
      </c>
      <c r="I43" s="85">
        <v>45108</v>
      </c>
      <c r="J43" s="83">
        <f>272466+1109</f>
        <v>273575</v>
      </c>
      <c r="K43" s="83">
        <f>99810+17194+156571</f>
        <v>273575</v>
      </c>
      <c r="L43" s="87">
        <f>J43-K43</f>
        <v>0</v>
      </c>
      <c r="M43" s="87">
        <f>M42+L43</f>
        <v>0</v>
      </c>
    </row>
    <row r="44" spans="2:13" ht="15" x14ac:dyDescent="0.2">
      <c r="B44" s="8">
        <v>12</v>
      </c>
      <c r="C44" s="44" t="s">
        <v>50</v>
      </c>
      <c r="D44" s="44"/>
      <c r="E44" s="44"/>
      <c r="F44" s="44"/>
      <c r="G44" s="46">
        <f>G35</f>
        <v>-2282379.2000000002</v>
      </c>
      <c r="I44" s="89">
        <v>45139</v>
      </c>
      <c r="J44" s="90">
        <f>300065+1110</f>
        <v>301175</v>
      </c>
      <c r="K44" s="90">
        <f>111115+19185+170875</f>
        <v>301175</v>
      </c>
      <c r="L44" s="91">
        <f>J44-K44</f>
        <v>0</v>
      </c>
      <c r="M44" s="91">
        <f>M43+L44</f>
        <v>0</v>
      </c>
    </row>
    <row r="45" spans="2:13" ht="15" x14ac:dyDescent="0.2">
      <c r="B45" s="8"/>
      <c r="C45" s="44"/>
      <c r="D45" s="44"/>
      <c r="E45" s="44"/>
      <c r="F45" s="44"/>
      <c r="G45" s="45"/>
      <c r="I45" s="73"/>
      <c r="J45" s="73"/>
      <c r="K45" s="73"/>
      <c r="L45" s="73"/>
      <c r="M45" s="73"/>
    </row>
    <row r="46" spans="2:13" ht="15.7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  <c r="I46" s="92" t="s">
        <v>97</v>
      </c>
      <c r="J46" s="93"/>
      <c r="K46" s="93"/>
      <c r="L46" s="94"/>
      <c r="M46" s="95">
        <f>M42</f>
        <v>0</v>
      </c>
    </row>
    <row r="47" spans="2:13" ht="15.75" thickTop="1" x14ac:dyDescent="0.2">
      <c r="B47" s="8"/>
      <c r="C47" s="44"/>
      <c r="D47" s="44"/>
      <c r="E47" s="44"/>
      <c r="F47" s="44"/>
      <c r="G47" s="45"/>
      <c r="I47" s="73"/>
      <c r="J47" s="73"/>
      <c r="K47" s="73"/>
      <c r="L47" s="73"/>
      <c r="M47" s="96"/>
    </row>
    <row r="48" spans="2:13" ht="15" x14ac:dyDescent="0.2">
      <c r="B48" s="8">
        <v>14</v>
      </c>
      <c r="C48" s="44" t="s">
        <v>52</v>
      </c>
      <c r="D48" s="44"/>
      <c r="E48" s="44"/>
      <c r="F48" s="44"/>
      <c r="G48" s="45">
        <f>G37</f>
        <v>189267.58999999939</v>
      </c>
      <c r="I48" s="92" t="s">
        <v>98</v>
      </c>
      <c r="J48" s="93"/>
      <c r="K48" s="93"/>
      <c r="L48" s="94"/>
      <c r="M48" s="95">
        <f>M46/6</f>
        <v>0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189267.58999999997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-5.8207660913467407E-10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100"/>
      <c r="G56" s="100"/>
    </row>
    <row r="57" spans="2:7" x14ac:dyDescent="0.2">
      <c r="B57" s="36"/>
      <c r="C57" s="9" t="s">
        <v>17</v>
      </c>
      <c r="D57" s="9" t="s">
        <v>105</v>
      </c>
      <c r="E57" s="31"/>
      <c r="F57" s="100"/>
      <c r="G57" s="100"/>
    </row>
    <row r="58" spans="2:7" x14ac:dyDescent="0.2">
      <c r="C58" s="17">
        <v>44927</v>
      </c>
      <c r="D58" s="50">
        <v>0</v>
      </c>
      <c r="E58" s="101"/>
      <c r="F58" s="70"/>
      <c r="G58" s="70"/>
    </row>
    <row r="59" spans="2:7" x14ac:dyDescent="0.2">
      <c r="C59" s="19">
        <v>44958</v>
      </c>
      <c r="D59" s="51">
        <v>0</v>
      </c>
      <c r="E59" s="101"/>
      <c r="F59" s="70"/>
      <c r="G59" s="70"/>
    </row>
    <row r="60" spans="2:7" x14ac:dyDescent="0.2">
      <c r="C60" s="19">
        <v>44986</v>
      </c>
      <c r="D60" s="51">
        <v>0</v>
      </c>
      <c r="E60" s="101"/>
      <c r="F60" s="70"/>
      <c r="G60" s="70"/>
    </row>
    <row r="61" spans="2:7" x14ac:dyDescent="0.2">
      <c r="C61" s="19">
        <v>45017</v>
      </c>
      <c r="D61" s="51">
        <v>0</v>
      </c>
      <c r="E61" s="101"/>
      <c r="F61" s="70"/>
      <c r="G61" s="70"/>
    </row>
    <row r="62" spans="2:7" x14ac:dyDescent="0.2">
      <c r="C62" s="19">
        <v>45047</v>
      </c>
      <c r="D62" s="51">
        <v>0</v>
      </c>
      <c r="E62" s="101"/>
      <c r="F62" s="70"/>
      <c r="G62" s="70"/>
    </row>
    <row r="63" spans="2:7" x14ac:dyDescent="0.2">
      <c r="C63" s="19">
        <v>45078</v>
      </c>
      <c r="D63" s="52">
        <v>0</v>
      </c>
      <c r="E63" s="101"/>
      <c r="F63" s="70"/>
      <c r="G63" s="70"/>
    </row>
    <row r="64" spans="2:7" x14ac:dyDescent="0.2">
      <c r="C64" s="53" t="s">
        <v>57</v>
      </c>
      <c r="D64" s="39">
        <f>SUM(D58:D63)</f>
        <v>0</v>
      </c>
      <c r="E64" s="20"/>
      <c r="F64" s="70"/>
      <c r="G64" s="70"/>
    </row>
  </sheetData>
  <mergeCells count="3">
    <mergeCell ref="B4:G5"/>
    <mergeCell ref="C12:G12"/>
    <mergeCell ref="I4:M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6"/>
  <sheetViews>
    <sheetView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A4" s="54"/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A5" s="54"/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A6" s="54"/>
      <c r="I6" s="73"/>
      <c r="J6" s="73"/>
      <c r="K6" s="73"/>
      <c r="L6" s="73"/>
      <c r="M6" s="73"/>
    </row>
    <row r="7" spans="1:13" x14ac:dyDescent="0.2">
      <c r="A7" s="54"/>
      <c r="B7" s="5"/>
      <c r="C7" s="5"/>
      <c r="D7" s="5"/>
      <c r="E7" s="6" t="s">
        <v>7</v>
      </c>
      <c r="F7" s="5"/>
      <c r="G7" s="5"/>
    </row>
    <row r="8" spans="1:13" x14ac:dyDescent="0.2">
      <c r="A8" s="54"/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A9" s="54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A10" s="54"/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ht="15.75" x14ac:dyDescent="0.25">
      <c r="A11" s="54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74" t="s">
        <v>103</v>
      </c>
      <c r="J11" s="73"/>
      <c r="K11" s="73"/>
      <c r="L11" s="73"/>
      <c r="M11" s="73"/>
    </row>
    <row r="12" spans="1:13" ht="15" x14ac:dyDescent="0.2">
      <c r="A12" s="54"/>
      <c r="B12" s="6">
        <v>1</v>
      </c>
      <c r="C12" s="109" t="s">
        <v>22</v>
      </c>
      <c r="D12" s="110"/>
      <c r="E12" s="110"/>
      <c r="F12" s="110"/>
      <c r="G12" s="111"/>
      <c r="I12" s="73"/>
      <c r="J12" s="73"/>
      <c r="K12" s="73"/>
      <c r="L12" s="73"/>
      <c r="M12" s="73"/>
    </row>
    <row r="13" spans="1:13" ht="15" x14ac:dyDescent="0.2">
      <c r="A13" s="54"/>
      <c r="B13" s="6" t="s">
        <v>23</v>
      </c>
      <c r="C13" s="12" t="s">
        <v>80</v>
      </c>
      <c r="D13" s="12"/>
      <c r="E13" s="12"/>
      <c r="F13" s="13"/>
      <c r="G13" s="14">
        <v>719899</v>
      </c>
      <c r="I13" s="75"/>
      <c r="J13" s="75"/>
      <c r="K13" s="76" t="s">
        <v>7</v>
      </c>
      <c r="L13" s="75"/>
      <c r="M13" s="75"/>
    </row>
    <row r="14" spans="1:13" ht="15" x14ac:dyDescent="0.2">
      <c r="A14" s="54"/>
      <c r="B14" s="8" t="s">
        <v>24</v>
      </c>
      <c r="C14" s="12" t="s">
        <v>81</v>
      </c>
      <c r="D14" s="12"/>
      <c r="E14" s="12"/>
      <c r="F14" s="13"/>
      <c r="G14" s="56">
        <f>'A - 05-31-22'!G33</f>
        <v>98938.109999999753</v>
      </c>
      <c r="I14" s="77"/>
      <c r="J14" s="78" t="s">
        <v>8</v>
      </c>
      <c r="K14" s="78" t="s">
        <v>9</v>
      </c>
      <c r="L14" s="77"/>
      <c r="M14" s="77"/>
    </row>
    <row r="15" spans="1:13" ht="15" x14ac:dyDescent="0.2">
      <c r="A15" s="54"/>
      <c r="B15" s="8" t="s">
        <v>25</v>
      </c>
      <c r="C15" s="12" t="s">
        <v>86</v>
      </c>
      <c r="D15" s="12"/>
      <c r="E15" s="12"/>
      <c r="F15" s="13"/>
      <c r="G15" s="56">
        <f>'B - 11-30-22'!G35</f>
        <v>1463542.0900000003</v>
      </c>
      <c r="I15" s="77"/>
      <c r="J15" s="78" t="s">
        <v>10</v>
      </c>
      <c r="K15" s="78" t="s">
        <v>11</v>
      </c>
      <c r="L15" s="78" t="s">
        <v>12</v>
      </c>
      <c r="M15" s="78" t="s">
        <v>13</v>
      </c>
    </row>
    <row r="16" spans="1:13" ht="15" x14ac:dyDescent="0.2">
      <c r="A16" s="54"/>
      <c r="B16" s="8" t="s">
        <v>26</v>
      </c>
      <c r="C16" s="12" t="s">
        <v>89</v>
      </c>
      <c r="D16" s="12"/>
      <c r="E16" s="12"/>
      <c r="F16" s="15"/>
      <c r="G16" s="57">
        <f>'C - 05-31-23'!G37</f>
        <v>189267.58999999939</v>
      </c>
      <c r="I16" s="79"/>
      <c r="J16" s="79" t="s">
        <v>14</v>
      </c>
      <c r="K16" s="79" t="s">
        <v>14</v>
      </c>
      <c r="L16" s="79" t="s">
        <v>15</v>
      </c>
      <c r="M16" s="79" t="s">
        <v>15</v>
      </c>
    </row>
    <row r="17" spans="1:13" ht="15" x14ac:dyDescent="0.2">
      <c r="A17" s="54"/>
      <c r="B17" s="9" t="s">
        <v>58</v>
      </c>
      <c r="C17" s="12" t="s">
        <v>27</v>
      </c>
      <c r="D17" s="12"/>
      <c r="E17" s="12"/>
      <c r="F17" s="15"/>
      <c r="G17" s="16">
        <f>G13+G14+G15+G16</f>
        <v>2471646.7899999996</v>
      </c>
      <c r="I17" s="80" t="s">
        <v>17</v>
      </c>
      <c r="J17" s="81" t="s">
        <v>96</v>
      </c>
      <c r="K17" s="81" t="s">
        <v>18</v>
      </c>
      <c r="L17" s="81" t="s">
        <v>19</v>
      </c>
      <c r="M17" s="81" t="s">
        <v>20</v>
      </c>
    </row>
    <row r="18" spans="1:13" ht="15" x14ac:dyDescent="0.2">
      <c r="A18" s="54"/>
      <c r="B18" s="8">
        <v>2</v>
      </c>
      <c r="C18" s="17">
        <v>45108</v>
      </c>
      <c r="D18" s="57">
        <f>1420935-1952-1109</f>
        <v>1417874</v>
      </c>
      <c r="E18" s="58">
        <f>1117483.53+7892.5+238693.81+36895.15+355.13+25006.26</f>
        <v>1426326.38</v>
      </c>
      <c r="F18" s="18">
        <f t="shared" ref="F18:F25" si="0">D18-E18</f>
        <v>-8452.3799999998882</v>
      </c>
      <c r="G18" s="16">
        <f t="shared" ref="G18:G25" si="1">G17+F18</f>
        <v>2463194.4099999997</v>
      </c>
      <c r="I18" s="17">
        <v>45108</v>
      </c>
      <c r="J18" s="83">
        <f>1111028</f>
        <v>1111028</v>
      </c>
      <c r="K18" s="83">
        <v>1111028</v>
      </c>
      <c r="L18" s="84">
        <f t="shared" ref="L18:L25" si="2">J18-K18</f>
        <v>0</v>
      </c>
      <c r="M18" s="84">
        <f>L18</f>
        <v>0</v>
      </c>
    </row>
    <row r="19" spans="1:13" ht="15" x14ac:dyDescent="0.2">
      <c r="A19" s="54"/>
      <c r="B19" s="8">
        <v>3</v>
      </c>
      <c r="C19" s="19">
        <v>45139</v>
      </c>
      <c r="D19" s="59">
        <f>1493774-0-1110</f>
        <v>1492664</v>
      </c>
      <c r="E19" s="60">
        <f>1129060.01+7937.86+235665.65+32833.6+324.45+26623.39</f>
        <v>1432444.96</v>
      </c>
      <c r="F19" s="20">
        <f t="shared" si="0"/>
        <v>60219.040000000037</v>
      </c>
      <c r="G19" s="21">
        <f t="shared" si="1"/>
        <v>2523413.4499999997</v>
      </c>
      <c r="I19" s="19">
        <v>45139</v>
      </c>
      <c r="J19" s="86">
        <v>1165900</v>
      </c>
      <c r="K19" s="86">
        <v>1165900</v>
      </c>
      <c r="L19" s="87">
        <f t="shared" si="2"/>
        <v>0</v>
      </c>
      <c r="M19" s="87">
        <f>M18+L19</f>
        <v>0</v>
      </c>
    </row>
    <row r="20" spans="1:13" ht="15" x14ac:dyDescent="0.2">
      <c r="A20" s="54"/>
      <c r="B20" s="8">
        <v>4</v>
      </c>
      <c r="C20" s="19">
        <v>45170</v>
      </c>
      <c r="D20" s="59">
        <f>975287-0-868</f>
        <v>974419</v>
      </c>
      <c r="E20" s="60">
        <f>1045576.94+7438.72+231684.48+144923.17+321.64+31313.1</f>
        <v>1461258.0499999998</v>
      </c>
      <c r="F20" s="20">
        <f t="shared" si="0"/>
        <v>-486839.04999999981</v>
      </c>
      <c r="G20" s="21">
        <f t="shared" si="1"/>
        <v>2036574.4</v>
      </c>
      <c r="I20" s="19">
        <v>45170</v>
      </c>
      <c r="J20" s="86">
        <v>808644</v>
      </c>
      <c r="K20" s="86">
        <v>808644</v>
      </c>
      <c r="L20" s="87">
        <f t="shared" si="2"/>
        <v>0</v>
      </c>
      <c r="M20" s="87">
        <f t="shared" ref="M20:M23" si="3">M19+L20</f>
        <v>0</v>
      </c>
    </row>
    <row r="21" spans="1:13" ht="15" x14ac:dyDescent="0.2">
      <c r="A21" s="54"/>
      <c r="B21" s="8">
        <v>5</v>
      </c>
      <c r="C21" s="19">
        <v>45200</v>
      </c>
      <c r="D21" s="59">
        <f>804251-1500-847</f>
        <v>801904</v>
      </c>
      <c r="E21" s="60">
        <f>427193.35+3764.1+104303.06+32613.46+180.22+18959.92</f>
        <v>587014.11</v>
      </c>
      <c r="F21" s="20">
        <f t="shared" si="0"/>
        <v>214889.89</v>
      </c>
      <c r="G21" s="21">
        <f t="shared" si="1"/>
        <v>2251464.29</v>
      </c>
      <c r="I21" s="19">
        <v>45200</v>
      </c>
      <c r="J21" s="86">
        <v>904377</v>
      </c>
      <c r="K21" s="86">
        <v>904377</v>
      </c>
      <c r="L21" s="87">
        <f t="shared" si="2"/>
        <v>0</v>
      </c>
      <c r="M21" s="87">
        <f t="shared" si="3"/>
        <v>0</v>
      </c>
    </row>
    <row r="22" spans="1:13" ht="15" x14ac:dyDescent="0.2">
      <c r="A22" s="54"/>
      <c r="B22" s="8">
        <v>6</v>
      </c>
      <c r="C22" s="19">
        <v>45231</v>
      </c>
      <c r="D22" s="59">
        <f>1080306-1799-1001</f>
        <v>1077506</v>
      </c>
      <c r="E22" s="60">
        <f>650858.35+4962.63+158090.31+58860.99+418.16+20981.02</f>
        <v>894171.46000000008</v>
      </c>
      <c r="F22" s="20">
        <f t="shared" si="0"/>
        <v>183334.53999999992</v>
      </c>
      <c r="G22" s="21">
        <f t="shared" si="1"/>
        <v>2434798.83</v>
      </c>
      <c r="I22" s="19">
        <v>45231</v>
      </c>
      <c r="J22" s="86">
        <v>1115117</v>
      </c>
      <c r="K22" s="88">
        <v>1115117</v>
      </c>
      <c r="L22" s="87">
        <f t="shared" si="2"/>
        <v>0</v>
      </c>
      <c r="M22" s="87">
        <f t="shared" si="3"/>
        <v>0</v>
      </c>
    </row>
    <row r="23" spans="1:13" ht="15" x14ac:dyDescent="0.2">
      <c r="A23" s="54"/>
      <c r="B23" s="8">
        <v>7</v>
      </c>
      <c r="C23" s="19">
        <v>45261</v>
      </c>
      <c r="D23" s="59">
        <f>1201868-1859-1028</f>
        <v>1198981</v>
      </c>
      <c r="E23" s="60">
        <f>1054098.9+6203.76+204869.91+51860.04+508.97+28817.75</f>
        <v>1346359.3299999998</v>
      </c>
      <c r="F23" s="22">
        <f t="shared" si="0"/>
        <v>-147378.32999999984</v>
      </c>
      <c r="G23" s="23">
        <f t="shared" si="1"/>
        <v>2287420.5</v>
      </c>
      <c r="I23" s="19">
        <v>45261</v>
      </c>
      <c r="J23" s="90">
        <v>1058636</v>
      </c>
      <c r="K23" s="98">
        <v>1058636</v>
      </c>
      <c r="L23" s="91">
        <f t="shared" si="2"/>
        <v>0</v>
      </c>
      <c r="M23" s="91">
        <f t="shared" si="3"/>
        <v>0</v>
      </c>
    </row>
    <row r="24" spans="1:13" ht="15" x14ac:dyDescent="0.2">
      <c r="A24" s="54"/>
      <c r="B24" s="24" t="s">
        <v>28</v>
      </c>
      <c r="C24" s="17">
        <v>45292</v>
      </c>
      <c r="D24" s="57">
        <f>1464512-1725-950</f>
        <v>1461837</v>
      </c>
      <c r="E24" s="58">
        <f>1137794.05+5336.15+177809.39+55432.61+435.22+25991.95</f>
        <v>1402799.3699999999</v>
      </c>
      <c r="F24" s="18">
        <f t="shared" si="0"/>
        <v>59037.630000000121</v>
      </c>
      <c r="G24" s="16">
        <f t="shared" si="1"/>
        <v>2346458.13</v>
      </c>
      <c r="I24" s="17">
        <v>45292</v>
      </c>
      <c r="J24" s="83">
        <f>1011220</f>
        <v>1011220</v>
      </c>
      <c r="K24" s="83">
        <v>1011220</v>
      </c>
      <c r="L24" s="87">
        <f t="shared" si="2"/>
        <v>0</v>
      </c>
      <c r="M24" s="87">
        <f>M23+L24</f>
        <v>0</v>
      </c>
    </row>
    <row r="25" spans="1:13" ht="15" x14ac:dyDescent="0.2">
      <c r="A25" s="54"/>
      <c r="B25" s="25" t="s">
        <v>29</v>
      </c>
      <c r="C25" s="26">
        <v>45323</v>
      </c>
      <c r="D25" s="61">
        <f>1073797-1594-877</f>
        <v>1071326</v>
      </c>
      <c r="E25" s="62">
        <f>893179.73+4742.69+157885.01+45256.7+352.79+26800.15</f>
        <v>1128217.0699999998</v>
      </c>
      <c r="F25" s="22">
        <f t="shared" si="0"/>
        <v>-56891.069999999832</v>
      </c>
      <c r="G25" s="23">
        <f t="shared" si="1"/>
        <v>2289567.06</v>
      </c>
      <c r="I25" s="26">
        <v>45323</v>
      </c>
      <c r="J25" s="90">
        <v>1033521</v>
      </c>
      <c r="K25" s="90">
        <v>1033521</v>
      </c>
      <c r="L25" s="91">
        <f t="shared" si="2"/>
        <v>0</v>
      </c>
      <c r="M25" s="91">
        <f>M24+L25</f>
        <v>0</v>
      </c>
    </row>
    <row r="26" spans="1:13" ht="15" x14ac:dyDescent="0.2">
      <c r="A26" s="54"/>
      <c r="B26" s="9"/>
      <c r="C26" s="27" t="s">
        <v>74</v>
      </c>
      <c r="D26" s="28"/>
      <c r="E26" s="28"/>
      <c r="F26" s="28"/>
      <c r="G26" s="29"/>
      <c r="I26" s="73"/>
      <c r="J26" s="73"/>
      <c r="K26" s="73"/>
      <c r="L26" s="73"/>
      <c r="M26" s="73"/>
    </row>
    <row r="27" spans="1:13" ht="15" x14ac:dyDescent="0.2">
      <c r="A27" s="54"/>
      <c r="B27" s="6"/>
      <c r="C27" s="5"/>
      <c r="D27" s="5"/>
      <c r="E27" s="5"/>
      <c r="F27" s="5"/>
      <c r="G27" s="16"/>
      <c r="I27" s="92" t="s">
        <v>97</v>
      </c>
      <c r="J27" s="93"/>
      <c r="K27" s="93"/>
      <c r="L27" s="94"/>
      <c r="M27" s="95">
        <f>M23</f>
        <v>0</v>
      </c>
    </row>
    <row r="28" spans="1:13" ht="15" x14ac:dyDescent="0.2">
      <c r="A28" s="54"/>
      <c r="B28" s="8"/>
      <c r="C28" s="7"/>
      <c r="D28" s="8" t="s">
        <v>30</v>
      </c>
      <c r="E28" s="8" t="s">
        <v>31</v>
      </c>
      <c r="F28" s="7"/>
      <c r="G28" s="21"/>
      <c r="I28" s="73"/>
      <c r="J28" s="73"/>
      <c r="K28" s="73"/>
      <c r="L28" s="73"/>
      <c r="M28" s="96"/>
    </row>
    <row r="29" spans="1:13" ht="15" x14ac:dyDescent="0.2">
      <c r="A29" s="54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  <c r="I29" s="92" t="s">
        <v>98</v>
      </c>
      <c r="J29" s="93"/>
      <c r="K29" s="93"/>
      <c r="L29" s="94"/>
      <c r="M29" s="95">
        <f>M27/6</f>
        <v>0</v>
      </c>
    </row>
    <row r="30" spans="1:13" ht="15" x14ac:dyDescent="0.2">
      <c r="A30" s="54"/>
      <c r="B30" s="8"/>
      <c r="C30" s="7"/>
      <c r="D30" s="8" t="s">
        <v>34</v>
      </c>
      <c r="E30" s="8" t="s">
        <v>35</v>
      </c>
      <c r="F30" s="7"/>
      <c r="G30" s="30" t="s">
        <v>36</v>
      </c>
      <c r="I30" s="73"/>
      <c r="J30" s="73"/>
      <c r="K30" s="73"/>
      <c r="L30" s="73"/>
      <c r="M30" s="73"/>
    </row>
    <row r="31" spans="1:13" ht="15.75" x14ac:dyDescent="0.25">
      <c r="A31" s="54"/>
      <c r="B31" s="8"/>
      <c r="C31" s="7"/>
      <c r="D31" s="8" t="s">
        <v>37</v>
      </c>
      <c r="E31" s="8" t="s">
        <v>38</v>
      </c>
      <c r="F31" s="7"/>
      <c r="G31" s="30" t="s">
        <v>39</v>
      </c>
      <c r="I31" s="74" t="s">
        <v>104</v>
      </c>
      <c r="J31" s="73"/>
      <c r="K31" s="73"/>
      <c r="L31" s="73"/>
      <c r="M31" s="73"/>
    </row>
    <row r="32" spans="1:13" ht="15" x14ac:dyDescent="0.2">
      <c r="A32" s="54"/>
      <c r="B32" s="9"/>
      <c r="C32" s="7"/>
      <c r="D32" s="8" t="s">
        <v>40</v>
      </c>
      <c r="E32" s="8" t="s">
        <v>41</v>
      </c>
      <c r="F32" s="7"/>
      <c r="G32" s="30" t="s">
        <v>42</v>
      </c>
      <c r="I32" s="73"/>
      <c r="J32" s="73"/>
      <c r="K32" s="73"/>
      <c r="L32" s="73"/>
      <c r="M32" s="73"/>
    </row>
    <row r="33" spans="1:13" ht="15" x14ac:dyDescent="0.2">
      <c r="A33" s="54"/>
      <c r="B33" s="24" t="s">
        <v>43</v>
      </c>
      <c r="C33" s="66" t="s">
        <v>90</v>
      </c>
      <c r="D33" s="67">
        <f>-G13</f>
        <v>-719899</v>
      </c>
      <c r="E33" s="67">
        <f>D66</f>
        <v>0</v>
      </c>
      <c r="F33" s="43"/>
      <c r="G33" s="68">
        <f t="shared" ref="G33:G36" si="4">D33+E33</f>
        <v>-719899</v>
      </c>
      <c r="I33" s="75"/>
      <c r="J33" s="75"/>
      <c r="K33" s="76" t="s">
        <v>7</v>
      </c>
      <c r="L33" s="75"/>
      <c r="M33" s="75"/>
    </row>
    <row r="34" spans="1:13" ht="15" x14ac:dyDescent="0.2">
      <c r="A34" s="54"/>
      <c r="B34" s="31" t="s">
        <v>44</v>
      </c>
      <c r="C34" s="69" t="s">
        <v>84</v>
      </c>
      <c r="D34" s="70">
        <f>-G14</f>
        <v>-98938.109999999753</v>
      </c>
      <c r="E34" s="70">
        <v>0</v>
      </c>
      <c r="F34" s="44"/>
      <c r="G34" s="45">
        <f t="shared" si="4"/>
        <v>-98938.109999999753</v>
      </c>
      <c r="I34" s="77"/>
      <c r="J34" s="78" t="s">
        <v>8</v>
      </c>
      <c r="K34" s="78" t="s">
        <v>9</v>
      </c>
      <c r="L34" s="77"/>
      <c r="M34" s="77"/>
    </row>
    <row r="35" spans="1:13" ht="15" x14ac:dyDescent="0.2">
      <c r="A35" s="54"/>
      <c r="B35" s="31" t="s">
        <v>45</v>
      </c>
      <c r="C35" s="69" t="s">
        <v>87</v>
      </c>
      <c r="D35" s="70">
        <f>-G15</f>
        <v>-1463542.0900000003</v>
      </c>
      <c r="E35" s="70">
        <v>0</v>
      </c>
      <c r="F35" s="44"/>
      <c r="G35" s="45">
        <f t="shared" si="4"/>
        <v>-1463542.0900000003</v>
      </c>
      <c r="I35" s="77"/>
      <c r="J35" s="78" t="s">
        <v>10</v>
      </c>
      <c r="K35" s="78" t="s">
        <v>11</v>
      </c>
      <c r="L35" s="78" t="s">
        <v>12</v>
      </c>
      <c r="M35" s="78" t="s">
        <v>13</v>
      </c>
    </row>
    <row r="36" spans="1:13" ht="15" x14ac:dyDescent="0.2">
      <c r="A36" s="54"/>
      <c r="B36" s="31" t="s">
        <v>46</v>
      </c>
      <c r="C36" s="71" t="s">
        <v>91</v>
      </c>
      <c r="D36" s="72">
        <f>-G16</f>
        <v>-189267.58999999939</v>
      </c>
      <c r="E36" s="72">
        <v>0</v>
      </c>
      <c r="F36" s="48"/>
      <c r="G36" s="46">
        <f t="shared" si="4"/>
        <v>-189267.58999999939</v>
      </c>
      <c r="I36" s="79"/>
      <c r="J36" s="79" t="s">
        <v>14</v>
      </c>
      <c r="K36" s="79" t="s">
        <v>14</v>
      </c>
      <c r="L36" s="79" t="s">
        <v>15</v>
      </c>
      <c r="M36" s="79" t="s">
        <v>15</v>
      </c>
    </row>
    <row r="37" spans="1:13" ht="15" x14ac:dyDescent="0.2">
      <c r="A37" s="54"/>
      <c r="B37" s="9" t="s">
        <v>59</v>
      </c>
      <c r="C37" s="33"/>
      <c r="D37" s="34"/>
      <c r="E37" s="34"/>
      <c r="F37" s="35" t="s">
        <v>47</v>
      </c>
      <c r="G37" s="23">
        <f>G33+G34+G35+G36</f>
        <v>-2471646.7899999996</v>
      </c>
      <c r="I37" s="80" t="s">
        <v>17</v>
      </c>
      <c r="J37" s="81" t="s">
        <v>96</v>
      </c>
      <c r="K37" s="81" t="s">
        <v>18</v>
      </c>
      <c r="L37" s="81" t="s">
        <v>19</v>
      </c>
      <c r="M37" s="81" t="s">
        <v>20</v>
      </c>
    </row>
    <row r="38" spans="1:13" ht="15" x14ac:dyDescent="0.2">
      <c r="A38" s="54"/>
      <c r="B38" s="36"/>
      <c r="G38" s="37"/>
      <c r="I38" s="17">
        <v>45108</v>
      </c>
      <c r="J38" s="97">
        <f>272466+1109</f>
        <v>273575</v>
      </c>
      <c r="K38" s="83">
        <f>99810+17194+156571</f>
        <v>273575</v>
      </c>
      <c r="L38" s="84">
        <f>J38-K38</f>
        <v>0</v>
      </c>
      <c r="M38" s="84">
        <f>+L38</f>
        <v>0</v>
      </c>
    </row>
    <row r="39" spans="1:13" ht="15" x14ac:dyDescent="0.2">
      <c r="A39" s="54"/>
      <c r="B39" s="10">
        <v>9</v>
      </c>
      <c r="C39" s="38" t="s">
        <v>60</v>
      </c>
      <c r="D39" s="12"/>
      <c r="E39" s="12"/>
      <c r="F39" s="13"/>
      <c r="G39" s="39">
        <f>G23+G37</f>
        <v>-184226.28999999957</v>
      </c>
      <c r="I39" s="19">
        <v>45139</v>
      </c>
      <c r="J39" s="97">
        <f>300065+1110</f>
        <v>301175</v>
      </c>
      <c r="K39" s="86">
        <f>111115+19185+170875</f>
        <v>301175</v>
      </c>
      <c r="L39" s="87">
        <f>J39-K39</f>
        <v>0</v>
      </c>
      <c r="M39" s="87">
        <f>M38+L39</f>
        <v>0</v>
      </c>
    </row>
    <row r="40" spans="1:13" ht="15" x14ac:dyDescent="0.2">
      <c r="A40" s="54"/>
      <c r="B40" s="36"/>
      <c r="G40" s="37"/>
      <c r="I40" s="19">
        <v>45170</v>
      </c>
      <c r="J40" s="86">
        <f>209046+868</f>
        <v>209914</v>
      </c>
      <c r="K40" s="86">
        <f>78012+13715+118187</f>
        <v>209914</v>
      </c>
      <c r="L40" s="87">
        <f t="shared" ref="L40:L43" si="5">J40-K40</f>
        <v>0</v>
      </c>
      <c r="M40" s="87">
        <f t="shared" ref="M40:M43" si="6">M39+L40</f>
        <v>0</v>
      </c>
    </row>
    <row r="41" spans="1:13" ht="15" x14ac:dyDescent="0.2">
      <c r="A41" s="54"/>
      <c r="B41" s="10">
        <v>10</v>
      </c>
      <c r="C41" s="38" t="s">
        <v>62</v>
      </c>
      <c r="D41" s="12"/>
      <c r="E41" s="12"/>
      <c r="F41" s="13"/>
      <c r="G41" s="39">
        <f>G39/6</f>
        <v>-30704.381666666595</v>
      </c>
      <c r="I41" s="19">
        <v>45200</v>
      </c>
      <c r="J41" s="86">
        <f>208513+847</f>
        <v>209360</v>
      </c>
      <c r="K41" s="86">
        <f>75684+13174+120502</f>
        <v>209360</v>
      </c>
      <c r="L41" s="87">
        <f t="shared" si="5"/>
        <v>0</v>
      </c>
      <c r="M41" s="87">
        <f t="shared" si="6"/>
        <v>0</v>
      </c>
    </row>
    <row r="42" spans="1:13" ht="15" x14ac:dyDescent="0.2">
      <c r="A42" s="54"/>
      <c r="I42" s="19">
        <v>45231</v>
      </c>
      <c r="J42" s="86">
        <f>1001+193478</f>
        <v>194479</v>
      </c>
      <c r="K42" s="88">
        <f>80728+13300+100451</f>
        <v>194479</v>
      </c>
      <c r="L42" s="87">
        <f t="shared" si="5"/>
        <v>0</v>
      </c>
      <c r="M42" s="87">
        <f t="shared" si="6"/>
        <v>0</v>
      </c>
    </row>
    <row r="43" spans="1:13" ht="15" x14ac:dyDescent="0.2">
      <c r="A43" s="54"/>
      <c r="B43" s="5"/>
      <c r="C43" s="40" t="s">
        <v>48</v>
      </c>
      <c r="D43" s="41"/>
      <c r="E43" s="41"/>
      <c r="F43" s="41"/>
      <c r="G43" s="42"/>
      <c r="I43" s="19">
        <v>45261</v>
      </c>
      <c r="J43" s="90">
        <f>1028+196599</f>
        <v>197627</v>
      </c>
      <c r="K43" s="90">
        <f>81273+12353+104001</f>
        <v>197627</v>
      </c>
      <c r="L43" s="91">
        <f t="shared" si="5"/>
        <v>0</v>
      </c>
      <c r="M43" s="91">
        <f t="shared" si="6"/>
        <v>0</v>
      </c>
    </row>
    <row r="44" spans="1:13" ht="15" x14ac:dyDescent="0.2">
      <c r="A44" s="54"/>
      <c r="B44" s="5"/>
      <c r="C44" s="43"/>
      <c r="D44" s="43"/>
      <c r="E44" s="43"/>
      <c r="F44" s="43"/>
      <c r="G44" s="15"/>
      <c r="I44" s="17">
        <v>45292</v>
      </c>
      <c r="J44" s="83">
        <f>191495+950</f>
        <v>192445</v>
      </c>
      <c r="K44" s="83">
        <v>192445</v>
      </c>
      <c r="L44" s="87">
        <f>J44-K44</f>
        <v>0</v>
      </c>
      <c r="M44" s="87">
        <f>M43+L44</f>
        <v>0</v>
      </c>
    </row>
    <row r="45" spans="1:13" ht="15" x14ac:dyDescent="0.2">
      <c r="A45" s="54"/>
      <c r="B45" s="8">
        <v>11</v>
      </c>
      <c r="C45" s="44" t="s">
        <v>49</v>
      </c>
      <c r="D45" s="44"/>
      <c r="E45" s="44"/>
      <c r="F45" s="44"/>
      <c r="G45" s="45">
        <f>G17</f>
        <v>2471646.7899999996</v>
      </c>
      <c r="I45" s="26">
        <v>45323</v>
      </c>
      <c r="J45" s="90">
        <f>877+191084</f>
        <v>191961</v>
      </c>
      <c r="K45" s="90">
        <v>191961</v>
      </c>
      <c r="L45" s="91">
        <f>J45-K45</f>
        <v>0</v>
      </c>
      <c r="M45" s="91">
        <f>M44+L45</f>
        <v>0</v>
      </c>
    </row>
    <row r="46" spans="1:13" ht="15" x14ac:dyDescent="0.2">
      <c r="A46" s="54"/>
      <c r="B46" s="8">
        <v>12</v>
      </c>
      <c r="C46" s="44" t="s">
        <v>50</v>
      </c>
      <c r="D46" s="44"/>
      <c r="E46" s="44"/>
      <c r="F46" s="44"/>
      <c r="G46" s="46">
        <f>G37</f>
        <v>-2471646.7899999996</v>
      </c>
      <c r="I46" s="73"/>
      <c r="J46" s="73"/>
      <c r="K46" s="73"/>
      <c r="L46" s="73"/>
      <c r="M46" s="73"/>
    </row>
    <row r="47" spans="1:13" ht="15" x14ac:dyDescent="0.2">
      <c r="A47" s="54"/>
      <c r="B47" s="8"/>
      <c r="C47" s="44"/>
      <c r="D47" s="44"/>
      <c r="E47" s="44"/>
      <c r="F47" s="44"/>
      <c r="G47" s="45"/>
      <c r="I47" s="92" t="s">
        <v>97</v>
      </c>
      <c r="J47" s="93"/>
      <c r="K47" s="93"/>
      <c r="L47" s="94"/>
      <c r="M47" s="95">
        <f>M43</f>
        <v>0</v>
      </c>
    </row>
    <row r="48" spans="1:13" ht="15.75" thickBot="1" x14ac:dyDescent="0.25">
      <c r="A48" s="54"/>
      <c r="B48" s="8">
        <v>13</v>
      </c>
      <c r="C48" s="44" t="s">
        <v>51</v>
      </c>
      <c r="D48" s="44"/>
      <c r="E48" s="44"/>
      <c r="F48" s="44"/>
      <c r="G48" s="47">
        <f>G45+G46</f>
        <v>0</v>
      </c>
      <c r="I48" s="73"/>
      <c r="J48" s="73"/>
      <c r="K48" s="73"/>
      <c r="L48" s="73"/>
      <c r="M48" s="96"/>
    </row>
    <row r="49" spans="1:13" ht="15.75" thickTop="1" x14ac:dyDescent="0.2">
      <c r="A49" s="54"/>
      <c r="B49" s="8"/>
      <c r="C49" s="44"/>
      <c r="D49" s="44"/>
      <c r="E49" s="44"/>
      <c r="F49" s="44"/>
      <c r="G49" s="45"/>
      <c r="I49" s="92" t="s">
        <v>98</v>
      </c>
      <c r="J49" s="93"/>
      <c r="K49" s="93"/>
      <c r="L49" s="94"/>
      <c r="M49" s="95">
        <f>M47/6</f>
        <v>0</v>
      </c>
    </row>
    <row r="50" spans="1:13" x14ac:dyDescent="0.2">
      <c r="A50" s="54"/>
      <c r="B50" s="8">
        <v>14</v>
      </c>
      <c r="C50" s="44" t="s">
        <v>52</v>
      </c>
      <c r="D50" s="44"/>
      <c r="E50" s="44"/>
      <c r="F50" s="44"/>
      <c r="G50" s="45">
        <f>G39</f>
        <v>-184226.28999999957</v>
      </c>
    </row>
    <row r="51" spans="1:13" x14ac:dyDescent="0.2">
      <c r="A51" s="54"/>
      <c r="B51" s="8"/>
      <c r="C51" s="44"/>
      <c r="D51" s="44"/>
      <c r="E51" s="44"/>
      <c r="F51" s="44"/>
      <c r="G51" s="45"/>
    </row>
    <row r="52" spans="1:13" x14ac:dyDescent="0.2">
      <c r="A52" s="54"/>
      <c r="B52" s="8">
        <v>15</v>
      </c>
      <c r="C52" s="44" t="s">
        <v>53</v>
      </c>
      <c r="D52" s="44"/>
      <c r="E52" s="44"/>
      <c r="F52" s="44"/>
      <c r="G52" s="46">
        <f>SUM(F18:F23)</f>
        <v>-184226.28999999957</v>
      </c>
    </row>
    <row r="53" spans="1:13" x14ac:dyDescent="0.2">
      <c r="A53" s="54"/>
      <c r="B53" s="8"/>
      <c r="C53" s="44"/>
      <c r="D53" s="44"/>
      <c r="E53" s="44"/>
      <c r="F53" s="44"/>
      <c r="G53" s="45"/>
    </row>
    <row r="54" spans="1:13" ht="15" thickBot="1" x14ac:dyDescent="0.25">
      <c r="A54" s="54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13" ht="15" thickTop="1" x14ac:dyDescent="0.2">
      <c r="A55" s="54"/>
      <c r="B55" s="32"/>
      <c r="C55" s="48"/>
      <c r="D55" s="48"/>
      <c r="E55" s="48"/>
      <c r="F55" s="48"/>
      <c r="G55" s="49"/>
    </row>
    <row r="56" spans="1:13" x14ac:dyDescent="0.2">
      <c r="A56" s="54"/>
    </row>
    <row r="57" spans="1:13" x14ac:dyDescent="0.2">
      <c r="A57" s="54"/>
      <c r="B57" t="s">
        <v>55</v>
      </c>
    </row>
    <row r="58" spans="1:13" x14ac:dyDescent="0.2">
      <c r="A58" s="54"/>
      <c r="B58" s="36"/>
      <c r="C58" s="5"/>
      <c r="D58" s="6" t="s">
        <v>56</v>
      </c>
      <c r="E58" s="31"/>
      <c r="F58" s="100"/>
      <c r="G58" s="100"/>
    </row>
    <row r="59" spans="1:13" x14ac:dyDescent="0.2">
      <c r="B59" s="36"/>
      <c r="C59" s="9" t="s">
        <v>17</v>
      </c>
      <c r="D59" s="9" t="s">
        <v>105</v>
      </c>
      <c r="E59" s="31"/>
      <c r="F59" s="100"/>
      <c r="G59" s="100"/>
    </row>
    <row r="60" spans="1:13" x14ac:dyDescent="0.2">
      <c r="C60" s="17">
        <v>45108</v>
      </c>
      <c r="D60" s="50">
        <v>0</v>
      </c>
      <c r="E60" s="101"/>
      <c r="F60" s="70"/>
      <c r="G60" s="70"/>
    </row>
    <row r="61" spans="1:13" x14ac:dyDescent="0.2">
      <c r="C61" s="19">
        <v>45139</v>
      </c>
      <c r="D61" s="51">
        <v>0</v>
      </c>
      <c r="E61" s="101"/>
      <c r="F61" s="70"/>
      <c r="G61" s="70"/>
    </row>
    <row r="62" spans="1:13" x14ac:dyDescent="0.2">
      <c r="C62" s="19">
        <v>45170</v>
      </c>
      <c r="D62" s="51">
        <v>0</v>
      </c>
      <c r="E62" s="101"/>
      <c r="F62" s="70"/>
      <c r="G62" s="70"/>
    </row>
    <row r="63" spans="1:13" x14ac:dyDescent="0.2">
      <c r="C63" s="19">
        <v>45200</v>
      </c>
      <c r="D63" s="51">
        <v>0</v>
      </c>
      <c r="E63" s="101"/>
      <c r="F63" s="70"/>
      <c r="G63" s="70"/>
    </row>
    <row r="64" spans="1:13" x14ac:dyDescent="0.2">
      <c r="C64" s="19">
        <v>45231</v>
      </c>
      <c r="D64" s="51">
        <v>0</v>
      </c>
      <c r="E64" s="101"/>
      <c r="F64" s="70"/>
      <c r="G64" s="70"/>
    </row>
    <row r="65" spans="3:7" x14ac:dyDescent="0.2">
      <c r="C65" s="19">
        <v>45261</v>
      </c>
      <c r="D65" s="52">
        <v>0</v>
      </c>
      <c r="E65" s="101"/>
      <c r="F65" s="70"/>
      <c r="G65" s="70"/>
    </row>
    <row r="66" spans="3:7" x14ac:dyDescent="0.2">
      <c r="C66" s="53" t="s">
        <v>57</v>
      </c>
      <c r="D66" s="39">
        <f>SUM(D60:D65)</f>
        <v>0</v>
      </c>
      <c r="E66" s="20"/>
      <c r="F66" s="70"/>
      <c r="G66" s="70"/>
    </row>
  </sheetData>
  <mergeCells count="3">
    <mergeCell ref="B4:G5"/>
    <mergeCell ref="C12:G12"/>
    <mergeCell ref="I4:M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7"/>
  <sheetViews>
    <sheetView workbookViewId="0">
      <selection activeCell="E31" sqref="E31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I6" s="73"/>
      <c r="J6" s="73"/>
      <c r="K6" s="73"/>
      <c r="L6" s="73"/>
      <c r="M6" s="73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ht="15.75" x14ac:dyDescent="0.25">
      <c r="B12" s="6">
        <v>1</v>
      </c>
      <c r="C12" s="109" t="s">
        <v>22</v>
      </c>
      <c r="D12" s="110"/>
      <c r="E12" s="110"/>
      <c r="F12" s="110"/>
      <c r="G12" s="111"/>
      <c r="I12" s="74" t="s">
        <v>103</v>
      </c>
      <c r="J12" s="73"/>
      <c r="K12" s="73"/>
      <c r="L12" s="73"/>
      <c r="M12" s="73"/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719899</v>
      </c>
      <c r="I13" s="73"/>
      <c r="J13" s="73"/>
      <c r="K13" s="73"/>
      <c r="L13" s="73"/>
      <c r="M13" s="73"/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98938.109999999753</v>
      </c>
      <c r="I14" s="75"/>
      <c r="J14" s="75"/>
      <c r="K14" s="76" t="s">
        <v>7</v>
      </c>
      <c r="L14" s="75"/>
      <c r="M14" s="75"/>
    </row>
    <row r="15" spans="1:13" ht="15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1463542.0900000003</v>
      </c>
      <c r="I15" s="77"/>
      <c r="J15" s="78" t="s">
        <v>8</v>
      </c>
      <c r="K15" s="78" t="s">
        <v>9</v>
      </c>
      <c r="L15" s="77"/>
      <c r="M15" s="77"/>
    </row>
    <row r="16" spans="1:13" ht="15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189267.58999999939</v>
      </c>
      <c r="I16" s="77"/>
      <c r="J16" s="78" t="s">
        <v>10</v>
      </c>
      <c r="K16" s="78" t="s">
        <v>11</v>
      </c>
      <c r="L16" s="78" t="s">
        <v>12</v>
      </c>
      <c r="M16" s="78" t="s">
        <v>13</v>
      </c>
    </row>
    <row r="17" spans="2:13" ht="15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-184226.28999999957</v>
      </c>
      <c r="I17" s="79"/>
      <c r="J17" s="79" t="s">
        <v>14</v>
      </c>
      <c r="K17" s="79" t="s">
        <v>14</v>
      </c>
      <c r="L17" s="79" t="s">
        <v>15</v>
      </c>
      <c r="M17" s="79" t="s">
        <v>15</v>
      </c>
    </row>
    <row r="18" spans="2:13" ht="15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2287420.5</v>
      </c>
      <c r="I18" s="80" t="s">
        <v>17</v>
      </c>
      <c r="J18" s="81" t="s">
        <v>96</v>
      </c>
      <c r="K18" s="81" t="s">
        <v>18</v>
      </c>
      <c r="L18" s="81" t="s">
        <v>19</v>
      </c>
      <c r="M18" s="81" t="s">
        <v>20</v>
      </c>
    </row>
    <row r="19" spans="2:13" ht="15" x14ac:dyDescent="0.2">
      <c r="B19" s="8">
        <v>2</v>
      </c>
      <c r="C19" s="17">
        <v>45292</v>
      </c>
      <c r="D19" s="57">
        <f>1464512-1725-950</f>
        <v>1461837</v>
      </c>
      <c r="E19" s="58">
        <f>1137794.05+5336.15+177809.39+55432.61+435.22+25991.95</f>
        <v>1402799.3699999999</v>
      </c>
      <c r="F19" s="18">
        <f t="shared" ref="F19:F26" si="0">D19-E19</f>
        <v>59037.630000000121</v>
      </c>
      <c r="G19" s="16">
        <f t="shared" ref="G19:G26" si="1">G18+F19</f>
        <v>2346458.13</v>
      </c>
      <c r="I19" s="17">
        <v>45292</v>
      </c>
      <c r="J19" s="83">
        <f>1011220</f>
        <v>1011220</v>
      </c>
      <c r="K19" s="83">
        <v>1011220</v>
      </c>
      <c r="L19" s="84">
        <f t="shared" ref="L19:L26" si="2">J19-K19</f>
        <v>0</v>
      </c>
      <c r="M19" s="84">
        <f>L19</f>
        <v>0</v>
      </c>
    </row>
    <row r="20" spans="2:13" ht="15" x14ac:dyDescent="0.2">
      <c r="B20" s="8">
        <v>3</v>
      </c>
      <c r="C20" s="19">
        <v>45323</v>
      </c>
      <c r="D20" s="59">
        <f>1073797-1594-877</f>
        <v>1071326</v>
      </c>
      <c r="E20" s="60">
        <f>893179.73+4742.69+157885.01+45256.7+352.79+26800.15</f>
        <v>1128217.0699999998</v>
      </c>
      <c r="F20" s="20">
        <f t="shared" si="0"/>
        <v>-56891.069999999832</v>
      </c>
      <c r="G20" s="21">
        <f t="shared" si="1"/>
        <v>2289567.06</v>
      </c>
      <c r="I20" s="19">
        <v>45323</v>
      </c>
      <c r="J20" s="86">
        <v>1033521</v>
      </c>
      <c r="K20" s="86">
        <v>1033521</v>
      </c>
      <c r="L20" s="87">
        <f t="shared" si="2"/>
        <v>0</v>
      </c>
      <c r="M20" s="87">
        <f>M19+L20</f>
        <v>0</v>
      </c>
    </row>
    <row r="21" spans="2:13" ht="15" x14ac:dyDescent="0.2">
      <c r="B21" s="8">
        <v>4</v>
      </c>
      <c r="C21" s="19">
        <v>45352</v>
      </c>
      <c r="D21" s="59">
        <f>662052-1134-620</f>
        <v>660298</v>
      </c>
      <c r="E21" s="60">
        <f>632397.4+4174.91+128142.96+94459.5+270.92+19260.92</f>
        <v>878706.6100000001</v>
      </c>
      <c r="F21" s="20">
        <f t="shared" si="0"/>
        <v>-218408.6100000001</v>
      </c>
      <c r="G21" s="21">
        <f t="shared" si="1"/>
        <v>2071158.45</v>
      </c>
      <c r="I21" s="19">
        <v>45352</v>
      </c>
      <c r="J21" s="86">
        <v>761094</v>
      </c>
      <c r="K21" s="86">
        <v>761094</v>
      </c>
      <c r="L21" s="87">
        <f t="shared" si="2"/>
        <v>0</v>
      </c>
      <c r="M21" s="87">
        <f t="shared" ref="M21:M24" si="3">M20+L21</f>
        <v>0</v>
      </c>
    </row>
    <row r="22" spans="2:13" ht="15" x14ac:dyDescent="0.2">
      <c r="B22" s="8">
        <v>5</v>
      </c>
      <c r="C22" s="19">
        <v>45383</v>
      </c>
      <c r="D22" s="59">
        <f>695441-1549-845</f>
        <v>693047</v>
      </c>
      <c r="E22" s="60">
        <f>193255.72+1336.6+35985.22+11287+82.76+6084.18</f>
        <v>248031.48</v>
      </c>
      <c r="F22" s="20">
        <f t="shared" si="0"/>
        <v>445015.52</v>
      </c>
      <c r="G22" s="21">
        <f t="shared" si="1"/>
        <v>2516173.9699999997</v>
      </c>
      <c r="I22" s="19">
        <v>45383</v>
      </c>
      <c r="J22" s="86">
        <f>791987</f>
        <v>791987</v>
      </c>
      <c r="K22" s="86">
        <v>791987</v>
      </c>
      <c r="L22" s="87">
        <f t="shared" si="2"/>
        <v>0</v>
      </c>
      <c r="M22" s="87">
        <f t="shared" si="3"/>
        <v>0</v>
      </c>
    </row>
    <row r="23" spans="2:13" ht="15" x14ac:dyDescent="0.2">
      <c r="B23" s="8">
        <v>6</v>
      </c>
      <c r="C23" s="19">
        <v>45413</v>
      </c>
      <c r="D23" s="59">
        <f>1098082-1890-1019</f>
        <v>1095173</v>
      </c>
      <c r="E23" s="60">
        <f>879845.69+6317.59+198003.66-18788.91+381.58+26203.32</f>
        <v>1091962.9300000002</v>
      </c>
      <c r="F23" s="20">
        <f t="shared" si="0"/>
        <v>3210.0699999998324</v>
      </c>
      <c r="G23" s="21">
        <f t="shared" si="1"/>
        <v>2519384.0399999996</v>
      </c>
      <c r="I23" s="19">
        <v>45413</v>
      </c>
      <c r="J23" s="86">
        <f>1098926</f>
        <v>1098926</v>
      </c>
      <c r="K23" s="88">
        <v>1098926</v>
      </c>
      <c r="L23" s="87">
        <f t="shared" si="2"/>
        <v>0</v>
      </c>
      <c r="M23" s="87">
        <f t="shared" si="3"/>
        <v>0</v>
      </c>
    </row>
    <row r="24" spans="2:13" ht="15" x14ac:dyDescent="0.2">
      <c r="B24" s="8">
        <v>7</v>
      </c>
      <c r="C24" s="19">
        <v>45444</v>
      </c>
      <c r="D24" s="59">
        <f>1553250-2292-1235</f>
        <v>1549723</v>
      </c>
      <c r="E24" s="60">
        <f>1170507.12+8074.57+250331.53+37432.75+364.92+34408.34</f>
        <v>1501119.2300000002</v>
      </c>
      <c r="F24" s="22">
        <f t="shared" si="0"/>
        <v>48603.769999999786</v>
      </c>
      <c r="G24" s="23">
        <f t="shared" si="1"/>
        <v>2567987.8099999996</v>
      </c>
      <c r="I24" s="19">
        <v>45444</v>
      </c>
      <c r="J24" s="90">
        <f>1172801</f>
        <v>1172801</v>
      </c>
      <c r="K24" s="98">
        <v>1172801</v>
      </c>
      <c r="L24" s="91">
        <f t="shared" si="2"/>
        <v>0</v>
      </c>
      <c r="M24" s="91">
        <f t="shared" si="3"/>
        <v>0</v>
      </c>
    </row>
    <row r="25" spans="2:13" ht="15" x14ac:dyDescent="0.2">
      <c r="B25" s="24" t="s">
        <v>28</v>
      </c>
      <c r="C25" s="17">
        <v>45474</v>
      </c>
      <c r="D25" s="57">
        <f>1466840-0-1129</f>
        <v>1465711</v>
      </c>
      <c r="E25" s="58">
        <f>1619191.83+8847.92+315050.53+94986.08+428.26+35543.07</f>
        <v>2074047.6900000002</v>
      </c>
      <c r="F25" s="18">
        <f t="shared" si="0"/>
        <v>-608336.69000000018</v>
      </c>
      <c r="G25" s="16">
        <f t="shared" si="1"/>
        <v>1959651.1199999994</v>
      </c>
      <c r="I25" s="17">
        <v>45474</v>
      </c>
      <c r="J25" s="83">
        <v>1159487</v>
      </c>
      <c r="K25" s="83">
        <v>1159487</v>
      </c>
      <c r="L25" s="87">
        <f t="shared" si="2"/>
        <v>0</v>
      </c>
      <c r="M25" s="87">
        <f>M24+L25</f>
        <v>0</v>
      </c>
    </row>
    <row r="26" spans="2:13" ht="15" x14ac:dyDescent="0.2">
      <c r="B26" s="25" t="s">
        <v>29</v>
      </c>
      <c r="C26" s="26">
        <v>45505</v>
      </c>
      <c r="D26" s="61">
        <f>1330171-0-1002</f>
        <v>1329169</v>
      </c>
      <c r="E26" s="62">
        <f>1250451.12+7066.95+257085.48+86994.63+368.77+30084.13</f>
        <v>1632051.08</v>
      </c>
      <c r="F26" s="22">
        <f t="shared" si="0"/>
        <v>-302882.08000000007</v>
      </c>
      <c r="G26" s="23">
        <f t="shared" si="1"/>
        <v>1656769.0399999993</v>
      </c>
      <c r="I26" s="26">
        <v>45505</v>
      </c>
      <c r="J26" s="90">
        <v>1132484</v>
      </c>
      <c r="K26" s="90">
        <v>1132484</v>
      </c>
      <c r="L26" s="91">
        <f t="shared" si="2"/>
        <v>0</v>
      </c>
      <c r="M26" s="91">
        <f>M25+L26</f>
        <v>0</v>
      </c>
    </row>
    <row r="27" spans="2:13" ht="15" x14ac:dyDescent="0.2">
      <c r="B27" s="9"/>
      <c r="C27" s="27" t="s">
        <v>76</v>
      </c>
      <c r="D27" s="28"/>
      <c r="E27" s="28"/>
      <c r="F27" s="28"/>
      <c r="G27" s="29"/>
      <c r="I27" s="73"/>
      <c r="J27" s="73"/>
      <c r="K27" s="73"/>
      <c r="L27" s="73"/>
      <c r="M27" s="73"/>
    </row>
    <row r="28" spans="2:13" ht="15" x14ac:dyDescent="0.2">
      <c r="B28" s="6"/>
      <c r="C28" s="5"/>
      <c r="D28" s="5"/>
      <c r="E28" s="5"/>
      <c r="F28" s="5"/>
      <c r="G28" s="16"/>
      <c r="I28" s="92" t="s">
        <v>97</v>
      </c>
      <c r="J28" s="93"/>
      <c r="K28" s="93"/>
      <c r="L28" s="94"/>
      <c r="M28" s="95">
        <f>M24</f>
        <v>0</v>
      </c>
    </row>
    <row r="29" spans="2:13" ht="15" x14ac:dyDescent="0.2">
      <c r="B29" s="8"/>
      <c r="C29" s="7"/>
      <c r="D29" s="8" t="s">
        <v>30</v>
      </c>
      <c r="E29" s="8" t="s">
        <v>31</v>
      </c>
      <c r="F29" s="7"/>
      <c r="G29" s="21"/>
      <c r="I29" s="73"/>
      <c r="J29" s="73"/>
      <c r="K29" s="73"/>
      <c r="L29" s="73"/>
      <c r="M29" s="96"/>
    </row>
    <row r="30" spans="2:13" ht="15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  <c r="I30" s="92" t="s">
        <v>98</v>
      </c>
      <c r="J30" s="93"/>
      <c r="K30" s="93"/>
      <c r="L30" s="94"/>
      <c r="M30" s="95">
        <f>M28/6</f>
        <v>0</v>
      </c>
    </row>
    <row r="31" spans="2:13" ht="15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  <c r="I31" s="73"/>
      <c r="J31" s="73"/>
      <c r="K31" s="73"/>
      <c r="L31" s="73"/>
      <c r="M31" s="73"/>
    </row>
    <row r="32" spans="2:13" ht="15.75" x14ac:dyDescent="0.25">
      <c r="B32" s="8"/>
      <c r="C32" s="7"/>
      <c r="D32" s="8" t="s">
        <v>37</v>
      </c>
      <c r="E32" s="8" t="s">
        <v>38</v>
      </c>
      <c r="F32" s="7"/>
      <c r="G32" s="30" t="s">
        <v>39</v>
      </c>
      <c r="I32" s="74" t="s">
        <v>104</v>
      </c>
      <c r="J32" s="73"/>
      <c r="K32" s="73"/>
      <c r="L32" s="73"/>
      <c r="M32" s="73"/>
    </row>
    <row r="33" spans="2:13" ht="15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  <c r="I33" s="73"/>
      <c r="J33" s="73"/>
      <c r="K33" s="73"/>
      <c r="L33" s="73"/>
      <c r="M33" s="73"/>
    </row>
    <row r="34" spans="2:13" ht="15" x14ac:dyDescent="0.2">
      <c r="B34" s="24" t="s">
        <v>43</v>
      </c>
      <c r="C34" s="5" t="s">
        <v>90</v>
      </c>
      <c r="D34" s="16">
        <f>-G13</f>
        <v>-719899</v>
      </c>
      <c r="E34" s="16">
        <f>D68</f>
        <v>479932</v>
      </c>
      <c r="F34" s="5"/>
      <c r="G34" s="16">
        <f t="shared" ref="G34:G38" si="4">D34+E34</f>
        <v>-239967</v>
      </c>
      <c r="I34" s="75"/>
      <c r="J34" s="75"/>
      <c r="K34" s="76" t="s">
        <v>7</v>
      </c>
      <c r="L34" s="75"/>
      <c r="M34" s="75"/>
    </row>
    <row r="35" spans="2:13" ht="15" x14ac:dyDescent="0.2">
      <c r="B35" s="31" t="s">
        <v>44</v>
      </c>
      <c r="C35" s="7" t="s">
        <v>84</v>
      </c>
      <c r="D35" s="21">
        <f>-G14</f>
        <v>-98938.109999999753</v>
      </c>
      <c r="E35" s="21">
        <v>0</v>
      </c>
      <c r="F35" s="7"/>
      <c r="G35" s="21">
        <f t="shared" si="4"/>
        <v>-98938.109999999753</v>
      </c>
      <c r="I35" s="77"/>
      <c r="J35" s="78" t="s">
        <v>8</v>
      </c>
      <c r="K35" s="78" t="s">
        <v>9</v>
      </c>
      <c r="L35" s="77"/>
      <c r="M35" s="77"/>
    </row>
    <row r="36" spans="2:13" ht="15" x14ac:dyDescent="0.2">
      <c r="B36" s="31" t="s">
        <v>45</v>
      </c>
      <c r="C36" s="7" t="s">
        <v>87</v>
      </c>
      <c r="D36" s="21">
        <f>-G15</f>
        <v>-1463542.0900000003</v>
      </c>
      <c r="E36" s="21">
        <v>0</v>
      </c>
      <c r="F36" s="7"/>
      <c r="G36" s="21">
        <f t="shared" si="4"/>
        <v>-1463542.0900000003</v>
      </c>
      <c r="I36" s="77"/>
      <c r="J36" s="78" t="s">
        <v>10</v>
      </c>
      <c r="K36" s="78" t="s">
        <v>11</v>
      </c>
      <c r="L36" s="78" t="s">
        <v>12</v>
      </c>
      <c r="M36" s="78" t="s">
        <v>13</v>
      </c>
    </row>
    <row r="37" spans="2:13" ht="15" x14ac:dyDescent="0.2">
      <c r="B37" s="31" t="s">
        <v>46</v>
      </c>
      <c r="C37" s="7" t="s">
        <v>91</v>
      </c>
      <c r="D37" s="21">
        <f>-G16</f>
        <v>-189267.58999999939</v>
      </c>
      <c r="E37" s="21">
        <v>0</v>
      </c>
      <c r="F37" s="7"/>
      <c r="G37" s="21">
        <f t="shared" si="4"/>
        <v>-189267.58999999939</v>
      </c>
      <c r="I37" s="79"/>
      <c r="J37" s="79" t="s">
        <v>14</v>
      </c>
      <c r="K37" s="79" t="s">
        <v>14</v>
      </c>
      <c r="L37" s="79" t="s">
        <v>15</v>
      </c>
      <c r="M37" s="79" t="s">
        <v>15</v>
      </c>
    </row>
    <row r="38" spans="2:13" ht="15" x14ac:dyDescent="0.2">
      <c r="B38" s="31" t="s">
        <v>59</v>
      </c>
      <c r="C38" s="32" t="s">
        <v>93</v>
      </c>
      <c r="D38" s="23">
        <f>-G17</f>
        <v>184226.28999999957</v>
      </c>
      <c r="E38" s="23">
        <v>0</v>
      </c>
      <c r="F38" s="32"/>
      <c r="G38" s="23">
        <f t="shared" si="4"/>
        <v>184226.28999999957</v>
      </c>
      <c r="I38" s="80" t="s">
        <v>17</v>
      </c>
      <c r="J38" s="81" t="s">
        <v>96</v>
      </c>
      <c r="K38" s="81" t="s">
        <v>18</v>
      </c>
      <c r="L38" s="81" t="s">
        <v>19</v>
      </c>
      <c r="M38" s="81" t="s">
        <v>20</v>
      </c>
    </row>
    <row r="39" spans="2:13" ht="15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-1807488.5</v>
      </c>
      <c r="I39" s="17">
        <v>45292</v>
      </c>
      <c r="J39" s="97">
        <f>191495+950</f>
        <v>192445</v>
      </c>
      <c r="K39" s="83">
        <v>192445</v>
      </c>
      <c r="L39" s="84">
        <f>J39-K39</f>
        <v>0</v>
      </c>
      <c r="M39" s="84">
        <f>+L39</f>
        <v>0</v>
      </c>
    </row>
    <row r="40" spans="2:13" ht="15" x14ac:dyDescent="0.2">
      <c r="B40" s="36"/>
      <c r="G40" s="37"/>
      <c r="I40" s="19">
        <v>45323</v>
      </c>
      <c r="J40" s="97">
        <f>877+191084</f>
        <v>191961</v>
      </c>
      <c r="K40" s="86">
        <v>191961</v>
      </c>
      <c r="L40" s="87">
        <f>J40-K40</f>
        <v>0</v>
      </c>
      <c r="M40" s="87">
        <f>M39+L40</f>
        <v>0</v>
      </c>
    </row>
    <row r="41" spans="2:13" ht="15" x14ac:dyDescent="0.2">
      <c r="B41" s="10">
        <v>9</v>
      </c>
      <c r="C41" s="38" t="s">
        <v>67</v>
      </c>
      <c r="D41" s="12"/>
      <c r="E41" s="12"/>
      <c r="F41" s="13"/>
      <c r="G41" s="39">
        <f>G24+G39</f>
        <v>760499.30999999959</v>
      </c>
      <c r="I41" s="19">
        <v>45352</v>
      </c>
      <c r="J41" s="86">
        <f>620+132107</f>
        <v>132727</v>
      </c>
      <c r="K41" s="86">
        <v>132727</v>
      </c>
      <c r="L41" s="87">
        <f t="shared" ref="L41:L44" si="5">J41-K41</f>
        <v>0</v>
      </c>
      <c r="M41" s="87">
        <f t="shared" ref="M41:M44" si="6">M40+L41</f>
        <v>0</v>
      </c>
    </row>
    <row r="42" spans="2:13" ht="15" x14ac:dyDescent="0.2">
      <c r="B42" s="36"/>
      <c r="G42" s="37"/>
      <c r="I42" s="19">
        <v>45383</v>
      </c>
      <c r="J42" s="86">
        <f>845+139845</f>
        <v>140690</v>
      </c>
      <c r="K42" s="86">
        <v>140690</v>
      </c>
      <c r="L42" s="87">
        <f t="shared" si="5"/>
        <v>0</v>
      </c>
      <c r="M42" s="87">
        <f t="shared" si="6"/>
        <v>0</v>
      </c>
    </row>
    <row r="43" spans="2:13" ht="15" x14ac:dyDescent="0.2">
      <c r="B43" s="10">
        <v>10</v>
      </c>
      <c r="C43" s="38" t="s">
        <v>62</v>
      </c>
      <c r="D43" s="12"/>
      <c r="E43" s="12"/>
      <c r="F43" s="13"/>
      <c r="G43" s="39">
        <f>G41/6</f>
        <v>126749.88499999994</v>
      </c>
      <c r="I43" s="19">
        <v>45413</v>
      </c>
      <c r="J43" s="86">
        <f>1019+218778</f>
        <v>219797</v>
      </c>
      <c r="K43" s="88">
        <v>219797</v>
      </c>
      <c r="L43" s="87">
        <f t="shared" si="5"/>
        <v>0</v>
      </c>
      <c r="M43" s="87">
        <f t="shared" si="6"/>
        <v>0</v>
      </c>
    </row>
    <row r="44" spans="2:13" ht="15" x14ac:dyDescent="0.2">
      <c r="I44" s="19">
        <v>45444</v>
      </c>
      <c r="J44" s="90">
        <f>1235+254843</f>
        <v>256078</v>
      </c>
      <c r="K44" s="98">
        <v>256078</v>
      </c>
      <c r="L44" s="91">
        <f t="shared" si="5"/>
        <v>0</v>
      </c>
      <c r="M44" s="91">
        <f t="shared" si="6"/>
        <v>0</v>
      </c>
    </row>
    <row r="45" spans="2:13" ht="15" x14ac:dyDescent="0.2">
      <c r="B45" s="5"/>
      <c r="C45" s="40" t="s">
        <v>48</v>
      </c>
      <c r="D45" s="41"/>
      <c r="E45" s="41"/>
      <c r="F45" s="41"/>
      <c r="G45" s="42"/>
      <c r="I45" s="17">
        <v>45474</v>
      </c>
      <c r="J45" s="83">
        <f>1129+239251</f>
        <v>240380</v>
      </c>
      <c r="K45" s="83">
        <v>240380</v>
      </c>
      <c r="L45" s="87">
        <f>J45-K45</f>
        <v>0</v>
      </c>
      <c r="M45" s="87">
        <f>M44+L45</f>
        <v>0</v>
      </c>
    </row>
    <row r="46" spans="2:13" ht="15" x14ac:dyDescent="0.2">
      <c r="B46" s="5"/>
      <c r="C46" s="43"/>
      <c r="D46" s="43"/>
      <c r="E46" s="43"/>
      <c r="F46" s="43"/>
      <c r="G46" s="15"/>
      <c r="I46" s="26">
        <v>45505</v>
      </c>
      <c r="J46" s="90">
        <f>1002+220642</f>
        <v>221644</v>
      </c>
      <c r="K46" s="90">
        <v>221644</v>
      </c>
      <c r="L46" s="91">
        <f>J46-K46</f>
        <v>0</v>
      </c>
      <c r="M46" s="91">
        <f>M45+L46</f>
        <v>0</v>
      </c>
    </row>
    <row r="47" spans="2:13" ht="15" x14ac:dyDescent="0.2">
      <c r="B47" s="8">
        <v>11</v>
      </c>
      <c r="C47" s="44" t="s">
        <v>49</v>
      </c>
      <c r="D47" s="44"/>
      <c r="E47" s="44"/>
      <c r="F47" s="44"/>
      <c r="G47" s="45">
        <f>G18</f>
        <v>2287420.5</v>
      </c>
      <c r="I47" s="73"/>
      <c r="J47" s="73"/>
      <c r="K47" s="73"/>
      <c r="L47" s="73"/>
      <c r="M47" s="73"/>
    </row>
    <row r="48" spans="2:13" ht="15" x14ac:dyDescent="0.2">
      <c r="B48" s="8">
        <v>12</v>
      </c>
      <c r="C48" s="44" t="s">
        <v>50</v>
      </c>
      <c r="D48" s="44"/>
      <c r="E48" s="44"/>
      <c r="F48" s="44"/>
      <c r="G48" s="46">
        <f>G39</f>
        <v>-1807488.5</v>
      </c>
      <c r="I48" s="92" t="s">
        <v>97</v>
      </c>
      <c r="J48" s="93"/>
      <c r="K48" s="93"/>
      <c r="L48" s="94"/>
      <c r="M48" s="95">
        <f>M44</f>
        <v>0</v>
      </c>
    </row>
    <row r="49" spans="2:13" ht="15" x14ac:dyDescent="0.2">
      <c r="B49" s="8"/>
      <c r="C49" s="44"/>
      <c r="D49" s="44"/>
      <c r="E49" s="44"/>
      <c r="F49" s="44"/>
      <c r="G49" s="45"/>
      <c r="I49" s="73"/>
      <c r="J49" s="73"/>
      <c r="K49" s="73"/>
      <c r="L49" s="73"/>
      <c r="M49" s="96"/>
    </row>
    <row r="50" spans="2:13" ht="15.7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479932</v>
      </c>
      <c r="I50" s="92" t="s">
        <v>98</v>
      </c>
      <c r="J50" s="93"/>
      <c r="K50" s="93"/>
      <c r="L50" s="94"/>
      <c r="M50" s="95">
        <f>M48/6</f>
        <v>0</v>
      </c>
    </row>
    <row r="51" spans="2:13" ht="15" thickTop="1" x14ac:dyDescent="0.2">
      <c r="B51" s="8"/>
      <c r="C51" s="44"/>
      <c r="D51" s="44"/>
      <c r="E51" s="44"/>
      <c r="F51" s="44"/>
      <c r="G51" s="45"/>
    </row>
    <row r="52" spans="2:13" x14ac:dyDescent="0.2">
      <c r="B52" s="8">
        <v>14</v>
      </c>
      <c r="C52" s="44" t="s">
        <v>52</v>
      </c>
      <c r="D52" s="44"/>
      <c r="E52" s="44"/>
      <c r="F52" s="44"/>
      <c r="G52" s="45">
        <f>G41</f>
        <v>760499.30999999959</v>
      </c>
    </row>
    <row r="53" spans="2:13" x14ac:dyDescent="0.2">
      <c r="B53" s="8"/>
      <c r="C53" s="44"/>
      <c r="D53" s="44"/>
      <c r="E53" s="44"/>
      <c r="F53" s="44"/>
      <c r="G53" s="45"/>
    </row>
    <row r="54" spans="2:13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280567.30999999982</v>
      </c>
    </row>
    <row r="55" spans="2:13" x14ac:dyDescent="0.2">
      <c r="B55" s="8"/>
      <c r="C55" s="44"/>
      <c r="D55" s="44"/>
      <c r="E55" s="44"/>
      <c r="F55" s="44"/>
      <c r="G55" s="45"/>
    </row>
    <row r="56" spans="2:13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479931.99999999977</v>
      </c>
    </row>
    <row r="57" spans="2:13" ht="15" thickTop="1" x14ac:dyDescent="0.2">
      <c r="B57" s="32"/>
      <c r="C57" s="48"/>
      <c r="D57" s="48"/>
      <c r="E57" s="48"/>
      <c r="F57" s="48"/>
      <c r="G57" s="49"/>
    </row>
    <row r="59" spans="2:13" x14ac:dyDescent="0.2">
      <c r="B59" t="s">
        <v>55</v>
      </c>
    </row>
    <row r="60" spans="2:13" x14ac:dyDescent="0.2">
      <c r="B60" s="36"/>
      <c r="C60" s="5"/>
      <c r="D60" s="6" t="s">
        <v>56</v>
      </c>
      <c r="E60" s="31"/>
      <c r="F60" s="100"/>
      <c r="G60" s="100"/>
    </row>
    <row r="61" spans="2:13" x14ac:dyDescent="0.2">
      <c r="B61" s="36"/>
      <c r="C61" s="9" t="s">
        <v>17</v>
      </c>
      <c r="D61" s="9" t="s">
        <v>105</v>
      </c>
      <c r="E61" s="31"/>
      <c r="F61" s="100"/>
      <c r="G61" s="100"/>
    </row>
    <row r="62" spans="2:13" x14ac:dyDescent="0.2">
      <c r="C62" s="17">
        <v>45292</v>
      </c>
      <c r="D62" s="50">
        <v>0</v>
      </c>
      <c r="E62" s="101"/>
      <c r="F62" s="70"/>
      <c r="G62" s="70"/>
    </row>
    <row r="63" spans="2:13" x14ac:dyDescent="0.2">
      <c r="C63" s="19">
        <v>45323</v>
      </c>
      <c r="D63" s="51">
        <v>0</v>
      </c>
      <c r="E63" s="101"/>
      <c r="F63" s="70"/>
      <c r="G63" s="70"/>
    </row>
    <row r="64" spans="2:13" x14ac:dyDescent="0.2">
      <c r="C64" s="19">
        <v>45352</v>
      </c>
      <c r="D64" s="51">
        <v>119983</v>
      </c>
      <c r="E64" s="101"/>
      <c r="F64" s="70"/>
      <c r="G64" s="70"/>
    </row>
    <row r="65" spans="2:7" x14ac:dyDescent="0.2">
      <c r="C65" s="19">
        <v>45383</v>
      </c>
      <c r="D65" s="51">
        <v>119983</v>
      </c>
      <c r="E65" s="101"/>
      <c r="F65" s="70"/>
      <c r="G65" s="70"/>
    </row>
    <row r="66" spans="2:7" x14ac:dyDescent="0.2">
      <c r="C66" s="19">
        <v>45413</v>
      </c>
      <c r="D66" s="51">
        <v>119983</v>
      </c>
      <c r="E66" s="101"/>
      <c r="F66" s="70"/>
      <c r="G66" s="70"/>
    </row>
    <row r="67" spans="2:7" x14ac:dyDescent="0.2">
      <c r="C67" s="19">
        <v>45444</v>
      </c>
      <c r="D67" s="52">
        <v>119983</v>
      </c>
      <c r="E67" s="101"/>
      <c r="F67" s="70"/>
      <c r="G67" s="70"/>
    </row>
    <row r="68" spans="2:7" x14ac:dyDescent="0.2">
      <c r="C68" s="53" t="s">
        <v>57</v>
      </c>
      <c r="D68" s="39">
        <f>SUM(D62:D67)</f>
        <v>479932</v>
      </c>
      <c r="E68" s="20"/>
      <c r="F68" s="70"/>
      <c r="G68" s="70"/>
    </row>
    <row r="79" spans="2:7" x14ac:dyDescent="0.2">
      <c r="B79" s="54"/>
    </row>
    <row r="80" spans="2:7" x14ac:dyDescent="0.2">
      <c r="B80" s="54"/>
    </row>
    <row r="81" spans="2:2" x14ac:dyDescent="0.2">
      <c r="B81" s="54"/>
    </row>
    <row r="82" spans="2:2" x14ac:dyDescent="0.2">
      <c r="B82" s="54"/>
    </row>
    <row r="83" spans="2:2" x14ac:dyDescent="0.2">
      <c r="B83" s="54"/>
    </row>
    <row r="84" spans="2:2" x14ac:dyDescent="0.2">
      <c r="B84" s="54"/>
    </row>
    <row r="85" spans="2:2" x14ac:dyDescent="0.2">
      <c r="B85" s="54"/>
    </row>
    <row r="86" spans="2:2" x14ac:dyDescent="0.2">
      <c r="B86" s="54"/>
    </row>
    <row r="87" spans="2:2" x14ac:dyDescent="0.2">
      <c r="B87" s="54"/>
    </row>
  </sheetData>
  <mergeCells count="3">
    <mergeCell ref="B4:G5"/>
    <mergeCell ref="C12:G12"/>
    <mergeCell ref="I4:M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0"/>
  <sheetViews>
    <sheetView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">
        <v>99</v>
      </c>
    </row>
    <row r="4" spans="1:13" ht="14.25" customHeight="1" x14ac:dyDescent="0.2">
      <c r="B4" s="103" t="s">
        <v>101</v>
      </c>
      <c r="C4" s="104"/>
      <c r="D4" s="104"/>
      <c r="E4" s="104"/>
      <c r="F4" s="104"/>
      <c r="G4" s="105"/>
      <c r="I4" s="112" t="s">
        <v>102</v>
      </c>
      <c r="J4" s="113"/>
      <c r="K4" s="113"/>
      <c r="L4" s="113"/>
      <c r="M4" s="114"/>
    </row>
    <row r="5" spans="1:13" ht="14.25" customHeight="1" x14ac:dyDescent="0.2">
      <c r="B5" s="106"/>
      <c r="C5" s="107"/>
      <c r="D5" s="107"/>
      <c r="E5" s="107"/>
      <c r="F5" s="107"/>
      <c r="G5" s="108"/>
      <c r="I5" s="115"/>
      <c r="J5" s="116"/>
      <c r="K5" s="116"/>
      <c r="L5" s="116"/>
      <c r="M5" s="117"/>
    </row>
    <row r="6" spans="1:13" ht="15" x14ac:dyDescent="0.2">
      <c r="I6" s="73"/>
      <c r="J6" s="73"/>
      <c r="K6" s="73"/>
      <c r="L6" s="73"/>
      <c r="M6" s="73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x14ac:dyDescent="0.2">
      <c r="B12" s="6">
        <v>1</v>
      </c>
      <c r="C12" s="109" t="s">
        <v>22</v>
      </c>
      <c r="D12" s="110"/>
      <c r="E12" s="110"/>
      <c r="F12" s="110"/>
      <c r="G12" s="111"/>
    </row>
    <row r="13" spans="1:13" ht="15.75" x14ac:dyDescent="0.25">
      <c r="B13" s="6" t="s">
        <v>23</v>
      </c>
      <c r="C13" s="12" t="s">
        <v>80</v>
      </c>
      <c r="D13" s="12"/>
      <c r="E13" s="12"/>
      <c r="F13" s="13"/>
      <c r="G13" s="14">
        <v>239967</v>
      </c>
      <c r="I13" s="74" t="s">
        <v>103</v>
      </c>
      <c r="J13" s="73"/>
      <c r="K13" s="73"/>
      <c r="L13" s="73"/>
      <c r="M13" s="73"/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98938.109999999753</v>
      </c>
      <c r="I14" s="73"/>
      <c r="J14" s="73"/>
      <c r="K14" s="73"/>
      <c r="L14" s="73"/>
      <c r="M14" s="73"/>
    </row>
    <row r="15" spans="1:13" ht="15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1463542.0900000003</v>
      </c>
      <c r="I15" s="75"/>
      <c r="J15" s="75"/>
      <c r="K15" s="76" t="s">
        <v>7</v>
      </c>
      <c r="L15" s="75"/>
      <c r="M15" s="75"/>
    </row>
    <row r="16" spans="1:13" ht="15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189267.58999999939</v>
      </c>
      <c r="I16" s="77"/>
      <c r="J16" s="78" t="s">
        <v>8</v>
      </c>
      <c r="K16" s="78" t="s">
        <v>9</v>
      </c>
      <c r="L16" s="77"/>
      <c r="M16" s="77"/>
    </row>
    <row r="17" spans="2:13" ht="15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-184226.28999999957</v>
      </c>
      <c r="I17" s="77"/>
      <c r="J17" s="78" t="s">
        <v>10</v>
      </c>
      <c r="K17" s="78" t="s">
        <v>11</v>
      </c>
      <c r="L17" s="78" t="s">
        <v>12</v>
      </c>
      <c r="M17" s="78" t="s">
        <v>13</v>
      </c>
    </row>
    <row r="18" spans="2:13" ht="15" x14ac:dyDescent="0.2">
      <c r="B18" s="8" t="s">
        <v>64</v>
      </c>
      <c r="C18" s="12" t="s">
        <v>94</v>
      </c>
      <c r="D18" s="12"/>
      <c r="E18" s="12"/>
      <c r="F18" s="15"/>
      <c r="G18" s="57">
        <f>'E - 05-31-24'!G41</f>
        <v>760499.30999999959</v>
      </c>
      <c r="I18" s="79"/>
      <c r="J18" s="79" t="s">
        <v>14</v>
      </c>
      <c r="K18" s="79" t="s">
        <v>14</v>
      </c>
      <c r="L18" s="79" t="s">
        <v>15</v>
      </c>
      <c r="M18" s="79" t="s">
        <v>15</v>
      </c>
    </row>
    <row r="19" spans="2:13" ht="15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2567987.8099999996</v>
      </c>
      <c r="I19" s="80" t="s">
        <v>17</v>
      </c>
      <c r="J19" s="81" t="s">
        <v>96</v>
      </c>
      <c r="K19" s="81" t="s">
        <v>18</v>
      </c>
      <c r="L19" s="81" t="s">
        <v>19</v>
      </c>
      <c r="M19" s="81" t="s">
        <v>20</v>
      </c>
    </row>
    <row r="20" spans="2:13" ht="15" x14ac:dyDescent="0.2">
      <c r="B20" s="8">
        <v>2</v>
      </c>
      <c r="C20" s="17">
        <v>45474</v>
      </c>
      <c r="D20" s="57">
        <f>1466840-0-1129</f>
        <v>1465711</v>
      </c>
      <c r="E20" s="58">
        <f>1619191.83+8847.92+315050.53+94986.08+428.26+35543.07</f>
        <v>2074047.6900000002</v>
      </c>
      <c r="F20" s="18">
        <f t="shared" ref="F20:F27" si="0">D20-E20</f>
        <v>-608336.69000000018</v>
      </c>
      <c r="G20" s="16">
        <f t="shared" ref="G20:G27" si="1">G19+F20</f>
        <v>1959651.1199999994</v>
      </c>
      <c r="I20" s="17">
        <v>45474</v>
      </c>
      <c r="J20" s="83">
        <v>1159487</v>
      </c>
      <c r="K20" s="83">
        <v>1159487</v>
      </c>
      <c r="L20" s="84">
        <f t="shared" ref="L20:L27" si="2">J20-K20</f>
        <v>0</v>
      </c>
      <c r="M20" s="84">
        <f>L20</f>
        <v>0</v>
      </c>
    </row>
    <row r="21" spans="2:13" ht="15" x14ac:dyDescent="0.2">
      <c r="B21" s="8">
        <v>3</v>
      </c>
      <c r="C21" s="19">
        <v>45505</v>
      </c>
      <c r="D21" s="59">
        <f>1330171-0-1002</f>
        <v>1329169</v>
      </c>
      <c r="E21" s="60">
        <f>1250451.12+7066.95+257085.48+86994.63+368.77+30084.13</f>
        <v>1632051.08</v>
      </c>
      <c r="F21" s="20">
        <f t="shared" si="0"/>
        <v>-302882.08000000007</v>
      </c>
      <c r="G21" s="21">
        <f t="shared" si="1"/>
        <v>1656769.0399999993</v>
      </c>
      <c r="I21" s="19">
        <v>45505</v>
      </c>
      <c r="J21" s="86">
        <v>1132484</v>
      </c>
      <c r="K21" s="86">
        <v>1132484</v>
      </c>
      <c r="L21" s="87">
        <f t="shared" si="2"/>
        <v>0</v>
      </c>
      <c r="M21" s="87">
        <f>M20+L21</f>
        <v>0</v>
      </c>
    </row>
    <row r="22" spans="2:13" ht="15" x14ac:dyDescent="0.2">
      <c r="B22" s="8">
        <v>4</v>
      </c>
      <c r="C22" s="19">
        <v>45536</v>
      </c>
      <c r="D22" s="59">
        <f>1308627-0-1029</f>
        <v>1307598</v>
      </c>
      <c r="E22" s="60">
        <f>950091.43+5780.39+195305.55+28320.88+349.18+27588.87</f>
        <v>1207436.3</v>
      </c>
      <c r="F22" s="20">
        <f t="shared" si="0"/>
        <v>100161.69999999995</v>
      </c>
      <c r="G22" s="21">
        <f t="shared" si="1"/>
        <v>1756930.7399999993</v>
      </c>
      <c r="I22" s="19">
        <v>45536</v>
      </c>
      <c r="J22" s="86">
        <f>1016270</f>
        <v>1016270</v>
      </c>
      <c r="K22" s="86">
        <v>1016270</v>
      </c>
      <c r="L22" s="87">
        <f t="shared" si="2"/>
        <v>0</v>
      </c>
      <c r="M22" s="87">
        <f t="shared" ref="M22:M25" si="3">M21+L22</f>
        <v>0</v>
      </c>
    </row>
    <row r="23" spans="2:13" ht="15" x14ac:dyDescent="0.2">
      <c r="B23" s="8">
        <v>5</v>
      </c>
      <c r="C23" s="19">
        <v>45566</v>
      </c>
      <c r="D23" s="59">
        <f>960312-1916-1030</f>
        <v>957366</v>
      </c>
      <c r="E23" s="60">
        <f>882957.24+6156.32+214839.48+102686.13+429.43+30325.71</f>
        <v>1237394.3099999998</v>
      </c>
      <c r="F23" s="20">
        <f t="shared" si="0"/>
        <v>-280028.30999999982</v>
      </c>
      <c r="G23" s="21">
        <f t="shared" si="1"/>
        <v>1476902.4299999995</v>
      </c>
      <c r="I23" s="19">
        <v>45566</v>
      </c>
      <c r="J23" s="86">
        <v>1098856</v>
      </c>
      <c r="K23" s="86">
        <v>1098856</v>
      </c>
      <c r="L23" s="87">
        <f t="shared" si="2"/>
        <v>0</v>
      </c>
      <c r="M23" s="87">
        <f t="shared" si="3"/>
        <v>0</v>
      </c>
    </row>
    <row r="24" spans="2:13" ht="15" x14ac:dyDescent="0.2">
      <c r="B24" s="8">
        <v>6</v>
      </c>
      <c r="C24" s="19">
        <v>45597</v>
      </c>
      <c r="D24" s="59">
        <f>1077435-2018-1094</f>
        <v>1074323</v>
      </c>
      <c r="E24" s="60">
        <f>805221.56+6278.38+207559.83+62681.32+484.62+27587.8</f>
        <v>1109813.5100000002</v>
      </c>
      <c r="F24" s="20">
        <f t="shared" si="0"/>
        <v>-35490.510000000242</v>
      </c>
      <c r="G24" s="21">
        <f t="shared" si="1"/>
        <v>1441411.9199999992</v>
      </c>
      <c r="I24" s="19">
        <v>45597</v>
      </c>
      <c r="J24" s="86">
        <v>1154076</v>
      </c>
      <c r="K24" s="88">
        <v>1154076</v>
      </c>
      <c r="L24" s="87">
        <f t="shared" si="2"/>
        <v>0</v>
      </c>
      <c r="M24" s="87">
        <f t="shared" si="3"/>
        <v>0</v>
      </c>
    </row>
    <row r="25" spans="2:13" ht="15" x14ac:dyDescent="0.2">
      <c r="B25" s="8">
        <v>7</v>
      </c>
      <c r="C25" s="19">
        <v>45627</v>
      </c>
      <c r="D25" s="59">
        <f>1651777-2386-1297</f>
        <v>1648094</v>
      </c>
      <c r="E25" s="60">
        <f>1100526.03+6773.53+192658.49+20365.08+529.18+27648.39</f>
        <v>1348500.7</v>
      </c>
      <c r="F25" s="22">
        <f t="shared" si="0"/>
        <v>299593.30000000005</v>
      </c>
      <c r="G25" s="23">
        <f t="shared" si="1"/>
        <v>1741005.2199999993</v>
      </c>
      <c r="I25" s="19">
        <v>45627</v>
      </c>
      <c r="J25" s="90">
        <f>1290386</f>
        <v>1290386</v>
      </c>
      <c r="K25" s="98">
        <v>1290386</v>
      </c>
      <c r="L25" s="91">
        <f t="shared" si="2"/>
        <v>0</v>
      </c>
      <c r="M25" s="91">
        <f t="shared" si="3"/>
        <v>0</v>
      </c>
    </row>
    <row r="26" spans="2:13" ht="15" x14ac:dyDescent="0.2">
      <c r="B26" s="24" t="s">
        <v>28</v>
      </c>
      <c r="C26" s="17">
        <v>45658</v>
      </c>
      <c r="D26" s="57">
        <f>2055526-1184-2176</f>
        <v>2052166</v>
      </c>
      <c r="E26" s="58">
        <f>1769024.98+8827.34+268702.24+76440.82+694.33+43158.88</f>
        <v>2166848.59</v>
      </c>
      <c r="F26" s="18">
        <f t="shared" si="0"/>
        <v>-114682.58999999985</v>
      </c>
      <c r="G26" s="16">
        <f t="shared" si="1"/>
        <v>1626322.6299999994</v>
      </c>
      <c r="I26" s="17">
        <v>45658</v>
      </c>
      <c r="J26" s="83">
        <v>1102426</v>
      </c>
      <c r="K26" s="83">
        <v>1102426</v>
      </c>
      <c r="L26" s="87">
        <f t="shared" si="2"/>
        <v>0</v>
      </c>
      <c r="M26" s="87">
        <f>M25+L26</f>
        <v>0</v>
      </c>
    </row>
    <row r="27" spans="2:13" ht="15" x14ac:dyDescent="0.2">
      <c r="B27" s="25" t="s">
        <v>29</v>
      </c>
      <c r="C27" s="26">
        <v>45689</v>
      </c>
      <c r="D27" s="61">
        <f>1468673-1642</f>
        <v>1467031</v>
      </c>
      <c r="E27" s="62">
        <f>1346111.26+6596+212830.85+80292.59+468.83+38838.09</f>
        <v>1685137.6200000003</v>
      </c>
      <c r="F27" s="22">
        <f t="shared" si="0"/>
        <v>-218106.62000000034</v>
      </c>
      <c r="G27" s="23">
        <f t="shared" si="1"/>
        <v>1408216.0099999991</v>
      </c>
      <c r="I27" s="26">
        <v>45689</v>
      </c>
      <c r="J27" s="90">
        <f>1139213</f>
        <v>1139213</v>
      </c>
      <c r="K27" s="90">
        <v>1139213</v>
      </c>
      <c r="L27" s="91">
        <f t="shared" si="2"/>
        <v>0</v>
      </c>
      <c r="M27" s="91">
        <f>M26+L27</f>
        <v>0</v>
      </c>
    </row>
    <row r="28" spans="2:13" ht="15" x14ac:dyDescent="0.2">
      <c r="B28" s="9"/>
      <c r="C28" s="27" t="s">
        <v>79</v>
      </c>
      <c r="D28" s="28"/>
      <c r="E28" s="28"/>
      <c r="F28" s="28"/>
      <c r="G28" s="29"/>
      <c r="I28" s="73"/>
      <c r="J28" s="73"/>
      <c r="K28" s="73"/>
      <c r="L28" s="73"/>
      <c r="M28" s="73"/>
    </row>
    <row r="29" spans="2:13" ht="15" x14ac:dyDescent="0.2">
      <c r="B29" s="6"/>
      <c r="C29" s="5"/>
      <c r="D29" s="5"/>
      <c r="E29" s="5"/>
      <c r="F29" s="5"/>
      <c r="G29" s="16"/>
      <c r="I29" s="92" t="s">
        <v>97</v>
      </c>
      <c r="J29" s="93"/>
      <c r="K29" s="93"/>
      <c r="L29" s="94"/>
      <c r="M29" s="95">
        <f>M25</f>
        <v>0</v>
      </c>
    </row>
    <row r="30" spans="2:13" ht="15" x14ac:dyDescent="0.2">
      <c r="B30" s="8"/>
      <c r="C30" s="7"/>
      <c r="D30" s="8" t="s">
        <v>30</v>
      </c>
      <c r="E30" s="8" t="s">
        <v>31</v>
      </c>
      <c r="F30" s="7"/>
      <c r="G30" s="21"/>
      <c r="I30" s="73"/>
      <c r="J30" s="73"/>
      <c r="K30" s="73"/>
      <c r="L30" s="73"/>
      <c r="M30" s="96"/>
    </row>
    <row r="31" spans="2:13" ht="15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  <c r="I31" s="92" t="s">
        <v>98</v>
      </c>
      <c r="J31" s="93"/>
      <c r="K31" s="93"/>
      <c r="L31" s="94"/>
      <c r="M31" s="95">
        <f>M29/6</f>
        <v>0</v>
      </c>
    </row>
    <row r="32" spans="2:13" ht="15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  <c r="I32" s="73"/>
      <c r="J32" s="73"/>
      <c r="K32" s="73"/>
      <c r="L32" s="73"/>
      <c r="M32" s="73"/>
    </row>
    <row r="33" spans="2:13" ht="15.75" x14ac:dyDescent="0.25">
      <c r="B33" s="8"/>
      <c r="C33" s="7"/>
      <c r="D33" s="8" t="s">
        <v>37</v>
      </c>
      <c r="E33" s="8" t="s">
        <v>38</v>
      </c>
      <c r="F33" s="7"/>
      <c r="G33" s="30" t="s">
        <v>39</v>
      </c>
      <c r="I33" s="74" t="s">
        <v>104</v>
      </c>
      <c r="J33" s="73"/>
      <c r="K33" s="73"/>
      <c r="L33" s="73"/>
      <c r="M33" s="73"/>
    </row>
    <row r="34" spans="2:13" ht="15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  <c r="I34" s="73"/>
      <c r="J34" s="73"/>
      <c r="K34" s="73"/>
      <c r="L34" s="73"/>
      <c r="M34" s="73"/>
    </row>
    <row r="35" spans="2:13" ht="15" x14ac:dyDescent="0.2">
      <c r="B35" s="24" t="s">
        <v>43</v>
      </c>
      <c r="C35" s="5" t="s">
        <v>90</v>
      </c>
      <c r="D35" s="16">
        <f t="shared" ref="D35:D40" si="4">-G13</f>
        <v>-239967</v>
      </c>
      <c r="E35" s="16">
        <f>D70</f>
        <v>239967</v>
      </c>
      <c r="F35" s="5"/>
      <c r="G35" s="16">
        <f t="shared" ref="G35:G40" si="5">D35+E35</f>
        <v>0</v>
      </c>
      <c r="I35" s="75"/>
      <c r="J35" s="75"/>
      <c r="K35" s="76" t="s">
        <v>7</v>
      </c>
      <c r="L35" s="75"/>
      <c r="M35" s="75"/>
    </row>
    <row r="36" spans="2:13" ht="15" x14ac:dyDescent="0.2">
      <c r="B36" s="31" t="s">
        <v>44</v>
      </c>
      <c r="C36" s="7" t="s">
        <v>84</v>
      </c>
      <c r="D36" s="21">
        <f t="shared" si="4"/>
        <v>-98938.109999999753</v>
      </c>
      <c r="E36" s="21">
        <v>0</v>
      </c>
      <c r="F36" s="7"/>
      <c r="G36" s="21">
        <f t="shared" si="5"/>
        <v>-98938.109999999753</v>
      </c>
      <c r="I36" s="77"/>
      <c r="J36" s="78" t="s">
        <v>8</v>
      </c>
      <c r="K36" s="78" t="s">
        <v>9</v>
      </c>
      <c r="L36" s="77"/>
      <c r="M36" s="77"/>
    </row>
    <row r="37" spans="2:13" ht="15" x14ac:dyDescent="0.2">
      <c r="B37" s="31" t="s">
        <v>45</v>
      </c>
      <c r="C37" s="7" t="s">
        <v>87</v>
      </c>
      <c r="D37" s="21">
        <f t="shared" si="4"/>
        <v>-1463542.0900000003</v>
      </c>
      <c r="E37" s="21">
        <v>0</v>
      </c>
      <c r="F37" s="7"/>
      <c r="G37" s="21">
        <f t="shared" si="5"/>
        <v>-1463542.0900000003</v>
      </c>
      <c r="I37" s="77"/>
      <c r="J37" s="78" t="s">
        <v>10</v>
      </c>
      <c r="K37" s="78" t="s">
        <v>11</v>
      </c>
      <c r="L37" s="78" t="s">
        <v>12</v>
      </c>
      <c r="M37" s="78" t="s">
        <v>13</v>
      </c>
    </row>
    <row r="38" spans="2:13" ht="15" x14ac:dyDescent="0.2">
      <c r="B38" s="31" t="s">
        <v>46</v>
      </c>
      <c r="C38" s="7" t="s">
        <v>91</v>
      </c>
      <c r="D38" s="21">
        <f t="shared" si="4"/>
        <v>-189267.58999999939</v>
      </c>
      <c r="E38" s="21">
        <v>0</v>
      </c>
      <c r="F38" s="7"/>
      <c r="G38" s="21">
        <f t="shared" si="5"/>
        <v>-189267.58999999939</v>
      </c>
      <c r="I38" s="79"/>
      <c r="J38" s="79" t="s">
        <v>14</v>
      </c>
      <c r="K38" s="79" t="s">
        <v>14</v>
      </c>
      <c r="L38" s="79" t="s">
        <v>15</v>
      </c>
      <c r="M38" s="79" t="s">
        <v>15</v>
      </c>
    </row>
    <row r="39" spans="2:13" ht="15" x14ac:dyDescent="0.2">
      <c r="B39" s="31" t="s">
        <v>59</v>
      </c>
      <c r="C39" s="7" t="s">
        <v>93</v>
      </c>
      <c r="D39" s="21">
        <f t="shared" si="4"/>
        <v>184226.28999999957</v>
      </c>
      <c r="E39" s="21">
        <v>0</v>
      </c>
      <c r="F39" s="7"/>
      <c r="G39" s="21">
        <f t="shared" si="5"/>
        <v>184226.28999999957</v>
      </c>
      <c r="I39" s="80" t="s">
        <v>17</v>
      </c>
      <c r="J39" s="81" t="s">
        <v>96</v>
      </c>
      <c r="K39" s="81" t="s">
        <v>18</v>
      </c>
      <c r="L39" s="81" t="s">
        <v>19</v>
      </c>
      <c r="M39" s="81" t="s">
        <v>20</v>
      </c>
    </row>
    <row r="40" spans="2:13" ht="15" x14ac:dyDescent="0.2">
      <c r="B40" s="31" t="s">
        <v>66</v>
      </c>
      <c r="C40" s="32" t="s">
        <v>95</v>
      </c>
      <c r="D40" s="23">
        <f t="shared" si="4"/>
        <v>-760499.30999999959</v>
      </c>
      <c r="E40" s="23">
        <v>0</v>
      </c>
      <c r="F40" s="32"/>
      <c r="G40" s="23">
        <f t="shared" si="5"/>
        <v>-760499.30999999959</v>
      </c>
      <c r="I40" s="17">
        <v>45474</v>
      </c>
      <c r="J40" s="97">
        <f>1129+239251</f>
        <v>240380</v>
      </c>
      <c r="K40" s="83">
        <v>240380</v>
      </c>
      <c r="L40" s="84">
        <f>J40-K40</f>
        <v>0</v>
      </c>
      <c r="M40" s="84">
        <f>+L40</f>
        <v>0</v>
      </c>
    </row>
    <row r="41" spans="2:13" ht="15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-2328020.8099999996</v>
      </c>
      <c r="I41" s="19">
        <v>45505</v>
      </c>
      <c r="J41" s="97">
        <f>1002+220642</f>
        <v>221644</v>
      </c>
      <c r="K41" s="86">
        <v>221644</v>
      </c>
      <c r="L41" s="87">
        <f>J41-K41</f>
        <v>0</v>
      </c>
      <c r="M41" s="87">
        <f>M40+L41</f>
        <v>0</v>
      </c>
    </row>
    <row r="42" spans="2:13" ht="15" x14ac:dyDescent="0.2">
      <c r="B42" s="36"/>
      <c r="G42" s="37"/>
      <c r="I42" s="19">
        <v>45536</v>
      </c>
      <c r="J42" s="86">
        <f>1029+251168</f>
        <v>252197</v>
      </c>
      <c r="K42" s="86">
        <v>252197</v>
      </c>
      <c r="L42" s="87">
        <f t="shared" ref="L42:L45" si="6">J42-K42</f>
        <v>0</v>
      </c>
      <c r="M42" s="87">
        <f t="shared" ref="M42:M45" si="7">M41+L42</f>
        <v>0</v>
      </c>
    </row>
    <row r="43" spans="2:13" ht="15" x14ac:dyDescent="0.2">
      <c r="B43" s="10">
        <v>9</v>
      </c>
      <c r="C43" s="38" t="s">
        <v>72</v>
      </c>
      <c r="D43" s="12"/>
      <c r="E43" s="12"/>
      <c r="F43" s="13"/>
      <c r="G43" s="39">
        <f>G25+G41</f>
        <v>-587015.59000000032</v>
      </c>
      <c r="I43" s="19">
        <v>45566</v>
      </c>
      <c r="J43" s="86">
        <f>1030+211604</f>
        <v>212634</v>
      </c>
      <c r="K43" s="86">
        <v>212634</v>
      </c>
      <c r="L43" s="87">
        <f t="shared" si="6"/>
        <v>0</v>
      </c>
      <c r="M43" s="87">
        <f t="shared" si="7"/>
        <v>0</v>
      </c>
    </row>
    <row r="44" spans="2:13" ht="15" x14ac:dyDescent="0.2">
      <c r="B44" s="36"/>
      <c r="G44" s="37"/>
      <c r="I44" s="19">
        <v>45597</v>
      </c>
      <c r="J44" s="86">
        <f>1094+210651</f>
        <v>211745</v>
      </c>
      <c r="K44" s="88">
        <v>211745</v>
      </c>
      <c r="L44" s="87">
        <f t="shared" si="6"/>
        <v>0</v>
      </c>
      <c r="M44" s="87">
        <f t="shared" si="7"/>
        <v>0</v>
      </c>
    </row>
    <row r="45" spans="2:13" ht="15" x14ac:dyDescent="0.2">
      <c r="B45" s="10">
        <v>10</v>
      </c>
      <c r="C45" s="38" t="s">
        <v>62</v>
      </c>
      <c r="D45" s="12"/>
      <c r="E45" s="12"/>
      <c r="F45" s="13"/>
      <c r="G45" s="39">
        <f>G43/6</f>
        <v>-97835.931666666715</v>
      </c>
      <c r="I45" s="19">
        <v>45627</v>
      </c>
      <c r="J45" s="90">
        <f>251204+1297</f>
        <v>252501</v>
      </c>
      <c r="K45" s="98">
        <v>252501</v>
      </c>
      <c r="L45" s="91">
        <f t="shared" si="6"/>
        <v>0</v>
      </c>
      <c r="M45" s="91">
        <f t="shared" si="7"/>
        <v>0</v>
      </c>
    </row>
    <row r="46" spans="2:13" ht="15" x14ac:dyDescent="0.2">
      <c r="I46" s="17">
        <v>45658</v>
      </c>
      <c r="J46" s="83">
        <f>249025+1184</f>
        <v>250209</v>
      </c>
      <c r="K46" s="83">
        <v>250209</v>
      </c>
      <c r="L46" s="87">
        <f>J46-K46</f>
        <v>0</v>
      </c>
      <c r="M46" s="87">
        <f>M45+L46</f>
        <v>0</v>
      </c>
    </row>
    <row r="47" spans="2:13" ht="15" x14ac:dyDescent="0.2">
      <c r="B47" s="5"/>
      <c r="C47" s="40" t="s">
        <v>48</v>
      </c>
      <c r="D47" s="41"/>
      <c r="E47" s="41"/>
      <c r="F47" s="41"/>
      <c r="G47" s="42"/>
      <c r="I47" s="26">
        <v>45689</v>
      </c>
      <c r="J47" s="90">
        <f>229881+893</f>
        <v>230774</v>
      </c>
      <c r="K47" s="90">
        <f>230774</f>
        <v>230774</v>
      </c>
      <c r="L47" s="91">
        <f>J47-K47</f>
        <v>0</v>
      </c>
      <c r="M47" s="91">
        <f>M46+L47</f>
        <v>0</v>
      </c>
    </row>
    <row r="48" spans="2:13" ht="15" x14ac:dyDescent="0.2">
      <c r="B48" s="5"/>
      <c r="C48" s="43"/>
      <c r="D48" s="43"/>
      <c r="E48" s="43"/>
      <c r="F48" s="43"/>
      <c r="G48" s="15"/>
      <c r="I48" s="73"/>
      <c r="J48" s="73"/>
      <c r="K48" s="73"/>
      <c r="L48" s="73"/>
      <c r="M48" s="73"/>
    </row>
    <row r="49" spans="2:13" ht="15" x14ac:dyDescent="0.2">
      <c r="B49" s="8">
        <v>11</v>
      </c>
      <c r="C49" s="44" t="s">
        <v>49</v>
      </c>
      <c r="D49" s="44"/>
      <c r="E49" s="44"/>
      <c r="F49" s="44"/>
      <c r="G49" s="45">
        <f>G19</f>
        <v>2567987.8099999996</v>
      </c>
      <c r="I49" s="92" t="s">
        <v>97</v>
      </c>
      <c r="J49" s="93"/>
      <c r="K49" s="93"/>
      <c r="L49" s="94"/>
      <c r="M49" s="95">
        <f>M45</f>
        <v>0</v>
      </c>
    </row>
    <row r="50" spans="2:13" ht="15" x14ac:dyDescent="0.2">
      <c r="B50" s="8">
        <v>12</v>
      </c>
      <c r="C50" s="44" t="s">
        <v>50</v>
      </c>
      <c r="D50" s="44"/>
      <c r="E50" s="44"/>
      <c r="F50" s="44"/>
      <c r="G50" s="46">
        <f>G41</f>
        <v>-2328020.8099999996</v>
      </c>
      <c r="I50" s="73"/>
      <c r="J50" s="73"/>
      <c r="K50" s="73"/>
      <c r="L50" s="73"/>
      <c r="M50" s="96"/>
    </row>
    <row r="51" spans="2:13" ht="15" x14ac:dyDescent="0.2">
      <c r="B51" s="8"/>
      <c r="C51" s="44"/>
      <c r="D51" s="44"/>
      <c r="E51" s="44"/>
      <c r="F51" s="44"/>
      <c r="G51" s="45"/>
      <c r="I51" s="92" t="s">
        <v>98</v>
      </c>
      <c r="J51" s="93"/>
      <c r="K51" s="93"/>
      <c r="L51" s="94"/>
      <c r="M51" s="95">
        <f>M49/6</f>
        <v>0</v>
      </c>
    </row>
    <row r="52" spans="2:13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239967</v>
      </c>
    </row>
    <row r="53" spans="2:13" ht="15" thickTop="1" x14ac:dyDescent="0.2">
      <c r="B53" s="8"/>
      <c r="C53" s="44"/>
      <c r="D53" s="44"/>
      <c r="E53" s="44"/>
      <c r="F53" s="44"/>
      <c r="G53" s="45"/>
    </row>
    <row r="54" spans="2:13" x14ac:dyDescent="0.2">
      <c r="B54" s="8">
        <v>14</v>
      </c>
      <c r="C54" s="44" t="s">
        <v>52</v>
      </c>
      <c r="D54" s="44"/>
      <c r="E54" s="44"/>
      <c r="F54" s="44"/>
      <c r="G54" s="45">
        <f>G43</f>
        <v>-587015.59000000032</v>
      </c>
    </row>
    <row r="55" spans="2:13" x14ac:dyDescent="0.2">
      <c r="B55" s="8"/>
      <c r="C55" s="44"/>
      <c r="D55" s="44"/>
      <c r="E55" s="44"/>
      <c r="F55" s="44"/>
      <c r="G55" s="45"/>
    </row>
    <row r="56" spans="2:13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-826982.59000000032</v>
      </c>
    </row>
    <row r="57" spans="2:13" x14ac:dyDescent="0.2">
      <c r="B57" s="8"/>
      <c r="C57" s="44"/>
      <c r="D57" s="44"/>
      <c r="E57" s="44"/>
      <c r="F57" s="44"/>
      <c r="G57" s="45"/>
    </row>
    <row r="58" spans="2:13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239967</v>
      </c>
    </row>
    <row r="59" spans="2:13" ht="15" thickTop="1" x14ac:dyDescent="0.2">
      <c r="B59" s="32"/>
      <c r="C59" s="48"/>
      <c r="D59" s="48"/>
      <c r="E59" s="48"/>
      <c r="F59" s="48"/>
      <c r="G59" s="49"/>
    </row>
    <row r="61" spans="2:13" x14ac:dyDescent="0.2">
      <c r="B61" t="s">
        <v>55</v>
      </c>
    </row>
    <row r="62" spans="2:13" x14ac:dyDescent="0.2">
      <c r="B62" s="36"/>
      <c r="C62" s="5"/>
      <c r="D62" s="6" t="s">
        <v>56</v>
      </c>
      <c r="E62" s="31"/>
      <c r="F62" s="100"/>
      <c r="G62" s="100"/>
    </row>
    <row r="63" spans="2:13" x14ac:dyDescent="0.2">
      <c r="B63" s="36"/>
      <c r="C63" s="9" t="s">
        <v>17</v>
      </c>
      <c r="D63" s="9" t="s">
        <v>105</v>
      </c>
      <c r="E63" s="31"/>
      <c r="F63" s="100"/>
      <c r="G63" s="100"/>
    </row>
    <row r="64" spans="2:13" x14ac:dyDescent="0.2">
      <c r="C64" s="17">
        <v>45474</v>
      </c>
      <c r="D64" s="50">
        <v>119983</v>
      </c>
      <c r="E64" s="101"/>
      <c r="F64" s="70"/>
      <c r="G64" s="70"/>
    </row>
    <row r="65" spans="3:7" x14ac:dyDescent="0.2">
      <c r="C65" s="19">
        <v>45505</v>
      </c>
      <c r="D65" s="51">
        <v>119984</v>
      </c>
      <c r="E65" s="101"/>
      <c r="F65" s="70"/>
      <c r="G65" s="70"/>
    </row>
    <row r="66" spans="3:7" x14ac:dyDescent="0.2">
      <c r="C66" s="19">
        <v>45536</v>
      </c>
      <c r="D66" s="51">
        <v>0</v>
      </c>
      <c r="E66" s="101"/>
      <c r="F66" s="70"/>
      <c r="G66" s="70"/>
    </row>
    <row r="67" spans="3:7" x14ac:dyDescent="0.2">
      <c r="C67" s="19">
        <v>45566</v>
      </c>
      <c r="D67" s="51">
        <v>0</v>
      </c>
      <c r="E67" s="101"/>
      <c r="F67" s="70"/>
      <c r="G67" s="70"/>
    </row>
    <row r="68" spans="3:7" x14ac:dyDescent="0.2">
      <c r="C68" s="19">
        <v>45597</v>
      </c>
      <c r="D68" s="51">
        <v>0</v>
      </c>
      <c r="E68" s="101"/>
      <c r="F68" s="70"/>
      <c r="G68" s="70"/>
    </row>
    <row r="69" spans="3:7" x14ac:dyDescent="0.2">
      <c r="C69" s="19">
        <v>45627</v>
      </c>
      <c r="D69" s="52">
        <v>0</v>
      </c>
      <c r="E69" s="101"/>
      <c r="F69" s="70"/>
      <c r="G69" s="70"/>
    </row>
    <row r="70" spans="3:7" x14ac:dyDescent="0.2">
      <c r="C70" s="53" t="s">
        <v>57</v>
      </c>
      <c r="D70" s="39">
        <f>SUM(D64:D69)</f>
        <v>239967</v>
      </c>
      <c r="E70" s="20"/>
      <c r="F70" s="70"/>
      <c r="G70" s="70"/>
    </row>
  </sheetData>
  <mergeCells count="3">
    <mergeCell ref="B4:G5"/>
    <mergeCell ref="C12:G12"/>
    <mergeCell ref="I4:M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2025-03-31T01:07:37Z</dcterms:modified>
</cp:coreProperties>
</file>