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09F85528-3F4A-40E0-8189-1A33411DFF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D70" i="8"/>
  <c r="E34" i="6"/>
  <c r="D68" i="6"/>
  <c r="D66" i="5"/>
  <c r="D64" i="4"/>
  <c r="D62" i="3"/>
  <c r="D60" i="2"/>
  <c r="K27" i="8" l="1"/>
  <c r="E25" i="5" l="1"/>
  <c r="K25" i="5"/>
  <c r="J27" i="8" l="1"/>
  <c r="L27" i="8" s="1"/>
  <c r="K26" i="8"/>
  <c r="J26" i="8"/>
  <c r="L26" i="8" s="1"/>
  <c r="J25" i="8"/>
  <c r="L25" i="8" s="1"/>
  <c r="J24" i="8"/>
  <c r="L24" i="8" s="1"/>
  <c r="K23" i="8"/>
  <c r="J23" i="8"/>
  <c r="L23" i="8" s="1"/>
  <c r="J22" i="8"/>
  <c r="L22" i="8" s="1"/>
  <c r="J21" i="8"/>
  <c r="L21" i="8" s="1"/>
  <c r="J20" i="8"/>
  <c r="L20" i="8" s="1"/>
  <c r="M20" i="8" s="1"/>
  <c r="M21" i="8" s="1"/>
  <c r="M22" i="8" s="1"/>
  <c r="M23" i="8" s="1"/>
  <c r="M24" i="8" s="1"/>
  <c r="M25" i="8" s="1"/>
  <c r="D27" i="8"/>
  <c r="E26" i="8"/>
  <c r="D26" i="8"/>
  <c r="D25" i="8"/>
  <c r="D24" i="8"/>
  <c r="E23" i="8"/>
  <c r="D23" i="8"/>
  <c r="D22" i="8"/>
  <c r="D21" i="8"/>
  <c r="D20" i="8"/>
  <c r="M26" i="8" l="1"/>
  <c r="M27" i="8" s="1"/>
  <c r="M29" i="8"/>
  <c r="M31" i="8" s="1"/>
  <c r="J26" i="6" l="1"/>
  <c r="L26" i="6" s="1"/>
  <c r="J25" i="6"/>
  <c r="L25" i="6" s="1"/>
  <c r="J24" i="6"/>
  <c r="L24" i="6" s="1"/>
  <c r="J23" i="6"/>
  <c r="L23" i="6" s="1"/>
  <c r="J22" i="6"/>
  <c r="L22" i="6" s="1"/>
  <c r="J21" i="6"/>
  <c r="L21" i="6" s="1"/>
  <c r="K20" i="6"/>
  <c r="J20" i="6"/>
  <c r="L20" i="6" s="1"/>
  <c r="J19" i="6"/>
  <c r="L19" i="6" s="1"/>
  <c r="M19" i="6" s="1"/>
  <c r="M20" i="6" s="1"/>
  <c r="D26" i="6"/>
  <c r="D25" i="6"/>
  <c r="D24" i="6"/>
  <c r="D23" i="6"/>
  <c r="D22" i="6"/>
  <c r="D21" i="6"/>
  <c r="E20" i="6"/>
  <c r="D20" i="6"/>
  <c r="D19" i="6"/>
  <c r="M21" i="6" l="1"/>
  <c r="M22" i="6"/>
  <c r="M23" i="6" s="1"/>
  <c r="M24" i="6" s="1"/>
  <c r="M28" i="6" l="1"/>
  <c r="M30" i="6" s="1"/>
  <c r="M25" i="6"/>
  <c r="M26" i="6" s="1"/>
  <c r="J25" i="5" l="1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M18" i="5" s="1"/>
  <c r="M19" i="5" s="1"/>
  <c r="D25" i="5"/>
  <c r="D24" i="5"/>
  <c r="E23" i="5"/>
  <c r="D23" i="5"/>
  <c r="D22" i="5"/>
  <c r="D21" i="5"/>
  <c r="D20" i="5"/>
  <c r="D19" i="5"/>
  <c r="D18" i="5"/>
  <c r="M20" i="5" l="1"/>
  <c r="M21" i="5" s="1"/>
  <c r="M22" i="5" s="1"/>
  <c r="M23" i="5"/>
  <c r="M27" i="5" l="1"/>
  <c r="M29" i="5" s="1"/>
  <c r="M24" i="5"/>
  <c r="M25" i="5" s="1"/>
  <c r="J24" i="4" l="1"/>
  <c r="L24" i="4" s="1"/>
  <c r="J23" i="4"/>
  <c r="L23" i="4" s="1"/>
  <c r="J22" i="4"/>
  <c r="L22" i="4" s="1"/>
  <c r="J21" i="4"/>
  <c r="L21" i="4" s="1"/>
  <c r="K20" i="4"/>
  <c r="J20" i="4"/>
  <c r="L20" i="4" s="1"/>
  <c r="J19" i="4"/>
  <c r="L19" i="4" s="1"/>
  <c r="J18" i="4"/>
  <c r="L18" i="4" s="1"/>
  <c r="J17" i="4"/>
  <c r="L17" i="4" s="1"/>
  <c r="M17" i="4" s="1"/>
  <c r="M18" i="4" s="1"/>
  <c r="M19" i="4" s="1"/>
  <c r="M20" i="4" s="1"/>
  <c r="D24" i="4"/>
  <c r="D23" i="4"/>
  <c r="D22" i="4"/>
  <c r="D21" i="4"/>
  <c r="E20" i="4"/>
  <c r="D20" i="4"/>
  <c r="D19" i="4"/>
  <c r="D18" i="4"/>
  <c r="D17" i="4"/>
  <c r="M21" i="4" l="1"/>
  <c r="M22" i="4" s="1"/>
  <c r="M26" i="4" s="1"/>
  <c r="M28" i="4" s="1"/>
  <c r="M23" i="4"/>
  <c r="M24" i="4" s="1"/>
  <c r="J23" i="3" l="1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M16" i="3" s="1"/>
  <c r="D23" i="3"/>
  <c r="D22" i="3"/>
  <c r="D21" i="3"/>
  <c r="D20" i="3"/>
  <c r="D19" i="3"/>
  <c r="D18" i="3"/>
  <c r="D17" i="3"/>
  <c r="D16" i="3"/>
  <c r="M17" i="3" l="1"/>
  <c r="M18" i="3" s="1"/>
  <c r="M19" i="3" s="1"/>
  <c r="M20" i="3" s="1"/>
  <c r="M21" i="3" s="1"/>
  <c r="M25" i="3" l="1"/>
  <c r="M27" i="3" s="1"/>
  <c r="M22" i="3"/>
  <c r="M23" i="3" s="1"/>
  <c r="J22" i="2" l="1"/>
  <c r="L22" i="2" s="1"/>
  <c r="J21" i="2"/>
  <c r="L21" i="2" s="1"/>
  <c r="J20" i="2"/>
  <c r="L20" i="2" s="1"/>
  <c r="J19" i="2"/>
  <c r="L19" i="2" s="1"/>
  <c r="J18" i="2"/>
  <c r="L18" i="2" s="1"/>
  <c r="J17" i="2"/>
  <c r="L17" i="2" s="1"/>
  <c r="K16" i="2"/>
  <c r="J16" i="2"/>
  <c r="L16" i="2" s="1"/>
  <c r="K15" i="2"/>
  <c r="J15" i="2"/>
  <c r="L15" i="2" s="1"/>
  <c r="M15" i="2" s="1"/>
  <c r="M16" i="2" s="1"/>
  <c r="M17" i="2" s="1"/>
  <c r="M18" i="2" s="1"/>
  <c r="M19" i="2" s="1"/>
  <c r="D22" i="2"/>
  <c r="D21" i="2"/>
  <c r="D20" i="2"/>
  <c r="D19" i="2"/>
  <c r="D18" i="2"/>
  <c r="D17" i="2"/>
  <c r="E16" i="2"/>
  <c r="D16" i="2"/>
  <c r="E15" i="2"/>
  <c r="D15" i="2"/>
  <c r="M20" i="2" l="1"/>
  <c r="M21" i="2" l="1"/>
  <c r="M22" i="2" s="1"/>
  <c r="M24" i="2"/>
  <c r="M26" i="2" s="1"/>
  <c r="G14" i="2" l="1"/>
  <c r="D35" i="8" l="1"/>
  <c r="G35" i="8" s="1"/>
  <c r="F27" i="8"/>
  <c r="F26" i="8"/>
  <c r="F25" i="8"/>
  <c r="F24" i="8"/>
  <c r="F23" i="8"/>
  <c r="F22" i="8"/>
  <c r="F21" i="8"/>
  <c r="F20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5"/>
  <c r="G15" i="4"/>
  <c r="G15" i="6"/>
  <c r="G15" i="8"/>
  <c r="G22" i="3"/>
  <c r="G23" i="3" s="1"/>
  <c r="D35" i="5" l="1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<sst xmlns="http://schemas.openxmlformats.org/spreadsheetml/2006/main" count="549" uniqueCount="106">
  <si>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</si>
  <si>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</si>
  <si>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</si>
  <si>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</si>
  <si>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</si>
  <si>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</si>
  <si>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</si>
  <si>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</si>
  <si>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</si>
  <si>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</si>
  <si>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</si>
  <si>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</si>
  <si>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</si>
  <si>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</si>
  <si>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</si>
  <si>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</si>
  <si>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</si>
  <si>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</si>
  <si>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</si>
  <si>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</si>
  <si>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</si>
  <si>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</si>
  <si>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</si>
  <si>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</si>
  <si>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</si>
  <si>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</si>
  <si>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</si>
  <si>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</si>
  <si>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</si>
  <si>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</si>
  <si>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</si>
  <si>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</si>
  <si>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</si>
  <si>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</si>
  <si>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</si>
  <si>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</si>
  <si>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</si>
  <si>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</si>
  <si>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</si>
  <si>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</si>
  <si>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</si>
  <si>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</si>
  <si>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</si>
  <si>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</si>
  <si>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</si>
  <si>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</si>
  <si>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</si>
  <si>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</si>
  <si>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</si>
  <si>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</si>
  <si>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</si>
  <si>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</si>
  <si>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</si>
  <si>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</si>
  <si>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</si>
  <si>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</si>
  <si>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</si>
  <si>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</si>
  <si>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</si>
  <si>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</si>
  <si>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</si>
  <si>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</si>
  <si>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</si>
  <si>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</si>
  <si>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</si>
  <si>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</si>
  <si>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</si>
  <si>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</si>
  <si>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</si>
  <si>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</si>
  <si>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</si>
  <si>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</si>
  <si>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</si>
  <si>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</si>
  <si>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</si>
  <si>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</si>
  <si>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</si>
  <si>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</si>
  <si>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</si>
  <si>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</si>
  <si>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</si>
  <si>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</si>
  <si>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</si>
  <si>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</si>
  <si>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</si>
  <si>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</si>
  <si>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</si>
  <si>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</si>
  <si>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</si>
  <si>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</si>
  <si>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</si>
  <si>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</si>
  <si>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</si>
  <si>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</si>
  <si>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</si>
  <si>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</si>
  <si>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Inter-County Surcharge Summary.xlsx</t>
  </si>
  <si>
    <t>Inter-County</t>
  </si>
  <si>
    <t>Inter-County - Calculation of (Over)/Under Recovery</t>
  </si>
  <si>
    <t>Inter-County - Calculation of (Over)/Under Recovery - Direct Surcharge Pass-Throughs</t>
  </si>
  <si>
    <t>Rate B Rate G</t>
  </si>
  <si>
    <t>(1)</t>
  </si>
  <si>
    <t>Cumulative 6-month (Over)/Under Recovery</t>
  </si>
  <si>
    <t>Monthly Recovery (per month for six months)</t>
  </si>
  <si>
    <t>2022-00141</t>
  </si>
  <si>
    <t>DR1 Response 2 - Inter-County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</si>
</sst>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3" fillId="0" borderId="0" xfId="1"/>
    <xf numFmtId="0" fontId="1" fillId="0" borderId="0" xfId="1" applyFont="1"/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17" fontId="5" fillId="0" borderId="9" xfId="2" applyNumberFormat="1" applyFont="1" applyFill="1" applyBorder="1"/>
    <xf numFmtId="5" fontId="2" fillId="3" borderId="10" xfId="3" applyNumberFormat="1" applyFont="1" applyFill="1" applyBorder="1" applyAlignment="1">
      <alignment horizontal="right"/>
    </xf>
    <xf numFmtId="5" fontId="2" fillId="3" borderId="0" xfId="3" applyNumberFormat="1" applyFont="1" applyFill="1" applyBorder="1" applyAlignment="1">
      <alignment horizontal="right"/>
    </xf>
    <xf numFmtId="5" fontId="2" fillId="0" borderId="9" xfId="1" applyNumberFormat="1" applyFont="1" applyBorder="1"/>
    <xf numFmtId="5" fontId="2" fillId="0" borderId="10" xfId="1" applyNumberFormat="1" applyFont="1" applyBorder="1"/>
    <xf numFmtId="17" fontId="5" fillId="0" borderId="10" xfId="2" applyNumberFormat="1" applyFont="1" applyFill="1" applyBorder="1"/>
    <xf numFmtId="5" fontId="2" fillId="3" borderId="10" xfId="1" applyNumberFormat="1" applyFont="1" applyFill="1" applyBorder="1"/>
    <xf numFmtId="17" fontId="5" fillId="0" borderId="11" xfId="2" applyNumberFormat="1" applyFont="1" applyFill="1" applyBorder="1"/>
    <xf numFmtId="5" fontId="2" fillId="3" borderId="11" xfId="1" applyNumberFormat="1" applyFont="1" applyFill="1" applyBorder="1"/>
    <xf numFmtId="5" fontId="2" fillId="0" borderId="11" xfId="1" applyNumberFormat="1" applyFont="1" applyBorder="1"/>
    <xf numFmtId="5" fontId="2" fillId="3" borderId="9" xfId="1" applyNumberFormat="1" applyFont="1" applyFill="1" applyBorder="1"/>
    <xf numFmtId="0" fontId="2" fillId="0" borderId="0" xfId="1" applyFont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5" fontId="2" fillId="0" borderId="12" xfId="1" applyNumberFormat="1" applyFont="1" applyBorder="1"/>
    <xf numFmtId="5" fontId="2" fillId="0" borderId="0" xfId="1" applyNumberFormat="1" applyFont="1"/>
    <xf numFmtId="5" fontId="0" fillId="4" borderId="16" xfId="0" applyNumberFormat="1" applyFill="1" applyBorder="1"/>
    <xf numFmtId="5" fontId="2" fillId="4" borderId="0" xfId="3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2" sqref="C2"/>
    </sheetView>
  </sheetViews>
  <sheetFormatPr defaultColWidth="15.625" defaultRowHeight="14.25" x14ac:dyDescent="0.2"/>
  <sheetData>
    <row r="1" spans="1:6" x14ac:dyDescent="0.2">
      <c r="A1" t="s">
        <v>105</v>
      </c>
    </row>
    <row r="3" spans="1:6" ht="15" x14ac:dyDescent="0.25">
      <c r="C3" s="104" t="s">
        <v>97</v>
      </c>
      <c r="D3" s="104"/>
      <c r="E3" s="104"/>
    </row>
    <row r="4" spans="1:6" ht="15" x14ac:dyDescent="0.25">
      <c r="B4" s="104" t="s">
        <v>0</v>
      </c>
      <c r="C4" s="104"/>
      <c r="D4" s="104"/>
      <c r="E4" s="104"/>
      <c r="F4" s="104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459556.97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74984.409999999916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30842.019999999902</v>
      </c>
      <c r="F10" s="2" t="str">
        <f t="shared" si="0"/>
        <v>Under-Recovery</v>
      </c>
    </row>
    <row r="11" spans="1:6" x14ac:dyDescent="0.2">
      <c r="B11" t="s">
        <v>75</v>
      </c>
      <c r="E11" s="3">
        <f>'D - 11-30-23'!G39</f>
        <v>-211728.84999999998</v>
      </c>
      <c r="F11" s="2" t="str">
        <f t="shared" si="0"/>
        <v>Over-Recovery</v>
      </c>
    </row>
    <row r="12" spans="1:6" x14ac:dyDescent="0.2">
      <c r="B12" t="s">
        <v>77</v>
      </c>
      <c r="E12" s="64">
        <f>'E - 05-31-24'!G41</f>
        <v>20717.229999999981</v>
      </c>
      <c r="F12" s="2" t="str">
        <f t="shared" si="0"/>
        <v>Under-Recovery</v>
      </c>
    </row>
    <row r="13" spans="1:6" x14ac:dyDescent="0.2">
      <c r="B13" t="s">
        <v>78</v>
      </c>
      <c r="E13" s="64">
        <f>'F - 11-30-24'!G43</f>
        <v>-451472.01999999996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-77100.240000000165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104" t="s">
        <v>4</v>
      </c>
      <c r="C20" s="104"/>
      <c r="D20" s="104"/>
      <c r="E20" s="104"/>
      <c r="F20" s="104"/>
    </row>
    <row r="22" spans="2:6" x14ac:dyDescent="0.2">
      <c r="B22" t="s">
        <v>5</v>
      </c>
      <c r="E22" s="3">
        <f>ROUND(E15/6,0)</f>
        <v>-12850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-6425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5" t="s">
        <v>98</v>
      </c>
      <c r="C4" s="106"/>
      <c r="D4" s="106"/>
      <c r="E4" s="106"/>
      <c r="F4" s="106"/>
      <c r="G4" s="107"/>
      <c r="I4" s="114" t="s">
        <v>99</v>
      </c>
      <c r="J4" s="115"/>
      <c r="K4" s="115"/>
      <c r="L4" s="115"/>
      <c r="M4" s="116"/>
    </row>
    <row r="5" spans="1:13" ht="14.25" customHeight="1" x14ac:dyDescent="0.2">
      <c r="B5" s="108"/>
      <c r="C5" s="109"/>
      <c r="D5" s="109"/>
      <c r="E5" s="109"/>
      <c r="F5" s="109"/>
      <c r="G5" s="110"/>
      <c r="I5" s="117"/>
      <c r="J5" s="118"/>
      <c r="K5" s="118"/>
      <c r="L5" s="118"/>
      <c r="M5" s="11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ht="15.75" x14ac:dyDescent="0.25">
      <c r="B8" s="7"/>
      <c r="C8" s="7"/>
      <c r="D8" s="8" t="s">
        <v>8</v>
      </c>
      <c r="E8" s="8" t="s">
        <v>9</v>
      </c>
      <c r="F8" s="7"/>
      <c r="G8" s="7"/>
      <c r="I8" s="75" t="s">
        <v>100</v>
      </c>
      <c r="J8" s="74"/>
      <c r="K8" s="74"/>
      <c r="L8" s="74"/>
      <c r="M8" s="74"/>
    </row>
    <row r="9" spans="1:13" ht="15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4"/>
      <c r="J9" s="74"/>
      <c r="K9" s="74"/>
      <c r="L9" s="74"/>
      <c r="M9" s="74"/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6"/>
      <c r="J10" s="76"/>
      <c r="K10" s="77" t="s">
        <v>7</v>
      </c>
      <c r="L10" s="76"/>
      <c r="M10" s="76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8"/>
      <c r="J11" s="79" t="s">
        <v>8</v>
      </c>
      <c r="K11" s="79" t="s">
        <v>9</v>
      </c>
      <c r="L11" s="78"/>
      <c r="M11" s="78"/>
    </row>
    <row r="12" spans="1:13" x14ac:dyDescent="0.2">
      <c r="B12" s="6">
        <v>1</v>
      </c>
      <c r="C12" s="111" t="s">
        <v>22</v>
      </c>
      <c r="D12" s="112"/>
      <c r="E12" s="112"/>
      <c r="F12" s="112"/>
      <c r="G12" s="113"/>
      <c r="I12" s="78"/>
      <c r="J12" s="79" t="s">
        <v>10</v>
      </c>
      <c r="K12" s="79" t="s">
        <v>11</v>
      </c>
      <c r="L12" s="79" t="s">
        <v>12</v>
      </c>
      <c r="M12" s="79" t="s">
        <v>13</v>
      </c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176386</v>
      </c>
      <c r="I13" s="80"/>
      <c r="J13" s="80" t="s">
        <v>14</v>
      </c>
      <c r="K13" s="80" t="s">
        <v>14</v>
      </c>
      <c r="L13" s="80" t="s">
        <v>15</v>
      </c>
      <c r="M13" s="80" t="s">
        <v>15</v>
      </c>
    </row>
    <row r="14" spans="1:13" x14ac:dyDescent="0.2">
      <c r="B14" s="9" t="s">
        <v>24</v>
      </c>
      <c r="C14" s="12" t="s">
        <v>27</v>
      </c>
      <c r="D14" s="12"/>
      <c r="E14" s="12"/>
      <c r="F14" s="15"/>
      <c r="G14" s="16">
        <f>G13</f>
        <v>176386</v>
      </c>
      <c r="I14" s="81" t="s">
        <v>17</v>
      </c>
      <c r="J14" s="82" t="s">
        <v>101</v>
      </c>
      <c r="K14" s="82" t="s">
        <v>18</v>
      </c>
      <c r="L14" s="82" t="s">
        <v>19</v>
      </c>
      <c r="M14" s="82" t="s">
        <v>20</v>
      </c>
    </row>
    <row r="15" spans="1:13" x14ac:dyDescent="0.2">
      <c r="B15" s="8">
        <v>2</v>
      </c>
      <c r="C15" s="17">
        <v>44562</v>
      </c>
      <c r="D15" s="58">
        <f>646903-876-1169</f>
        <v>644858</v>
      </c>
      <c r="E15" s="59">
        <f>532957.91</f>
        <v>532957.91</v>
      </c>
      <c r="F15" s="18">
        <f t="shared" ref="F15:F22" si="0">D15-E15</f>
        <v>111900.08999999997</v>
      </c>
      <c r="G15" s="16">
        <f t="shared" ref="G15:G22" si="1">G14+F15</f>
        <v>288286.08999999997</v>
      </c>
      <c r="I15" s="83">
        <v>44562</v>
      </c>
      <c r="J15" s="84">
        <f>60993+(87364+1169)</f>
        <v>149526</v>
      </c>
      <c r="K15" s="85">
        <f>149526</f>
        <v>149526</v>
      </c>
      <c r="L15" s="86">
        <f t="shared" ref="L15:L22" si="2">J15-K15</f>
        <v>0</v>
      </c>
      <c r="M15" s="87">
        <f>L15</f>
        <v>0</v>
      </c>
    </row>
    <row r="16" spans="1:13" x14ac:dyDescent="0.2">
      <c r="B16" s="8">
        <v>3</v>
      </c>
      <c r="C16" s="19">
        <v>44593</v>
      </c>
      <c r="D16" s="60">
        <f>577611-598-795</f>
        <v>576218</v>
      </c>
      <c r="E16" s="61">
        <f>406225.14</f>
        <v>406225.14</v>
      </c>
      <c r="F16" s="20">
        <f t="shared" si="0"/>
        <v>169992.86</v>
      </c>
      <c r="G16" s="21">
        <f t="shared" si="1"/>
        <v>458278.94999999995</v>
      </c>
      <c r="I16" s="88">
        <v>44593</v>
      </c>
      <c r="J16" s="84">
        <f>40419+(47996+795)</f>
        <v>89210</v>
      </c>
      <c r="K16" s="85">
        <f>89210</f>
        <v>89210</v>
      </c>
      <c r="L16" s="87">
        <f t="shared" si="2"/>
        <v>0</v>
      </c>
      <c r="M16" s="87">
        <f t="shared" ref="M16:M22" si="3">M15+L16</f>
        <v>0</v>
      </c>
    </row>
    <row r="17" spans="2:13" x14ac:dyDescent="0.2">
      <c r="B17" s="8">
        <v>4</v>
      </c>
      <c r="C17" s="19">
        <v>44621</v>
      </c>
      <c r="D17" s="60">
        <f>450293-290-781</f>
        <v>449222</v>
      </c>
      <c r="E17" s="61">
        <v>346506.95</v>
      </c>
      <c r="F17" s="20">
        <f t="shared" si="0"/>
        <v>102715.04999999999</v>
      </c>
      <c r="G17" s="21">
        <f t="shared" si="1"/>
        <v>560994</v>
      </c>
      <c r="I17" s="88">
        <v>44621</v>
      </c>
      <c r="J17" s="84">
        <f>38052+(58597+781)</f>
        <v>97430</v>
      </c>
      <c r="K17" s="84">
        <v>97430</v>
      </c>
      <c r="L17" s="87">
        <f t="shared" si="2"/>
        <v>0</v>
      </c>
      <c r="M17" s="87">
        <f t="shared" si="3"/>
        <v>0</v>
      </c>
    </row>
    <row r="18" spans="2:13" x14ac:dyDescent="0.2">
      <c r="B18" s="8">
        <v>5</v>
      </c>
      <c r="C18" s="19">
        <v>44652</v>
      </c>
      <c r="D18" s="60">
        <f>287591-454-601</f>
        <v>286536</v>
      </c>
      <c r="E18" s="61">
        <v>201135.47</v>
      </c>
      <c r="F18" s="20">
        <f t="shared" si="0"/>
        <v>85400.53</v>
      </c>
      <c r="G18" s="21">
        <f t="shared" si="1"/>
        <v>646394.53</v>
      </c>
      <c r="I18" s="88">
        <v>44652</v>
      </c>
      <c r="J18" s="84">
        <f>31258+(53956+601)</f>
        <v>85815</v>
      </c>
      <c r="K18" s="84">
        <v>85815</v>
      </c>
      <c r="L18" s="87">
        <f t="shared" si="2"/>
        <v>0</v>
      </c>
      <c r="M18" s="87">
        <f t="shared" si="3"/>
        <v>0</v>
      </c>
    </row>
    <row r="19" spans="2:13" x14ac:dyDescent="0.2">
      <c r="B19" s="8">
        <v>6</v>
      </c>
      <c r="C19" s="19">
        <v>44682</v>
      </c>
      <c r="D19" s="60">
        <f>327320-667-881</f>
        <v>325772</v>
      </c>
      <c r="E19" s="61">
        <v>318733.90000000002</v>
      </c>
      <c r="F19" s="20">
        <f t="shared" si="0"/>
        <v>7038.0999999999767</v>
      </c>
      <c r="G19" s="21">
        <f t="shared" si="1"/>
        <v>653432.63</v>
      </c>
      <c r="I19" s="88">
        <v>44682</v>
      </c>
      <c r="J19" s="84">
        <f>42230+58862+881</f>
        <v>101973</v>
      </c>
      <c r="K19" s="89">
        <v>101973</v>
      </c>
      <c r="L19" s="87">
        <f t="shared" si="2"/>
        <v>0</v>
      </c>
      <c r="M19" s="87">
        <f t="shared" si="3"/>
        <v>0</v>
      </c>
    </row>
    <row r="20" spans="2:13" x14ac:dyDescent="0.2">
      <c r="B20" s="8">
        <v>7</v>
      </c>
      <c r="C20" s="19">
        <v>44713</v>
      </c>
      <c r="D20" s="60">
        <f>340563-711-935</f>
        <v>338917</v>
      </c>
      <c r="E20" s="61">
        <v>356406.66</v>
      </c>
      <c r="F20" s="22">
        <f t="shared" si="0"/>
        <v>-17489.659999999974</v>
      </c>
      <c r="G20" s="23">
        <f t="shared" si="1"/>
        <v>635942.97</v>
      </c>
      <c r="I20" s="90">
        <v>44713</v>
      </c>
      <c r="J20" s="89">
        <f>48032+(66759+935)</f>
        <v>115726</v>
      </c>
      <c r="K20" s="91">
        <v>115726</v>
      </c>
      <c r="L20" s="92">
        <f t="shared" si="2"/>
        <v>0</v>
      </c>
      <c r="M20" s="92">
        <f t="shared" si="3"/>
        <v>0</v>
      </c>
    </row>
    <row r="21" spans="2:13" x14ac:dyDescent="0.2">
      <c r="B21" s="24" t="s">
        <v>28</v>
      </c>
      <c r="C21" s="17">
        <v>44743</v>
      </c>
      <c r="D21" s="58">
        <f>488298-61-1051</f>
        <v>487186</v>
      </c>
      <c r="E21" s="59">
        <v>499169.81</v>
      </c>
      <c r="F21" s="18">
        <f t="shared" si="0"/>
        <v>-11983.809999999998</v>
      </c>
      <c r="G21" s="16">
        <f t="shared" si="1"/>
        <v>623959.15999999992</v>
      </c>
      <c r="I21" s="88">
        <v>44743</v>
      </c>
      <c r="J21" s="93">
        <f>60813+(91845+1051)</f>
        <v>153709</v>
      </c>
      <c r="K21" s="93">
        <v>153709</v>
      </c>
      <c r="L21" s="87">
        <f t="shared" si="2"/>
        <v>0</v>
      </c>
      <c r="M21" s="87">
        <f t="shared" si="3"/>
        <v>0</v>
      </c>
    </row>
    <row r="22" spans="2:13" x14ac:dyDescent="0.2">
      <c r="B22" s="25" t="s">
        <v>29</v>
      </c>
      <c r="C22" s="26">
        <v>44774</v>
      </c>
      <c r="D22" s="62">
        <f>560383-771-1011</f>
        <v>558601</v>
      </c>
      <c r="E22" s="63">
        <v>452994</v>
      </c>
      <c r="F22" s="22">
        <f t="shared" si="0"/>
        <v>105607</v>
      </c>
      <c r="G22" s="23">
        <f t="shared" si="1"/>
        <v>729566.15999999992</v>
      </c>
      <c r="I22" s="90">
        <v>44774</v>
      </c>
      <c r="J22" s="91">
        <f>64517+77028+1011</f>
        <v>142556</v>
      </c>
      <c r="K22" s="91">
        <v>142556</v>
      </c>
      <c r="L22" s="92">
        <f t="shared" si="2"/>
        <v>0</v>
      </c>
      <c r="M22" s="92">
        <f t="shared" si="3"/>
        <v>0</v>
      </c>
    </row>
    <row r="23" spans="2:13" x14ac:dyDescent="0.2">
      <c r="B23" s="9"/>
      <c r="C23" s="27" t="s">
        <v>61</v>
      </c>
      <c r="D23" s="28"/>
      <c r="E23" s="28"/>
      <c r="F23" s="28"/>
      <c r="G23" s="29"/>
      <c r="I23" s="94"/>
      <c r="J23" s="94"/>
      <c r="K23" s="94"/>
      <c r="L23" s="94"/>
      <c r="M23" s="94"/>
    </row>
    <row r="24" spans="2:13" x14ac:dyDescent="0.2">
      <c r="B24" s="6"/>
      <c r="C24" s="5"/>
      <c r="D24" s="5"/>
      <c r="E24" s="5"/>
      <c r="F24" s="5"/>
      <c r="G24" s="16"/>
      <c r="I24" s="95" t="s">
        <v>102</v>
      </c>
      <c r="J24" s="96"/>
      <c r="K24" s="96"/>
      <c r="L24" s="97"/>
      <c r="M24" s="98">
        <f>M20</f>
        <v>0</v>
      </c>
    </row>
    <row r="25" spans="2:13" x14ac:dyDescent="0.2">
      <c r="B25" s="8"/>
      <c r="C25" s="7"/>
      <c r="D25" s="8" t="s">
        <v>30</v>
      </c>
      <c r="E25" s="8" t="s">
        <v>31</v>
      </c>
      <c r="F25" s="7"/>
      <c r="G25" s="21"/>
      <c r="I25" s="94"/>
      <c r="J25" s="94"/>
      <c r="K25" s="94"/>
      <c r="L25" s="94"/>
      <c r="M25" s="99"/>
    </row>
    <row r="26" spans="2:13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  <c r="I26" s="95" t="s">
        <v>103</v>
      </c>
      <c r="J26" s="96"/>
      <c r="K26" s="96"/>
      <c r="L26" s="97"/>
      <c r="M26" s="98">
        <f>M24/6</f>
        <v>0</v>
      </c>
    </row>
    <row r="27" spans="2:13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13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13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13" x14ac:dyDescent="0.2">
      <c r="B30" s="6" t="s">
        <v>43</v>
      </c>
      <c r="C30" s="65" t="s">
        <v>82</v>
      </c>
      <c r="D30" s="39">
        <f>-G13</f>
        <v>-176386</v>
      </c>
      <c r="E30" s="39">
        <f>D60</f>
        <v>0</v>
      </c>
      <c r="F30" s="65"/>
      <c r="G30" s="39">
        <f>D30+E30</f>
        <v>-176386</v>
      </c>
    </row>
    <row r="31" spans="2:13" x14ac:dyDescent="0.2">
      <c r="B31" s="9" t="s">
        <v>44</v>
      </c>
      <c r="C31" s="33"/>
      <c r="D31" s="34"/>
      <c r="E31" s="34"/>
      <c r="F31" s="35" t="s">
        <v>47</v>
      </c>
      <c r="G31" s="23">
        <f>G30</f>
        <v>-176386</v>
      </c>
    </row>
    <row r="32" spans="2:13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459556.97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76592.828333333324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176386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-176386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459556.97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459556.96999999991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102"/>
      <c r="G52" s="102"/>
    </row>
    <row r="53" spans="2:7" x14ac:dyDescent="0.2">
      <c r="B53" s="36"/>
      <c r="C53" s="9" t="s">
        <v>17</v>
      </c>
      <c r="D53" s="9" t="s">
        <v>104</v>
      </c>
      <c r="E53" s="31"/>
      <c r="F53" s="102"/>
      <c r="G53" s="102"/>
    </row>
    <row r="54" spans="2:7" x14ac:dyDescent="0.2">
      <c r="C54" s="17">
        <v>44562</v>
      </c>
      <c r="D54" s="50">
        <v>0</v>
      </c>
      <c r="E54" s="103"/>
      <c r="F54" s="71"/>
      <c r="G54" s="71"/>
    </row>
    <row r="55" spans="2:7" x14ac:dyDescent="0.2">
      <c r="C55" s="19">
        <v>44593</v>
      </c>
      <c r="D55" s="51">
        <v>0</v>
      </c>
      <c r="E55" s="103"/>
      <c r="F55" s="71"/>
      <c r="G55" s="71"/>
    </row>
    <row r="56" spans="2:7" x14ac:dyDescent="0.2">
      <c r="C56" s="19">
        <v>44621</v>
      </c>
      <c r="D56" s="51">
        <v>0</v>
      </c>
      <c r="E56" s="103"/>
      <c r="F56" s="71"/>
      <c r="G56" s="71"/>
    </row>
    <row r="57" spans="2:7" x14ac:dyDescent="0.2">
      <c r="C57" s="19">
        <v>44652</v>
      </c>
      <c r="D57" s="51">
        <v>0</v>
      </c>
      <c r="E57" s="103"/>
      <c r="F57" s="71"/>
      <c r="G57" s="71"/>
    </row>
    <row r="58" spans="2:7" x14ac:dyDescent="0.2">
      <c r="C58" s="19">
        <v>44682</v>
      </c>
      <c r="D58" s="51">
        <v>0</v>
      </c>
      <c r="E58" s="103"/>
      <c r="F58" s="71"/>
      <c r="G58" s="71"/>
    </row>
    <row r="59" spans="2:7" x14ac:dyDescent="0.2">
      <c r="C59" s="19">
        <v>44713</v>
      </c>
      <c r="D59" s="52">
        <v>0</v>
      </c>
      <c r="E59" s="103"/>
      <c r="F59" s="71"/>
      <c r="G59" s="71"/>
    </row>
    <row r="60" spans="2:7" x14ac:dyDescent="0.2">
      <c r="C60" s="53" t="s">
        <v>57</v>
      </c>
      <c r="D60" s="39">
        <f>SUM(D54:D59)</f>
        <v>0</v>
      </c>
      <c r="E60" s="20"/>
      <c r="F60" s="71"/>
      <c r="G60" s="71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5" t="s">
        <v>98</v>
      </c>
      <c r="C4" s="106"/>
      <c r="D4" s="106"/>
      <c r="E4" s="106"/>
      <c r="F4" s="106"/>
      <c r="G4" s="107"/>
      <c r="I4" s="114" t="s">
        <v>99</v>
      </c>
      <c r="J4" s="115"/>
      <c r="K4" s="115"/>
      <c r="L4" s="115"/>
      <c r="M4" s="116"/>
    </row>
    <row r="5" spans="1:13" x14ac:dyDescent="0.2">
      <c r="B5" s="108"/>
      <c r="C5" s="109"/>
      <c r="D5" s="109"/>
      <c r="E5" s="109"/>
      <c r="F5" s="109"/>
      <c r="G5" s="110"/>
      <c r="I5" s="117"/>
      <c r="J5" s="118"/>
      <c r="K5" s="118"/>
      <c r="L5" s="118"/>
      <c r="M5" s="11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ht="15.75" x14ac:dyDescent="0.25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5" t="s">
        <v>100</v>
      </c>
      <c r="J9" s="74"/>
      <c r="K9" s="74"/>
      <c r="L9" s="74"/>
      <c r="M9" s="74"/>
    </row>
    <row r="10" spans="1:13" ht="15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4"/>
      <c r="J10" s="74"/>
      <c r="K10" s="74"/>
      <c r="L10" s="74"/>
      <c r="M10" s="74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6"/>
      <c r="J11" s="76"/>
      <c r="K11" s="77" t="s">
        <v>7</v>
      </c>
      <c r="L11" s="76"/>
      <c r="M11" s="76"/>
    </row>
    <row r="12" spans="1:13" x14ac:dyDescent="0.2">
      <c r="B12" s="6">
        <v>1</v>
      </c>
      <c r="C12" s="111" t="s">
        <v>22</v>
      </c>
      <c r="D12" s="112"/>
      <c r="E12" s="112"/>
      <c r="F12" s="112"/>
      <c r="G12" s="113"/>
      <c r="I12" s="78"/>
      <c r="J12" s="79" t="s">
        <v>8</v>
      </c>
      <c r="K12" s="79" t="s">
        <v>9</v>
      </c>
      <c r="L12" s="78"/>
      <c r="M12" s="78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176386</v>
      </c>
      <c r="I13" s="78"/>
      <c r="J13" s="79" t="s">
        <v>10</v>
      </c>
      <c r="K13" s="79" t="s">
        <v>11</v>
      </c>
      <c r="L13" s="79" t="s">
        <v>12</v>
      </c>
      <c r="M13" s="79" t="s">
        <v>13</v>
      </c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459556.97</v>
      </c>
      <c r="I14" s="80"/>
      <c r="J14" s="80" t="s">
        <v>14</v>
      </c>
      <c r="K14" s="80" t="s">
        <v>14</v>
      </c>
      <c r="L14" s="80" t="s">
        <v>15</v>
      </c>
      <c r="M14" s="80" t="s">
        <v>15</v>
      </c>
    </row>
    <row r="15" spans="1:13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635942.97</v>
      </c>
      <c r="I15" s="81" t="s">
        <v>17</v>
      </c>
      <c r="J15" s="82" t="s">
        <v>101</v>
      </c>
      <c r="K15" s="82" t="s">
        <v>18</v>
      </c>
      <c r="L15" s="82" t="s">
        <v>19</v>
      </c>
      <c r="M15" s="82" t="s">
        <v>20</v>
      </c>
    </row>
    <row r="16" spans="1:13" x14ac:dyDescent="0.2">
      <c r="B16" s="8">
        <v>2</v>
      </c>
      <c r="C16" s="17">
        <v>44743</v>
      </c>
      <c r="D16" s="58">
        <f>488298-61-1051</f>
        <v>487186</v>
      </c>
      <c r="E16" s="59">
        <v>499169.81</v>
      </c>
      <c r="F16" s="18">
        <f t="shared" ref="F16:F23" si="0">D16-E16</f>
        <v>-11983.809999999998</v>
      </c>
      <c r="G16" s="16">
        <f t="shared" ref="G16:G23" si="1">G15+F16</f>
        <v>623959.15999999992</v>
      </c>
      <c r="I16" s="83">
        <v>44743</v>
      </c>
      <c r="J16" s="84">
        <f>60813+(91845+1051)</f>
        <v>153709</v>
      </c>
      <c r="K16" s="85">
        <v>153709</v>
      </c>
      <c r="L16" s="86">
        <f t="shared" ref="L16:L23" si="2">J16-K16</f>
        <v>0</v>
      </c>
      <c r="M16" s="87">
        <f>L16</f>
        <v>0</v>
      </c>
    </row>
    <row r="17" spans="2:13" x14ac:dyDescent="0.2">
      <c r="B17" s="8">
        <v>3</v>
      </c>
      <c r="C17" s="19">
        <v>44774</v>
      </c>
      <c r="D17" s="60">
        <f>560383-771-1011</f>
        <v>558601</v>
      </c>
      <c r="E17" s="61">
        <v>452994.35</v>
      </c>
      <c r="F17" s="20">
        <f t="shared" si="0"/>
        <v>105606.65000000002</v>
      </c>
      <c r="G17" s="21">
        <f t="shared" si="1"/>
        <v>729565.80999999994</v>
      </c>
      <c r="I17" s="88">
        <v>44774</v>
      </c>
      <c r="J17" s="84">
        <f>64517+77028+1011</f>
        <v>142556</v>
      </c>
      <c r="K17" s="85">
        <v>142556</v>
      </c>
      <c r="L17" s="87">
        <f t="shared" si="2"/>
        <v>0</v>
      </c>
      <c r="M17" s="87">
        <f t="shared" ref="M17:M23" si="3">M16+L17</f>
        <v>0</v>
      </c>
    </row>
    <row r="18" spans="2:13" x14ac:dyDescent="0.2">
      <c r="B18" s="8">
        <v>4</v>
      </c>
      <c r="C18" s="19">
        <v>44805</v>
      </c>
      <c r="D18" s="60">
        <f>415661-53-828</f>
        <v>414780</v>
      </c>
      <c r="E18" s="61">
        <v>348025.36</v>
      </c>
      <c r="F18" s="20">
        <f t="shared" si="0"/>
        <v>66754.640000000014</v>
      </c>
      <c r="G18" s="21">
        <f t="shared" si="1"/>
        <v>796320.45</v>
      </c>
      <c r="I18" s="88">
        <v>44805</v>
      </c>
      <c r="J18" s="84">
        <f>51749+67385+828</f>
        <v>119962</v>
      </c>
      <c r="K18" s="84">
        <v>119962</v>
      </c>
      <c r="L18" s="87">
        <f t="shared" si="2"/>
        <v>0</v>
      </c>
      <c r="M18" s="87">
        <f t="shared" si="3"/>
        <v>0</v>
      </c>
    </row>
    <row r="19" spans="2:13" x14ac:dyDescent="0.2">
      <c r="B19" s="8">
        <v>5</v>
      </c>
      <c r="C19" s="19">
        <v>44835</v>
      </c>
      <c r="D19" s="60">
        <f>287094-0-657</f>
        <v>286437</v>
      </c>
      <c r="E19" s="61">
        <v>276196.24</v>
      </c>
      <c r="F19" s="20">
        <f t="shared" si="0"/>
        <v>10240.760000000009</v>
      </c>
      <c r="G19" s="21">
        <f t="shared" si="1"/>
        <v>806561.21</v>
      </c>
      <c r="I19" s="88">
        <v>44835</v>
      </c>
      <c r="J19" s="84">
        <f>38653+68944+657</f>
        <v>108254</v>
      </c>
      <c r="K19" s="84">
        <v>108254</v>
      </c>
      <c r="L19" s="87">
        <f t="shared" si="2"/>
        <v>0</v>
      </c>
      <c r="M19" s="87">
        <f t="shared" si="3"/>
        <v>0</v>
      </c>
    </row>
    <row r="20" spans="2:13" x14ac:dyDescent="0.2">
      <c r="B20" s="8">
        <v>6</v>
      </c>
      <c r="C20" s="19">
        <v>44866</v>
      </c>
      <c r="D20" s="60">
        <f>328030-592-780</f>
        <v>326658</v>
      </c>
      <c r="E20" s="61">
        <v>355220.64</v>
      </c>
      <c r="F20" s="20">
        <f t="shared" si="0"/>
        <v>-28562.640000000014</v>
      </c>
      <c r="G20" s="21">
        <f t="shared" si="1"/>
        <v>777998.57</v>
      </c>
      <c r="I20" s="88">
        <v>44866</v>
      </c>
      <c r="J20" s="84">
        <f>46388+79591+780</f>
        <v>126759</v>
      </c>
      <c r="K20" s="89">
        <v>126759</v>
      </c>
      <c r="L20" s="87">
        <f t="shared" si="2"/>
        <v>0</v>
      </c>
      <c r="M20" s="87">
        <f t="shared" si="3"/>
        <v>0</v>
      </c>
    </row>
    <row r="21" spans="2:13" x14ac:dyDescent="0.2">
      <c r="B21" s="8">
        <v>7</v>
      </c>
      <c r="C21" s="19">
        <v>44896</v>
      </c>
      <c r="D21" s="60">
        <f>455702-659-865</f>
        <v>454178</v>
      </c>
      <c r="E21" s="61">
        <v>521249.19</v>
      </c>
      <c r="F21" s="22">
        <f t="shared" si="0"/>
        <v>-67071.19</v>
      </c>
      <c r="G21" s="23">
        <f t="shared" si="1"/>
        <v>710927.37999999989</v>
      </c>
      <c r="I21" s="90">
        <v>44896</v>
      </c>
      <c r="J21" s="89">
        <f>45366+67891+865</f>
        <v>114122</v>
      </c>
      <c r="K21" s="91">
        <v>114122</v>
      </c>
      <c r="L21" s="92">
        <f t="shared" si="2"/>
        <v>0</v>
      </c>
      <c r="M21" s="92">
        <f t="shared" si="3"/>
        <v>0</v>
      </c>
    </row>
    <row r="22" spans="2:13" x14ac:dyDescent="0.2">
      <c r="B22" s="24" t="s">
        <v>28</v>
      </c>
      <c r="C22" s="17">
        <v>44927</v>
      </c>
      <c r="D22" s="58">
        <f>704331-703-925</f>
        <v>702703</v>
      </c>
      <c r="E22" s="59">
        <v>667696.29</v>
      </c>
      <c r="F22" s="18">
        <f t="shared" si="0"/>
        <v>35006.709999999963</v>
      </c>
      <c r="G22" s="16">
        <f t="shared" si="1"/>
        <v>745934.08999999985</v>
      </c>
      <c r="I22" s="88">
        <v>44927</v>
      </c>
      <c r="J22" s="93">
        <f>46844+84571+925</f>
        <v>132340</v>
      </c>
      <c r="K22" s="93">
        <v>132340</v>
      </c>
      <c r="L22" s="87">
        <f t="shared" si="2"/>
        <v>0</v>
      </c>
      <c r="M22" s="87">
        <f t="shared" si="3"/>
        <v>0</v>
      </c>
    </row>
    <row r="23" spans="2:13" x14ac:dyDescent="0.2">
      <c r="B23" s="25" t="s">
        <v>29</v>
      </c>
      <c r="C23" s="26">
        <v>44958</v>
      </c>
      <c r="D23" s="62">
        <f>514555-606-803</f>
        <v>513146</v>
      </c>
      <c r="E23" s="63">
        <v>477288.63</v>
      </c>
      <c r="F23" s="22">
        <f t="shared" si="0"/>
        <v>35857.369999999995</v>
      </c>
      <c r="G23" s="23">
        <f t="shared" si="1"/>
        <v>781791.45999999985</v>
      </c>
      <c r="I23" s="90">
        <v>44958</v>
      </c>
      <c r="J23" s="91">
        <f>46996+91888+803</f>
        <v>139687</v>
      </c>
      <c r="K23" s="91">
        <v>139687</v>
      </c>
      <c r="L23" s="92">
        <f t="shared" si="2"/>
        <v>0</v>
      </c>
      <c r="M23" s="92">
        <f t="shared" si="3"/>
        <v>0</v>
      </c>
    </row>
    <row r="24" spans="2:13" x14ac:dyDescent="0.2">
      <c r="B24" s="9"/>
      <c r="C24" s="27" t="s">
        <v>65</v>
      </c>
      <c r="D24" s="28"/>
      <c r="E24" s="28"/>
      <c r="F24" s="28"/>
      <c r="G24" s="29"/>
      <c r="I24" s="94"/>
      <c r="J24" s="94"/>
      <c r="K24" s="94"/>
      <c r="L24" s="94"/>
      <c r="M24" s="94"/>
    </row>
    <row r="25" spans="2:13" x14ac:dyDescent="0.2">
      <c r="B25" s="6"/>
      <c r="C25" s="5"/>
      <c r="D25" s="5"/>
      <c r="E25" s="5"/>
      <c r="F25" s="5"/>
      <c r="G25" s="16"/>
      <c r="I25" s="95" t="s">
        <v>102</v>
      </c>
      <c r="J25" s="96"/>
      <c r="K25" s="96"/>
      <c r="L25" s="97"/>
      <c r="M25" s="98">
        <f>M21</f>
        <v>0</v>
      </c>
    </row>
    <row r="26" spans="2:13" x14ac:dyDescent="0.2">
      <c r="B26" s="8"/>
      <c r="C26" s="7"/>
      <c r="D26" s="8" t="s">
        <v>30</v>
      </c>
      <c r="E26" s="8" t="s">
        <v>31</v>
      </c>
      <c r="F26" s="7"/>
      <c r="G26" s="21"/>
      <c r="I26" s="94"/>
      <c r="J26" s="94"/>
      <c r="K26" s="94"/>
      <c r="L26" s="94"/>
      <c r="M26" s="99"/>
    </row>
    <row r="27" spans="2:13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  <c r="I27" s="95" t="s">
        <v>103</v>
      </c>
      <c r="J27" s="96"/>
      <c r="K27" s="96"/>
      <c r="L27" s="97"/>
      <c r="M27" s="98">
        <f>M25/6</f>
        <v>0</v>
      </c>
    </row>
    <row r="28" spans="2:13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13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13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13" x14ac:dyDescent="0.2">
      <c r="B31" s="24" t="s">
        <v>43</v>
      </c>
      <c r="C31" s="5" t="s">
        <v>82</v>
      </c>
      <c r="D31" s="16">
        <f>-G13</f>
        <v>-176386</v>
      </c>
      <c r="E31" s="16">
        <f>D62</f>
        <v>0</v>
      </c>
      <c r="F31" s="5"/>
      <c r="G31" s="16">
        <f>D31+E31</f>
        <v>-176386</v>
      </c>
    </row>
    <row r="32" spans="2:13" x14ac:dyDescent="0.2">
      <c r="B32" s="31" t="s">
        <v>44</v>
      </c>
      <c r="C32" s="32" t="s">
        <v>84</v>
      </c>
      <c r="D32" s="23">
        <f>-G14</f>
        <v>-459556.97</v>
      </c>
      <c r="E32" s="23">
        <v>0</v>
      </c>
      <c r="F32" s="32"/>
      <c r="G32" s="23">
        <f>D32+E32</f>
        <v>-459556.97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-635942.97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74984.409999999916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12497.401666666652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635942.97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-635942.97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74984.409999999916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74984.410000000033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-1.1641532182693481E-10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102"/>
      <c r="G54" s="102"/>
    </row>
    <row r="55" spans="2:7" x14ac:dyDescent="0.2">
      <c r="B55" s="36"/>
      <c r="C55" s="9" t="s">
        <v>17</v>
      </c>
      <c r="D55" s="9" t="s">
        <v>104</v>
      </c>
      <c r="E55" s="31"/>
      <c r="F55" s="102"/>
      <c r="G55" s="102"/>
    </row>
    <row r="56" spans="2:7" x14ac:dyDescent="0.2">
      <c r="C56" s="17">
        <v>44743</v>
      </c>
      <c r="D56" s="50">
        <v>0</v>
      </c>
      <c r="E56" s="103"/>
      <c r="F56" s="71"/>
      <c r="G56" s="71"/>
    </row>
    <row r="57" spans="2:7" x14ac:dyDescent="0.2">
      <c r="C57" s="19">
        <v>44774</v>
      </c>
      <c r="D57" s="51">
        <v>0</v>
      </c>
      <c r="E57" s="103"/>
      <c r="F57" s="71"/>
      <c r="G57" s="71"/>
    </row>
    <row r="58" spans="2:7" x14ac:dyDescent="0.2">
      <c r="C58" s="19">
        <v>44805</v>
      </c>
      <c r="D58" s="51">
        <v>0</v>
      </c>
      <c r="E58" s="103"/>
      <c r="F58" s="71"/>
      <c r="G58" s="71"/>
    </row>
    <row r="59" spans="2:7" x14ac:dyDescent="0.2">
      <c r="C59" s="19">
        <v>44835</v>
      </c>
      <c r="D59" s="51">
        <v>0</v>
      </c>
      <c r="E59" s="103"/>
      <c r="F59" s="71"/>
      <c r="G59" s="71"/>
    </row>
    <row r="60" spans="2:7" x14ac:dyDescent="0.2">
      <c r="C60" s="19">
        <v>44866</v>
      </c>
      <c r="D60" s="51">
        <v>0</v>
      </c>
      <c r="E60" s="103"/>
      <c r="F60" s="71"/>
      <c r="G60" s="71"/>
    </row>
    <row r="61" spans="2:7" x14ac:dyDescent="0.2">
      <c r="C61" s="19">
        <v>44896</v>
      </c>
      <c r="D61" s="52">
        <v>0</v>
      </c>
      <c r="E61" s="103"/>
      <c r="F61" s="71"/>
      <c r="G61" s="71"/>
    </row>
    <row r="62" spans="2:7" x14ac:dyDescent="0.2">
      <c r="C62" s="53" t="s">
        <v>57</v>
      </c>
      <c r="D62" s="39">
        <f>SUM(D56:D61)</f>
        <v>0</v>
      </c>
      <c r="E62" s="20"/>
      <c r="F62" s="71"/>
      <c r="G62" s="71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5" t="s">
        <v>98</v>
      </c>
      <c r="C4" s="106"/>
      <c r="D4" s="106"/>
      <c r="E4" s="106"/>
      <c r="F4" s="106"/>
      <c r="G4" s="107"/>
      <c r="I4" s="114" t="s">
        <v>99</v>
      </c>
      <c r="J4" s="115"/>
      <c r="K4" s="115"/>
      <c r="L4" s="115"/>
      <c r="M4" s="116"/>
    </row>
    <row r="5" spans="1:13" ht="14.25" customHeight="1" x14ac:dyDescent="0.2">
      <c r="B5" s="108"/>
      <c r="C5" s="109"/>
      <c r="D5" s="109"/>
      <c r="E5" s="109"/>
      <c r="F5" s="109"/>
      <c r="G5" s="110"/>
      <c r="I5" s="117"/>
      <c r="J5" s="118"/>
      <c r="K5" s="118"/>
      <c r="L5" s="118"/>
      <c r="M5" s="11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ht="15.75" x14ac:dyDescent="0.25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5" t="s">
        <v>100</v>
      </c>
      <c r="J10" s="74"/>
      <c r="K10" s="74"/>
      <c r="L10" s="74"/>
      <c r="M10" s="74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4"/>
      <c r="J11" s="74"/>
      <c r="K11" s="74"/>
      <c r="L11" s="74"/>
      <c r="M11" s="74"/>
    </row>
    <row r="12" spans="1:13" x14ac:dyDescent="0.2">
      <c r="B12" s="6">
        <v>1</v>
      </c>
      <c r="C12" s="111" t="s">
        <v>22</v>
      </c>
      <c r="D12" s="112"/>
      <c r="E12" s="112"/>
      <c r="F12" s="112"/>
      <c r="G12" s="113"/>
      <c r="I12" s="76"/>
      <c r="J12" s="76"/>
      <c r="K12" s="77" t="s">
        <v>7</v>
      </c>
      <c r="L12" s="76"/>
      <c r="M12" s="76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176386</v>
      </c>
      <c r="I13" s="78"/>
      <c r="J13" s="79" t="s">
        <v>8</v>
      </c>
      <c r="K13" s="79" t="s">
        <v>9</v>
      </c>
      <c r="L13" s="78"/>
      <c r="M13" s="78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459556.97</v>
      </c>
      <c r="I14" s="78"/>
      <c r="J14" s="79" t="s">
        <v>10</v>
      </c>
      <c r="K14" s="79" t="s">
        <v>11</v>
      </c>
      <c r="L14" s="79" t="s">
        <v>12</v>
      </c>
      <c r="M14" s="79" t="s">
        <v>13</v>
      </c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74984.409999999916</v>
      </c>
      <c r="I15" s="80"/>
      <c r="J15" s="80" t="s">
        <v>14</v>
      </c>
      <c r="K15" s="80" t="s">
        <v>14</v>
      </c>
      <c r="L15" s="80" t="s">
        <v>15</v>
      </c>
      <c r="M15" s="80" t="s">
        <v>15</v>
      </c>
    </row>
    <row r="16" spans="1:13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710927.37999999989</v>
      </c>
      <c r="I16" s="81" t="s">
        <v>17</v>
      </c>
      <c r="J16" s="82" t="s">
        <v>101</v>
      </c>
      <c r="K16" s="82" t="s">
        <v>18</v>
      </c>
      <c r="L16" s="82" t="s">
        <v>19</v>
      </c>
      <c r="M16" s="82" t="s">
        <v>20</v>
      </c>
    </row>
    <row r="17" spans="2:13" x14ac:dyDescent="0.2">
      <c r="B17" s="8">
        <v>2</v>
      </c>
      <c r="C17" s="17">
        <v>44927</v>
      </c>
      <c r="D17" s="58">
        <f>704331-703-925</f>
        <v>702703</v>
      </c>
      <c r="E17" s="59">
        <v>667696.29</v>
      </c>
      <c r="F17" s="18">
        <f t="shared" ref="F17:F24" si="0">D17-E17</f>
        <v>35006.709999999963</v>
      </c>
      <c r="G17" s="16">
        <f t="shared" ref="G17:G24" si="1">G16+F17</f>
        <v>745934.08999999985</v>
      </c>
      <c r="I17" s="83">
        <v>44927</v>
      </c>
      <c r="J17" s="84">
        <f>46844+84571+925</f>
        <v>132340</v>
      </c>
      <c r="K17" s="85">
        <v>132340</v>
      </c>
      <c r="L17" s="86">
        <f t="shared" ref="L17:L24" si="2">J17-K17</f>
        <v>0</v>
      </c>
      <c r="M17" s="87">
        <f>L17</f>
        <v>0</v>
      </c>
    </row>
    <row r="18" spans="2:13" x14ac:dyDescent="0.2">
      <c r="B18" s="8">
        <v>3</v>
      </c>
      <c r="C18" s="19">
        <v>44958</v>
      </c>
      <c r="D18" s="60">
        <f>514555-606-803</f>
        <v>513146</v>
      </c>
      <c r="E18" s="61">
        <v>477288.63</v>
      </c>
      <c r="F18" s="20">
        <f t="shared" si="0"/>
        <v>35857.369999999995</v>
      </c>
      <c r="G18" s="21">
        <f t="shared" si="1"/>
        <v>781791.45999999985</v>
      </c>
      <c r="I18" s="88">
        <v>44958</v>
      </c>
      <c r="J18" s="84">
        <f>46996+91888+803</f>
        <v>139687</v>
      </c>
      <c r="K18" s="85">
        <v>139687</v>
      </c>
      <c r="L18" s="87">
        <f t="shared" si="2"/>
        <v>0</v>
      </c>
      <c r="M18" s="87">
        <f t="shared" ref="M18:M24" si="3">M17+L18</f>
        <v>0</v>
      </c>
    </row>
    <row r="19" spans="2:13" x14ac:dyDescent="0.2">
      <c r="B19" s="8">
        <v>4</v>
      </c>
      <c r="C19" s="19">
        <v>44986</v>
      </c>
      <c r="D19" s="60">
        <f>265251-407-538</f>
        <v>264306</v>
      </c>
      <c r="E19" s="61">
        <v>202656.88</v>
      </c>
      <c r="F19" s="20">
        <f t="shared" si="0"/>
        <v>61649.119999999995</v>
      </c>
      <c r="G19" s="21">
        <f t="shared" si="1"/>
        <v>843440.57999999984</v>
      </c>
      <c r="I19" s="88">
        <v>44986</v>
      </c>
      <c r="J19" s="84">
        <f>25161+53165+538</f>
        <v>78864</v>
      </c>
      <c r="K19" s="84">
        <v>78864</v>
      </c>
      <c r="L19" s="87">
        <f t="shared" si="2"/>
        <v>0</v>
      </c>
      <c r="M19" s="87">
        <f t="shared" si="3"/>
        <v>0</v>
      </c>
    </row>
    <row r="20" spans="2:13" x14ac:dyDescent="0.2">
      <c r="B20" s="8">
        <v>5</v>
      </c>
      <c r="C20" s="19">
        <v>45017</v>
      </c>
      <c r="D20" s="60">
        <f>333538-520-685</f>
        <v>332333</v>
      </c>
      <c r="E20" s="61">
        <f>337872.05</f>
        <v>337872.05</v>
      </c>
      <c r="F20" s="20">
        <f t="shared" si="0"/>
        <v>-5539.0499999999884</v>
      </c>
      <c r="G20" s="21">
        <f t="shared" si="1"/>
        <v>837901.5299999998</v>
      </c>
      <c r="I20" s="88">
        <v>45017</v>
      </c>
      <c r="J20" s="84">
        <f>31893+69046+685</f>
        <v>101624</v>
      </c>
      <c r="K20" s="84">
        <f>101624</f>
        <v>101624</v>
      </c>
      <c r="L20" s="87">
        <f t="shared" si="2"/>
        <v>0</v>
      </c>
      <c r="M20" s="87">
        <f t="shared" si="3"/>
        <v>0</v>
      </c>
    </row>
    <row r="21" spans="2:13" x14ac:dyDescent="0.2">
      <c r="B21" s="8">
        <v>6</v>
      </c>
      <c r="C21" s="19">
        <v>45047</v>
      </c>
      <c r="D21" s="60">
        <f>329746-712-932</f>
        <v>328102</v>
      </c>
      <c r="E21" s="61">
        <v>395340.62</v>
      </c>
      <c r="F21" s="20">
        <f t="shared" si="0"/>
        <v>-67238.62</v>
      </c>
      <c r="G21" s="21">
        <f t="shared" si="1"/>
        <v>770662.9099999998</v>
      </c>
      <c r="I21" s="88">
        <v>45047</v>
      </c>
      <c r="J21" s="84">
        <f>44714+101632+932</f>
        <v>147278</v>
      </c>
      <c r="K21" s="89">
        <v>147278</v>
      </c>
      <c r="L21" s="87">
        <f t="shared" si="2"/>
        <v>0</v>
      </c>
      <c r="M21" s="87">
        <f t="shared" si="3"/>
        <v>0</v>
      </c>
    </row>
    <row r="22" spans="2:13" x14ac:dyDescent="0.2">
      <c r="B22" s="8">
        <v>7</v>
      </c>
      <c r="C22" s="19">
        <v>45078</v>
      </c>
      <c r="D22" s="60">
        <f>326984-695-907</f>
        <v>325382</v>
      </c>
      <c r="E22" s="61">
        <v>354275.51</v>
      </c>
      <c r="F22" s="22">
        <f t="shared" si="0"/>
        <v>-28893.510000000009</v>
      </c>
      <c r="G22" s="23">
        <f t="shared" si="1"/>
        <v>741769.39999999979</v>
      </c>
      <c r="I22" s="90">
        <v>45078</v>
      </c>
      <c r="J22" s="89">
        <f>50284+93511+907</f>
        <v>144702</v>
      </c>
      <c r="K22" s="91">
        <v>144702</v>
      </c>
      <c r="L22" s="92">
        <f t="shared" si="2"/>
        <v>0</v>
      </c>
      <c r="M22" s="92">
        <f t="shared" si="3"/>
        <v>0</v>
      </c>
    </row>
    <row r="23" spans="2:13" x14ac:dyDescent="0.2">
      <c r="B23" s="24" t="s">
        <v>28</v>
      </c>
      <c r="C23" s="17">
        <v>45108</v>
      </c>
      <c r="D23" s="58">
        <f>379720-821-1071</f>
        <v>377828</v>
      </c>
      <c r="E23" s="59">
        <v>510966.13</v>
      </c>
      <c r="F23" s="18">
        <f t="shared" si="0"/>
        <v>-133138.13</v>
      </c>
      <c r="G23" s="16">
        <f t="shared" si="1"/>
        <v>608631.26999999979</v>
      </c>
      <c r="I23" s="88">
        <v>45108</v>
      </c>
      <c r="J23" s="93">
        <f>52170+72492+1071</f>
        <v>125733</v>
      </c>
      <c r="K23" s="93">
        <v>125733</v>
      </c>
      <c r="L23" s="87">
        <f t="shared" si="2"/>
        <v>0</v>
      </c>
      <c r="M23" s="87">
        <f t="shared" si="3"/>
        <v>0</v>
      </c>
    </row>
    <row r="24" spans="2:13" x14ac:dyDescent="0.2">
      <c r="B24" s="25" t="s">
        <v>29</v>
      </c>
      <c r="C24" s="26">
        <v>45139</v>
      </c>
      <c r="D24" s="62">
        <f>527514-851-1109</f>
        <v>525554</v>
      </c>
      <c r="E24" s="63">
        <v>575983.43999999994</v>
      </c>
      <c r="F24" s="22">
        <f t="shared" si="0"/>
        <v>-50429.439999999944</v>
      </c>
      <c r="G24" s="23">
        <f t="shared" si="1"/>
        <v>558201.82999999984</v>
      </c>
      <c r="I24" s="90">
        <v>45139</v>
      </c>
      <c r="J24" s="91">
        <f>56190+102634+1109</f>
        <v>159933</v>
      </c>
      <c r="K24" s="91">
        <v>159933</v>
      </c>
      <c r="L24" s="92">
        <f t="shared" si="2"/>
        <v>0</v>
      </c>
      <c r="M24" s="92">
        <f t="shared" si="3"/>
        <v>0</v>
      </c>
    </row>
    <row r="25" spans="2:13" x14ac:dyDescent="0.2">
      <c r="B25" s="9"/>
      <c r="C25" s="27" t="s">
        <v>70</v>
      </c>
      <c r="D25" s="28"/>
      <c r="E25" s="28"/>
      <c r="F25" s="28"/>
      <c r="G25" s="29"/>
      <c r="I25" s="94"/>
      <c r="J25" s="94"/>
      <c r="K25" s="94"/>
      <c r="L25" s="94"/>
      <c r="M25" s="94"/>
    </row>
    <row r="26" spans="2:13" x14ac:dyDescent="0.2">
      <c r="B26" s="6"/>
      <c r="C26" s="5"/>
      <c r="D26" s="5"/>
      <c r="E26" s="5"/>
      <c r="F26" s="5"/>
      <c r="G26" s="16"/>
      <c r="I26" s="95" t="s">
        <v>102</v>
      </c>
      <c r="J26" s="96"/>
      <c r="K26" s="96"/>
      <c r="L26" s="97"/>
      <c r="M26" s="98">
        <f>M22</f>
        <v>0</v>
      </c>
    </row>
    <row r="27" spans="2:13" x14ac:dyDescent="0.2">
      <c r="B27" s="8"/>
      <c r="C27" s="7"/>
      <c r="D27" s="8" t="s">
        <v>30</v>
      </c>
      <c r="E27" s="8" t="s">
        <v>31</v>
      </c>
      <c r="F27" s="7"/>
      <c r="G27" s="21"/>
      <c r="I27" s="94"/>
      <c r="J27" s="94"/>
      <c r="K27" s="94"/>
      <c r="L27" s="94"/>
      <c r="M27" s="99"/>
    </row>
    <row r="28" spans="2:13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  <c r="I28" s="95" t="s">
        <v>103</v>
      </c>
      <c r="J28" s="96"/>
      <c r="K28" s="96"/>
      <c r="L28" s="97"/>
      <c r="M28" s="98">
        <f>M26/6</f>
        <v>0</v>
      </c>
    </row>
    <row r="29" spans="2:13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13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13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13" x14ac:dyDescent="0.2">
      <c r="B32" s="24" t="s">
        <v>43</v>
      </c>
      <c r="C32" s="5" t="s">
        <v>82</v>
      </c>
      <c r="D32" s="16">
        <f>-G13</f>
        <v>-176386</v>
      </c>
      <c r="E32" s="16">
        <f>D64</f>
        <v>0</v>
      </c>
      <c r="F32" s="5"/>
      <c r="G32" s="16">
        <f t="shared" ref="G32:G34" si="4">D32+E32</f>
        <v>-176386</v>
      </c>
    </row>
    <row r="33" spans="2:7" x14ac:dyDescent="0.2">
      <c r="B33" s="31" t="s">
        <v>44</v>
      </c>
      <c r="C33" s="66" t="s">
        <v>84</v>
      </c>
      <c r="D33" s="21">
        <f>-G14</f>
        <v>-459556.97</v>
      </c>
      <c r="E33" s="21">
        <v>0</v>
      </c>
      <c r="F33" s="7"/>
      <c r="G33" s="21">
        <f t="shared" si="4"/>
        <v>-459556.97</v>
      </c>
    </row>
    <row r="34" spans="2:7" x14ac:dyDescent="0.2">
      <c r="B34" s="31" t="s">
        <v>45</v>
      </c>
      <c r="C34" s="49" t="s">
        <v>87</v>
      </c>
      <c r="D34" s="23">
        <f>-G15</f>
        <v>-74984.409999999916</v>
      </c>
      <c r="E34" s="23">
        <v>0</v>
      </c>
      <c r="F34" s="32"/>
      <c r="G34" s="23">
        <f t="shared" si="4"/>
        <v>-74984.409999999916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-710927.37999999989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30842.019999999902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5140.3366666666507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710927.37999999989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-710927.37999999989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30842.019999999902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30842.01999999996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-5.8207660913467407E-11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102"/>
      <c r="G56" s="102"/>
    </row>
    <row r="57" spans="2:7" x14ac:dyDescent="0.2">
      <c r="B57" s="36"/>
      <c r="C57" s="9" t="s">
        <v>17</v>
      </c>
      <c r="D57" s="9" t="s">
        <v>104</v>
      </c>
      <c r="E57" s="31"/>
      <c r="F57" s="102"/>
      <c r="G57" s="102"/>
    </row>
    <row r="58" spans="2:7" x14ac:dyDescent="0.2">
      <c r="C58" s="17">
        <v>44927</v>
      </c>
      <c r="D58" s="50">
        <v>0</v>
      </c>
      <c r="E58" s="103"/>
      <c r="F58" s="71"/>
      <c r="G58" s="71"/>
    </row>
    <row r="59" spans="2:7" x14ac:dyDescent="0.2">
      <c r="C59" s="19">
        <v>44958</v>
      </c>
      <c r="D59" s="51">
        <v>0</v>
      </c>
      <c r="E59" s="103"/>
      <c r="F59" s="71"/>
      <c r="G59" s="71"/>
    </row>
    <row r="60" spans="2:7" x14ac:dyDescent="0.2">
      <c r="C60" s="19">
        <v>44986</v>
      </c>
      <c r="D60" s="51">
        <v>0</v>
      </c>
      <c r="E60" s="103"/>
      <c r="F60" s="71"/>
      <c r="G60" s="71"/>
    </row>
    <row r="61" spans="2:7" x14ac:dyDescent="0.2">
      <c r="C61" s="19">
        <v>45017</v>
      </c>
      <c r="D61" s="51">
        <v>0</v>
      </c>
      <c r="E61" s="103"/>
      <c r="F61" s="71"/>
      <c r="G61" s="71"/>
    </row>
    <row r="62" spans="2:7" x14ac:dyDescent="0.2">
      <c r="C62" s="19">
        <v>45047</v>
      </c>
      <c r="D62" s="51">
        <v>0</v>
      </c>
      <c r="E62" s="103"/>
      <c r="F62" s="71"/>
      <c r="G62" s="71"/>
    </row>
    <row r="63" spans="2:7" x14ac:dyDescent="0.2">
      <c r="C63" s="19">
        <v>45078</v>
      </c>
      <c r="D63" s="52">
        <v>0</v>
      </c>
      <c r="E63" s="103"/>
      <c r="F63" s="71"/>
      <c r="G63" s="71"/>
    </row>
    <row r="64" spans="2:7" x14ac:dyDescent="0.2">
      <c r="C64" s="53" t="s">
        <v>57</v>
      </c>
      <c r="D64" s="39">
        <f>SUM(D58:D63)</f>
        <v>0</v>
      </c>
      <c r="E64" s="20"/>
      <c r="F64" s="71"/>
      <c r="G64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A4" s="55"/>
      <c r="B4" s="105" t="s">
        <v>98</v>
      </c>
      <c r="C4" s="106"/>
      <c r="D4" s="106"/>
      <c r="E4" s="106"/>
      <c r="F4" s="106"/>
      <c r="G4" s="107"/>
      <c r="I4" s="114" t="s">
        <v>99</v>
      </c>
      <c r="J4" s="115"/>
      <c r="K4" s="115"/>
      <c r="L4" s="115"/>
      <c r="M4" s="116"/>
    </row>
    <row r="5" spans="1:13" x14ac:dyDescent="0.2">
      <c r="A5" s="55"/>
      <c r="B5" s="108"/>
      <c r="C5" s="109"/>
      <c r="D5" s="109"/>
      <c r="E5" s="109"/>
      <c r="F5" s="109"/>
      <c r="G5" s="110"/>
      <c r="I5" s="117"/>
      <c r="J5" s="118"/>
      <c r="K5" s="118"/>
      <c r="L5" s="118"/>
      <c r="M5" s="119"/>
    </row>
    <row r="6" spans="1:13" ht="15" x14ac:dyDescent="0.2">
      <c r="A6" s="55"/>
      <c r="I6" s="74"/>
      <c r="J6" s="74"/>
      <c r="K6" s="74"/>
      <c r="L6" s="74"/>
      <c r="M6" s="74"/>
    </row>
    <row r="7" spans="1:13" x14ac:dyDescent="0.2">
      <c r="A7" s="55"/>
      <c r="B7" s="5"/>
      <c r="C7" s="5"/>
      <c r="D7" s="5"/>
      <c r="E7" s="6" t="s">
        <v>7</v>
      </c>
      <c r="F7" s="5"/>
      <c r="G7" s="5"/>
    </row>
    <row r="8" spans="1:13" x14ac:dyDescent="0.2">
      <c r="A8" s="55"/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A9" s="55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A10" s="55"/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ht="15.75" x14ac:dyDescent="0.25">
      <c r="A11" s="55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5" t="s">
        <v>100</v>
      </c>
      <c r="J11" s="74"/>
      <c r="K11" s="74"/>
      <c r="L11" s="74"/>
      <c r="M11" s="74"/>
    </row>
    <row r="12" spans="1:13" ht="15" x14ac:dyDescent="0.2">
      <c r="A12" s="55"/>
      <c r="B12" s="6">
        <v>1</v>
      </c>
      <c r="C12" s="111" t="s">
        <v>22</v>
      </c>
      <c r="D12" s="112"/>
      <c r="E12" s="112"/>
      <c r="F12" s="112"/>
      <c r="G12" s="113"/>
      <c r="I12" s="74"/>
      <c r="J12" s="74"/>
      <c r="K12" s="74"/>
      <c r="L12" s="74"/>
      <c r="M12" s="74"/>
    </row>
    <row r="13" spans="1:13" x14ac:dyDescent="0.2">
      <c r="A13" s="55"/>
      <c r="B13" s="6" t="s">
        <v>23</v>
      </c>
      <c r="C13" s="12" t="s">
        <v>80</v>
      </c>
      <c r="D13" s="12"/>
      <c r="E13" s="12"/>
      <c r="F13" s="13"/>
      <c r="G13" s="14">
        <v>176386</v>
      </c>
      <c r="I13" s="76"/>
      <c r="J13" s="76"/>
      <c r="K13" s="77" t="s">
        <v>7</v>
      </c>
      <c r="L13" s="76"/>
      <c r="M13" s="76"/>
    </row>
    <row r="14" spans="1:13" x14ac:dyDescent="0.2">
      <c r="A14" s="55"/>
      <c r="B14" s="8" t="s">
        <v>24</v>
      </c>
      <c r="C14" s="12" t="s">
        <v>81</v>
      </c>
      <c r="D14" s="12"/>
      <c r="E14" s="12"/>
      <c r="F14" s="13"/>
      <c r="G14" s="57">
        <f>'A - 05-31-22'!G33</f>
        <v>459556.97</v>
      </c>
      <c r="I14" s="78"/>
      <c r="J14" s="79" t="s">
        <v>8</v>
      </c>
      <c r="K14" s="79" t="s">
        <v>9</v>
      </c>
      <c r="L14" s="78"/>
      <c r="M14" s="78"/>
    </row>
    <row r="15" spans="1:13" x14ac:dyDescent="0.2">
      <c r="A15" s="55"/>
      <c r="B15" s="8" t="s">
        <v>25</v>
      </c>
      <c r="C15" s="12" t="s">
        <v>86</v>
      </c>
      <c r="D15" s="12"/>
      <c r="E15" s="12"/>
      <c r="F15" s="13"/>
      <c r="G15" s="57">
        <f>'B - 11-30-22'!G35</f>
        <v>74984.409999999916</v>
      </c>
      <c r="I15" s="78"/>
      <c r="J15" s="79" t="s">
        <v>10</v>
      </c>
      <c r="K15" s="79" t="s">
        <v>11</v>
      </c>
      <c r="L15" s="79" t="s">
        <v>12</v>
      </c>
      <c r="M15" s="79" t="s">
        <v>13</v>
      </c>
    </row>
    <row r="16" spans="1:13" x14ac:dyDescent="0.2">
      <c r="A16" s="55"/>
      <c r="B16" s="8" t="s">
        <v>26</v>
      </c>
      <c r="C16" s="12" t="s">
        <v>89</v>
      </c>
      <c r="D16" s="12"/>
      <c r="E16" s="12"/>
      <c r="F16" s="15"/>
      <c r="G16" s="58">
        <f>'C - 05-31-23'!G37</f>
        <v>30842.019999999902</v>
      </c>
      <c r="I16" s="80"/>
      <c r="J16" s="80" t="s">
        <v>14</v>
      </c>
      <c r="K16" s="80" t="s">
        <v>14</v>
      </c>
      <c r="L16" s="80" t="s">
        <v>15</v>
      </c>
      <c r="M16" s="80" t="s">
        <v>15</v>
      </c>
    </row>
    <row r="17" spans="1:13" x14ac:dyDescent="0.2">
      <c r="A17" s="55"/>
      <c r="B17" s="9" t="s">
        <v>58</v>
      </c>
      <c r="C17" s="12" t="s">
        <v>27</v>
      </c>
      <c r="D17" s="12"/>
      <c r="E17" s="12"/>
      <c r="F17" s="15"/>
      <c r="G17" s="16">
        <f>G13+G14+G15+G16</f>
        <v>741769.39999999979</v>
      </c>
      <c r="I17" s="81" t="s">
        <v>17</v>
      </c>
      <c r="J17" s="82" t="s">
        <v>101</v>
      </c>
      <c r="K17" s="82" t="s">
        <v>18</v>
      </c>
      <c r="L17" s="82" t="s">
        <v>19</v>
      </c>
      <c r="M17" s="82" t="s">
        <v>20</v>
      </c>
    </row>
    <row r="18" spans="1:13" x14ac:dyDescent="0.2">
      <c r="A18" s="55"/>
      <c r="B18" s="8">
        <v>2</v>
      </c>
      <c r="C18" s="17">
        <v>45108</v>
      </c>
      <c r="D18" s="58">
        <f>379720-821-1071</f>
        <v>377828</v>
      </c>
      <c r="E18" s="59">
        <v>510966.13</v>
      </c>
      <c r="F18" s="18">
        <f t="shared" ref="F18:F25" si="0">D18-E18</f>
        <v>-133138.13</v>
      </c>
      <c r="G18" s="16">
        <f t="shared" ref="G18:G25" si="1">G17+F18</f>
        <v>608631.26999999979</v>
      </c>
      <c r="I18" s="83">
        <v>45108</v>
      </c>
      <c r="J18" s="84">
        <f>52170+72492+1071</f>
        <v>125733</v>
      </c>
      <c r="K18" s="85">
        <v>125733</v>
      </c>
      <c r="L18" s="86">
        <f t="shared" ref="L18:L25" si="2">J18-K18</f>
        <v>0</v>
      </c>
      <c r="M18" s="87">
        <f>L18</f>
        <v>0</v>
      </c>
    </row>
    <row r="19" spans="1:13" x14ac:dyDescent="0.2">
      <c r="A19" s="55"/>
      <c r="B19" s="8">
        <v>3</v>
      </c>
      <c r="C19" s="19">
        <v>45139</v>
      </c>
      <c r="D19" s="60">
        <f>527514-851-1109</f>
        <v>525554</v>
      </c>
      <c r="E19" s="61">
        <v>575983.43999999994</v>
      </c>
      <c r="F19" s="20">
        <f t="shared" si="0"/>
        <v>-50429.439999999944</v>
      </c>
      <c r="G19" s="21">
        <f t="shared" si="1"/>
        <v>558201.82999999984</v>
      </c>
      <c r="I19" s="88">
        <v>45139</v>
      </c>
      <c r="J19" s="84">
        <f>56190+102634+1109</f>
        <v>159933</v>
      </c>
      <c r="K19" s="85">
        <v>159933</v>
      </c>
      <c r="L19" s="87">
        <f t="shared" si="2"/>
        <v>0</v>
      </c>
      <c r="M19" s="87">
        <f t="shared" ref="M19:M25" si="3">M18+L19</f>
        <v>0</v>
      </c>
    </row>
    <row r="20" spans="1:13" x14ac:dyDescent="0.2">
      <c r="A20" s="55"/>
      <c r="B20" s="8">
        <v>4</v>
      </c>
      <c r="C20" s="19">
        <v>45170</v>
      </c>
      <c r="D20" s="60">
        <f>529166-0-1110</f>
        <v>528056</v>
      </c>
      <c r="E20" s="61">
        <v>514955.3</v>
      </c>
      <c r="F20" s="20">
        <f t="shared" si="0"/>
        <v>13100.700000000012</v>
      </c>
      <c r="G20" s="21">
        <f t="shared" si="1"/>
        <v>571302.5299999998</v>
      </c>
      <c r="I20" s="88">
        <v>45170</v>
      </c>
      <c r="J20" s="84">
        <f>55742+136092+1110</f>
        <v>192944</v>
      </c>
      <c r="K20" s="84">
        <v>192944</v>
      </c>
      <c r="L20" s="87">
        <f t="shared" si="2"/>
        <v>0</v>
      </c>
      <c r="M20" s="87">
        <f t="shared" si="3"/>
        <v>0</v>
      </c>
    </row>
    <row r="21" spans="1:13" x14ac:dyDescent="0.2">
      <c r="A21" s="55"/>
      <c r="B21" s="8">
        <v>5</v>
      </c>
      <c r="C21" s="19">
        <v>45200</v>
      </c>
      <c r="D21" s="60">
        <f>346956-0-868</f>
        <v>346088</v>
      </c>
      <c r="E21" s="61">
        <v>282099.09999999998</v>
      </c>
      <c r="F21" s="20">
        <f t="shared" si="0"/>
        <v>63988.900000000023</v>
      </c>
      <c r="G21" s="21">
        <f t="shared" si="1"/>
        <v>635291.42999999982</v>
      </c>
      <c r="I21" s="88">
        <v>45200</v>
      </c>
      <c r="J21" s="84">
        <f>41531+102614+868</f>
        <v>145013</v>
      </c>
      <c r="K21" s="84">
        <v>145013</v>
      </c>
      <c r="L21" s="87">
        <f t="shared" si="2"/>
        <v>0</v>
      </c>
      <c r="M21" s="87">
        <f t="shared" si="3"/>
        <v>0</v>
      </c>
    </row>
    <row r="22" spans="1:13" x14ac:dyDescent="0.2">
      <c r="A22" s="55"/>
      <c r="B22" s="8">
        <v>6</v>
      </c>
      <c r="C22" s="19">
        <v>45231</v>
      </c>
      <c r="D22" s="60">
        <f>308678-653-847</f>
        <v>307178</v>
      </c>
      <c r="E22" s="61">
        <v>334081.84000000003</v>
      </c>
      <c r="F22" s="20">
        <f t="shared" si="0"/>
        <v>-26903.840000000026</v>
      </c>
      <c r="G22" s="21">
        <f t="shared" si="1"/>
        <v>608387.58999999985</v>
      </c>
      <c r="I22" s="88">
        <v>45231</v>
      </c>
      <c r="J22" s="84">
        <f>40258+101735+847</f>
        <v>142840</v>
      </c>
      <c r="K22" s="89">
        <v>142840</v>
      </c>
      <c r="L22" s="87">
        <f t="shared" si="2"/>
        <v>0</v>
      </c>
      <c r="M22" s="87">
        <f t="shared" si="3"/>
        <v>0</v>
      </c>
    </row>
    <row r="23" spans="1:13" x14ac:dyDescent="0.2">
      <c r="A23" s="55"/>
      <c r="B23" s="8">
        <v>7</v>
      </c>
      <c r="C23" s="19">
        <v>45261</v>
      </c>
      <c r="D23" s="60">
        <f>472082-774-1001</f>
        <v>470307</v>
      </c>
      <c r="E23" s="61">
        <f>548654.04</f>
        <v>548654.04</v>
      </c>
      <c r="F23" s="22">
        <f t="shared" si="0"/>
        <v>-78347.040000000037</v>
      </c>
      <c r="G23" s="23">
        <f t="shared" si="1"/>
        <v>530040.54999999981</v>
      </c>
      <c r="I23" s="90">
        <v>45261</v>
      </c>
      <c r="J23" s="89">
        <f>42330+116345+1001</f>
        <v>159676</v>
      </c>
      <c r="K23" s="91">
        <v>159676</v>
      </c>
      <c r="L23" s="92">
        <f t="shared" si="2"/>
        <v>0</v>
      </c>
      <c r="M23" s="92">
        <f t="shared" si="3"/>
        <v>0</v>
      </c>
    </row>
    <row r="24" spans="1:13" x14ac:dyDescent="0.2">
      <c r="A24" s="55"/>
      <c r="B24" s="24" t="s">
        <v>28</v>
      </c>
      <c r="C24" s="17">
        <v>45292</v>
      </c>
      <c r="D24" s="58">
        <f>545199-798-1028</f>
        <v>543373</v>
      </c>
      <c r="E24" s="59">
        <v>654854.05000000005</v>
      </c>
      <c r="F24" s="18">
        <f t="shared" si="0"/>
        <v>-111481.05000000005</v>
      </c>
      <c r="G24" s="16">
        <f t="shared" si="1"/>
        <v>418559.49999999977</v>
      </c>
      <c r="I24" s="88">
        <v>45292</v>
      </c>
      <c r="J24" s="93">
        <f>41066+102989+1028</f>
        <v>145083</v>
      </c>
      <c r="K24" s="93">
        <v>145083</v>
      </c>
      <c r="L24" s="87">
        <f t="shared" si="2"/>
        <v>0</v>
      </c>
      <c r="M24" s="87">
        <f t="shared" si="3"/>
        <v>0</v>
      </c>
    </row>
    <row r="25" spans="1:13" x14ac:dyDescent="0.2">
      <c r="A25" s="55"/>
      <c r="B25" s="25" t="s">
        <v>29</v>
      </c>
      <c r="C25" s="26">
        <v>45323</v>
      </c>
      <c r="D25" s="62">
        <f>733452-740-950</f>
        <v>731762</v>
      </c>
      <c r="E25" s="63">
        <f>594908.41+962</f>
        <v>595870.41</v>
      </c>
      <c r="F25" s="22">
        <f t="shared" si="0"/>
        <v>135891.58999999997</v>
      </c>
      <c r="G25" s="23">
        <f t="shared" si="1"/>
        <v>554451.08999999973</v>
      </c>
      <c r="I25" s="90">
        <v>45323</v>
      </c>
      <c r="J25" s="91">
        <f>44133+117970+950</f>
        <v>163053</v>
      </c>
      <c r="K25" s="91">
        <f>164015-962</f>
        <v>163053</v>
      </c>
      <c r="L25" s="92">
        <f t="shared" si="2"/>
        <v>0</v>
      </c>
      <c r="M25" s="92">
        <f t="shared" si="3"/>
        <v>0</v>
      </c>
    </row>
    <row r="26" spans="1:13" x14ac:dyDescent="0.2">
      <c r="A26" s="55"/>
      <c r="B26" s="9"/>
      <c r="C26" s="27" t="s">
        <v>74</v>
      </c>
      <c r="D26" s="28"/>
      <c r="E26" s="28"/>
      <c r="F26" s="28"/>
      <c r="G26" s="29"/>
      <c r="I26" s="94"/>
      <c r="J26" s="94"/>
      <c r="K26" s="94"/>
      <c r="L26" s="94"/>
      <c r="M26" s="94"/>
    </row>
    <row r="27" spans="1:13" x14ac:dyDescent="0.2">
      <c r="A27" s="55"/>
      <c r="B27" s="6"/>
      <c r="C27" s="5"/>
      <c r="D27" s="5"/>
      <c r="E27" s="5"/>
      <c r="F27" s="5"/>
      <c r="G27" s="16"/>
      <c r="I27" s="95" t="s">
        <v>102</v>
      </c>
      <c r="J27" s="96"/>
      <c r="K27" s="96"/>
      <c r="L27" s="97"/>
      <c r="M27" s="98">
        <f>M23</f>
        <v>0</v>
      </c>
    </row>
    <row r="28" spans="1:13" x14ac:dyDescent="0.2">
      <c r="A28" s="55"/>
      <c r="B28" s="8"/>
      <c r="C28" s="7"/>
      <c r="D28" s="8" t="s">
        <v>30</v>
      </c>
      <c r="E28" s="8" t="s">
        <v>31</v>
      </c>
      <c r="F28" s="7"/>
      <c r="G28" s="21"/>
      <c r="I28" s="94"/>
      <c r="J28" s="94"/>
      <c r="K28" s="94"/>
      <c r="L28" s="94"/>
      <c r="M28" s="99"/>
    </row>
    <row r="29" spans="1:13" x14ac:dyDescent="0.2">
      <c r="A29" s="55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  <c r="I29" s="95" t="s">
        <v>103</v>
      </c>
      <c r="J29" s="96"/>
      <c r="K29" s="96"/>
      <c r="L29" s="97"/>
      <c r="M29" s="98">
        <f>M27/6</f>
        <v>0</v>
      </c>
    </row>
    <row r="30" spans="1:13" x14ac:dyDescent="0.2">
      <c r="A30" s="55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13" x14ac:dyDescent="0.2">
      <c r="A31" s="55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13" x14ac:dyDescent="0.2">
      <c r="A32" s="55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5"/>
      <c r="B33" s="24" t="s">
        <v>43</v>
      </c>
      <c r="C33" s="67" t="s">
        <v>90</v>
      </c>
      <c r="D33" s="68">
        <f>-G13</f>
        <v>-176386</v>
      </c>
      <c r="E33" s="68">
        <f>D66</f>
        <v>0</v>
      </c>
      <c r="F33" s="43"/>
      <c r="G33" s="69">
        <f t="shared" ref="G33:G36" si="4">D33+E33</f>
        <v>-176386</v>
      </c>
    </row>
    <row r="34" spans="1:7" x14ac:dyDescent="0.2">
      <c r="A34" s="55"/>
      <c r="B34" s="31" t="s">
        <v>44</v>
      </c>
      <c r="C34" s="70" t="s">
        <v>84</v>
      </c>
      <c r="D34" s="71">
        <f>-G14</f>
        <v>-459556.97</v>
      </c>
      <c r="E34" s="71">
        <v>0</v>
      </c>
      <c r="F34" s="44"/>
      <c r="G34" s="45">
        <f t="shared" si="4"/>
        <v>-459556.97</v>
      </c>
    </row>
    <row r="35" spans="1:7" x14ac:dyDescent="0.2">
      <c r="A35" s="55"/>
      <c r="B35" s="31" t="s">
        <v>45</v>
      </c>
      <c r="C35" s="70" t="s">
        <v>87</v>
      </c>
      <c r="D35" s="71">
        <f>-G15</f>
        <v>-74984.409999999916</v>
      </c>
      <c r="E35" s="71">
        <v>0</v>
      </c>
      <c r="F35" s="44"/>
      <c r="G35" s="45">
        <f t="shared" si="4"/>
        <v>-74984.409999999916</v>
      </c>
    </row>
    <row r="36" spans="1:7" x14ac:dyDescent="0.2">
      <c r="A36" s="55"/>
      <c r="B36" s="31" t="s">
        <v>46</v>
      </c>
      <c r="C36" s="72" t="s">
        <v>91</v>
      </c>
      <c r="D36" s="73">
        <f>-G16</f>
        <v>-30842.019999999902</v>
      </c>
      <c r="E36" s="73">
        <v>0</v>
      </c>
      <c r="F36" s="48"/>
      <c r="G36" s="46">
        <f t="shared" si="4"/>
        <v>-30842.019999999902</v>
      </c>
    </row>
    <row r="37" spans="1:7" x14ac:dyDescent="0.2">
      <c r="A37" s="55"/>
      <c r="B37" s="9" t="s">
        <v>59</v>
      </c>
      <c r="C37" s="33"/>
      <c r="D37" s="34"/>
      <c r="E37" s="34"/>
      <c r="F37" s="35" t="s">
        <v>47</v>
      </c>
      <c r="G37" s="23">
        <f>G33+G34+G35+G36</f>
        <v>-741769.39999999979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60</v>
      </c>
      <c r="D39" s="12"/>
      <c r="E39" s="12"/>
      <c r="F39" s="13"/>
      <c r="G39" s="39">
        <f>G23+G37</f>
        <v>-211728.84999999998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62</v>
      </c>
      <c r="D41" s="12"/>
      <c r="E41" s="12"/>
      <c r="F41" s="13"/>
      <c r="G41" s="39">
        <f>G39/6</f>
        <v>-35288.141666666663</v>
      </c>
    </row>
    <row r="42" spans="1:7" x14ac:dyDescent="0.2">
      <c r="A42" s="55"/>
    </row>
    <row r="43" spans="1:7" x14ac:dyDescent="0.2">
      <c r="A43" s="55"/>
      <c r="B43" s="5"/>
      <c r="C43" s="40" t="s">
        <v>48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49</v>
      </c>
      <c r="D45" s="44"/>
      <c r="E45" s="44"/>
      <c r="F45" s="44"/>
      <c r="G45" s="45">
        <f>G17</f>
        <v>741769.39999999979</v>
      </c>
    </row>
    <row r="46" spans="1:7" x14ac:dyDescent="0.2">
      <c r="A46" s="55"/>
      <c r="B46" s="8">
        <v>12</v>
      </c>
      <c r="C46" s="44" t="s">
        <v>50</v>
      </c>
      <c r="D46" s="44"/>
      <c r="E46" s="44"/>
      <c r="F46" s="44"/>
      <c r="G46" s="46">
        <f>G37</f>
        <v>-741769.39999999979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52</v>
      </c>
      <c r="D50" s="44"/>
      <c r="E50" s="44"/>
      <c r="F50" s="44"/>
      <c r="G50" s="45">
        <f>G39</f>
        <v>-211728.84999999998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53</v>
      </c>
      <c r="D52" s="44"/>
      <c r="E52" s="44"/>
      <c r="F52" s="44"/>
      <c r="G52" s="46">
        <f>SUM(F18:F23)</f>
        <v>-211728.84999999998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55</v>
      </c>
    </row>
    <row r="58" spans="1:7" x14ac:dyDescent="0.2">
      <c r="A58" s="55"/>
      <c r="B58" s="36"/>
      <c r="C58" s="5"/>
      <c r="D58" s="6" t="s">
        <v>56</v>
      </c>
      <c r="E58" s="31"/>
      <c r="F58" s="102"/>
      <c r="G58" s="102"/>
    </row>
    <row r="59" spans="1:7" x14ac:dyDescent="0.2">
      <c r="B59" s="36"/>
      <c r="C59" s="9" t="s">
        <v>17</v>
      </c>
      <c r="D59" s="9" t="s">
        <v>104</v>
      </c>
      <c r="E59" s="31"/>
      <c r="F59" s="102"/>
      <c r="G59" s="102"/>
    </row>
    <row r="60" spans="1:7" x14ac:dyDescent="0.2">
      <c r="C60" s="17">
        <v>45108</v>
      </c>
      <c r="D60" s="50">
        <v>0</v>
      </c>
      <c r="E60" s="103"/>
      <c r="F60" s="71"/>
      <c r="G60" s="71"/>
    </row>
    <row r="61" spans="1:7" x14ac:dyDescent="0.2">
      <c r="C61" s="19">
        <v>45139</v>
      </c>
      <c r="D61" s="51">
        <v>0</v>
      </c>
      <c r="E61" s="103"/>
      <c r="F61" s="71"/>
      <c r="G61" s="71"/>
    </row>
    <row r="62" spans="1:7" x14ac:dyDescent="0.2">
      <c r="C62" s="19">
        <v>45170</v>
      </c>
      <c r="D62" s="51">
        <v>0</v>
      </c>
      <c r="E62" s="103"/>
      <c r="F62" s="71"/>
      <c r="G62" s="71"/>
    </row>
    <row r="63" spans="1:7" x14ac:dyDescent="0.2">
      <c r="C63" s="19">
        <v>45200</v>
      </c>
      <c r="D63" s="51">
        <v>0</v>
      </c>
      <c r="E63" s="103"/>
      <c r="F63" s="71"/>
      <c r="G63" s="71"/>
    </row>
    <row r="64" spans="1:7" x14ac:dyDescent="0.2">
      <c r="C64" s="19">
        <v>45231</v>
      </c>
      <c r="D64" s="51">
        <v>0</v>
      </c>
      <c r="E64" s="103"/>
      <c r="F64" s="71"/>
      <c r="G64" s="71"/>
    </row>
    <row r="65" spans="3:7" x14ac:dyDescent="0.2">
      <c r="C65" s="19">
        <v>45261</v>
      </c>
      <c r="D65" s="52">
        <v>0</v>
      </c>
      <c r="E65" s="103"/>
      <c r="F65" s="71"/>
      <c r="G65" s="71"/>
    </row>
    <row r="66" spans="3:7" x14ac:dyDescent="0.2">
      <c r="C66" s="53" t="s">
        <v>57</v>
      </c>
      <c r="D66" s="39">
        <f>SUM(D60:D65)</f>
        <v>0</v>
      </c>
      <c r="E66" s="20"/>
      <c r="F66" s="71"/>
      <c r="G66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"/>
  <sheetViews>
    <sheetView workbookViewId="0">
      <selection activeCell="E34" sqref="E3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5" t="s">
        <v>98</v>
      </c>
      <c r="C4" s="106"/>
      <c r="D4" s="106"/>
      <c r="E4" s="106"/>
      <c r="F4" s="106"/>
      <c r="G4" s="107"/>
      <c r="I4" s="114" t="s">
        <v>99</v>
      </c>
      <c r="J4" s="115"/>
      <c r="K4" s="115"/>
      <c r="L4" s="115"/>
      <c r="M4" s="116"/>
    </row>
    <row r="5" spans="1:13" x14ac:dyDescent="0.2">
      <c r="B5" s="108"/>
      <c r="C5" s="109"/>
      <c r="D5" s="109"/>
      <c r="E5" s="109"/>
      <c r="F5" s="109"/>
      <c r="G5" s="110"/>
      <c r="I5" s="117"/>
      <c r="J5" s="118"/>
      <c r="K5" s="118"/>
      <c r="L5" s="118"/>
      <c r="M5" s="11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11" t="s">
        <v>22</v>
      </c>
      <c r="D12" s="112"/>
      <c r="E12" s="112"/>
      <c r="F12" s="112"/>
      <c r="G12" s="113"/>
      <c r="I12" s="75" t="s">
        <v>100</v>
      </c>
      <c r="J12" s="74"/>
      <c r="K12" s="74"/>
      <c r="L12" s="74"/>
      <c r="M12" s="74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176386</v>
      </c>
      <c r="I13" s="74"/>
      <c r="J13" s="74"/>
      <c r="K13" s="74"/>
      <c r="L13" s="74"/>
      <c r="M13" s="74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459556.97</v>
      </c>
      <c r="I14" s="76"/>
      <c r="J14" s="76"/>
      <c r="K14" s="77" t="s">
        <v>7</v>
      </c>
      <c r="L14" s="76"/>
      <c r="M14" s="76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74984.409999999916</v>
      </c>
      <c r="I15" s="78"/>
      <c r="J15" s="79" t="s">
        <v>8</v>
      </c>
      <c r="K15" s="79" t="s">
        <v>9</v>
      </c>
      <c r="L15" s="78"/>
      <c r="M15" s="78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30842.019999999902</v>
      </c>
      <c r="I16" s="78"/>
      <c r="J16" s="79" t="s">
        <v>10</v>
      </c>
      <c r="K16" s="79" t="s">
        <v>11</v>
      </c>
      <c r="L16" s="79" t="s">
        <v>12</v>
      </c>
      <c r="M16" s="79" t="s">
        <v>13</v>
      </c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-211728.84999999998</v>
      </c>
      <c r="I17" s="80"/>
      <c r="J17" s="80" t="s">
        <v>14</v>
      </c>
      <c r="K17" s="80" t="s">
        <v>14</v>
      </c>
      <c r="L17" s="80" t="s">
        <v>15</v>
      </c>
      <c r="M17" s="80" t="s">
        <v>15</v>
      </c>
    </row>
    <row r="18" spans="2:13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530040.54999999981</v>
      </c>
      <c r="I18" s="81" t="s">
        <v>17</v>
      </c>
      <c r="J18" s="82" t="s">
        <v>101</v>
      </c>
      <c r="K18" s="82" t="s">
        <v>18</v>
      </c>
      <c r="L18" s="82" t="s">
        <v>19</v>
      </c>
      <c r="M18" s="82" t="s">
        <v>20</v>
      </c>
    </row>
    <row r="19" spans="2:13" x14ac:dyDescent="0.2">
      <c r="B19" s="8">
        <v>2</v>
      </c>
      <c r="C19" s="17">
        <v>45292</v>
      </c>
      <c r="D19" s="58">
        <f>545199-798-1028</f>
        <v>543373</v>
      </c>
      <c r="E19" s="59">
        <v>654854.05000000005</v>
      </c>
      <c r="F19" s="18">
        <f t="shared" ref="F19:F26" si="0">D19-E19</f>
        <v>-111481.05000000005</v>
      </c>
      <c r="G19" s="16">
        <f t="shared" ref="G19:G26" si="1">G18+F19</f>
        <v>418559.49999999977</v>
      </c>
      <c r="I19" s="83">
        <v>45292</v>
      </c>
      <c r="J19" s="84">
        <f>41066+102989+1028</f>
        <v>145083</v>
      </c>
      <c r="K19" s="85">
        <v>145083</v>
      </c>
      <c r="L19" s="86">
        <f t="shared" ref="L19:L26" si="2">J19-K19</f>
        <v>0</v>
      </c>
      <c r="M19" s="87">
        <f>L19</f>
        <v>0</v>
      </c>
    </row>
    <row r="20" spans="2:13" x14ac:dyDescent="0.2">
      <c r="B20" s="8">
        <v>3</v>
      </c>
      <c r="C20" s="19">
        <v>45323</v>
      </c>
      <c r="D20" s="60">
        <f>733452-740-950</f>
        <v>731762</v>
      </c>
      <c r="E20" s="100">
        <f>594908.41+962</f>
        <v>595870.41</v>
      </c>
      <c r="F20" s="20">
        <f t="shared" si="0"/>
        <v>135891.58999999997</v>
      </c>
      <c r="G20" s="21">
        <f t="shared" si="1"/>
        <v>554451.08999999973</v>
      </c>
      <c r="I20" s="88">
        <v>45323</v>
      </c>
      <c r="J20" s="84">
        <f>44133+117970+950</f>
        <v>163053</v>
      </c>
      <c r="K20" s="101">
        <f>164015-962</f>
        <v>163053</v>
      </c>
      <c r="L20" s="87">
        <f t="shared" si="2"/>
        <v>0</v>
      </c>
      <c r="M20" s="87">
        <f t="shared" ref="M20:M26" si="3">M19+L20</f>
        <v>0</v>
      </c>
    </row>
    <row r="21" spans="2:13" x14ac:dyDescent="0.2">
      <c r="B21" s="8">
        <v>4</v>
      </c>
      <c r="C21" s="19">
        <v>45352</v>
      </c>
      <c r="D21" s="60">
        <f>484423-688-877</f>
        <v>482858</v>
      </c>
      <c r="E21" s="61">
        <v>406909.3</v>
      </c>
      <c r="F21" s="20">
        <f t="shared" si="0"/>
        <v>75948.700000000012</v>
      </c>
      <c r="G21" s="21">
        <f t="shared" si="1"/>
        <v>630399.7899999998</v>
      </c>
      <c r="I21" s="88">
        <v>45352</v>
      </c>
      <c r="J21" s="84">
        <f>40762+114067+877</f>
        <v>155706</v>
      </c>
      <c r="K21" s="84">
        <v>155706</v>
      </c>
      <c r="L21" s="87">
        <f t="shared" si="2"/>
        <v>0</v>
      </c>
      <c r="M21" s="87">
        <f t="shared" si="3"/>
        <v>0</v>
      </c>
    </row>
    <row r="22" spans="2:13" x14ac:dyDescent="0.2">
      <c r="B22" s="8">
        <v>5</v>
      </c>
      <c r="C22" s="19">
        <v>45383</v>
      </c>
      <c r="D22" s="60">
        <f>274724-489-620</f>
        <v>273615</v>
      </c>
      <c r="E22" s="61">
        <v>233511.1</v>
      </c>
      <c r="F22" s="20">
        <f t="shared" si="0"/>
        <v>40103.899999999994</v>
      </c>
      <c r="G22" s="21">
        <f t="shared" si="1"/>
        <v>670503.68999999983</v>
      </c>
      <c r="I22" s="88">
        <v>45383</v>
      </c>
      <c r="J22" s="84">
        <f>27966+55544+620</f>
        <v>84130</v>
      </c>
      <c r="K22" s="84">
        <v>84130</v>
      </c>
      <c r="L22" s="87">
        <f t="shared" si="2"/>
        <v>0</v>
      </c>
      <c r="M22" s="87">
        <f t="shared" si="3"/>
        <v>0</v>
      </c>
    </row>
    <row r="23" spans="2:13" x14ac:dyDescent="0.2">
      <c r="B23" s="8">
        <v>6</v>
      </c>
      <c r="C23" s="19">
        <v>45413</v>
      </c>
      <c r="D23" s="60">
        <f>276616-668-845</f>
        <v>275103</v>
      </c>
      <c r="E23" s="61">
        <v>390965.14</v>
      </c>
      <c r="F23" s="20">
        <f t="shared" si="0"/>
        <v>-115862.14000000001</v>
      </c>
      <c r="G23" s="21">
        <f t="shared" si="1"/>
        <v>554641.54999999981</v>
      </c>
      <c r="I23" s="88">
        <v>45413</v>
      </c>
      <c r="J23" s="84">
        <f>32918+47433+845</f>
        <v>81196</v>
      </c>
      <c r="K23" s="89">
        <v>81196</v>
      </c>
      <c r="L23" s="87">
        <f t="shared" si="2"/>
        <v>0</v>
      </c>
      <c r="M23" s="87">
        <f t="shared" si="3"/>
        <v>0</v>
      </c>
    </row>
    <row r="24" spans="2:13" x14ac:dyDescent="0.2">
      <c r="B24" s="8">
        <v>7</v>
      </c>
      <c r="C24" s="19">
        <v>45444</v>
      </c>
      <c r="D24" s="60">
        <f>376324-809-1019</f>
        <v>374496</v>
      </c>
      <c r="E24" s="61">
        <v>495971.77</v>
      </c>
      <c r="F24" s="22">
        <f t="shared" si="0"/>
        <v>-121475.77000000002</v>
      </c>
      <c r="G24" s="23">
        <f t="shared" si="1"/>
        <v>433165.7799999998</v>
      </c>
      <c r="I24" s="90">
        <v>45444</v>
      </c>
      <c r="J24" s="89">
        <f>49650+67320+1019</f>
        <v>117989</v>
      </c>
      <c r="K24" s="91">
        <v>117989</v>
      </c>
      <c r="L24" s="92">
        <f t="shared" si="2"/>
        <v>0</v>
      </c>
      <c r="M24" s="92">
        <f t="shared" si="3"/>
        <v>0</v>
      </c>
    </row>
    <row r="25" spans="2:13" x14ac:dyDescent="0.2">
      <c r="B25" s="24" t="s">
        <v>28</v>
      </c>
      <c r="C25" s="17">
        <v>45474</v>
      </c>
      <c r="D25" s="58">
        <f>564685-982-1235</f>
        <v>562468</v>
      </c>
      <c r="E25" s="59">
        <v>741876.87</v>
      </c>
      <c r="F25" s="18">
        <f t="shared" si="0"/>
        <v>-179408.87</v>
      </c>
      <c r="G25" s="16">
        <f t="shared" si="1"/>
        <v>253756.9099999998</v>
      </c>
      <c r="I25" s="88">
        <v>45474</v>
      </c>
      <c r="J25" s="93">
        <f>59387+79716+1235</f>
        <v>140338</v>
      </c>
      <c r="K25" s="93">
        <v>140338</v>
      </c>
      <c r="L25" s="87">
        <f t="shared" si="2"/>
        <v>0</v>
      </c>
      <c r="M25" s="87">
        <f t="shared" si="3"/>
        <v>0</v>
      </c>
    </row>
    <row r="26" spans="2:13" x14ac:dyDescent="0.2">
      <c r="B26" s="25" t="s">
        <v>29</v>
      </c>
      <c r="C26" s="26">
        <v>45505</v>
      </c>
      <c r="D26" s="62">
        <f>549805-0-1129</f>
        <v>548676</v>
      </c>
      <c r="E26" s="63">
        <v>622925.47</v>
      </c>
      <c r="F26" s="22">
        <f t="shared" si="0"/>
        <v>-74249.469999999972</v>
      </c>
      <c r="G26" s="23">
        <f t="shared" si="1"/>
        <v>179507.43999999983</v>
      </c>
      <c r="I26" s="90">
        <v>45505</v>
      </c>
      <c r="J26" s="91">
        <f>51539+53857+1129</f>
        <v>106525</v>
      </c>
      <c r="K26" s="91">
        <v>106525</v>
      </c>
      <c r="L26" s="92">
        <f t="shared" si="2"/>
        <v>0</v>
      </c>
      <c r="M26" s="92">
        <f t="shared" si="3"/>
        <v>0</v>
      </c>
    </row>
    <row r="27" spans="2:13" x14ac:dyDescent="0.2">
      <c r="B27" s="9"/>
      <c r="C27" s="27" t="s">
        <v>76</v>
      </c>
      <c r="D27" s="28"/>
      <c r="E27" s="28"/>
      <c r="F27" s="28"/>
      <c r="G27" s="29"/>
      <c r="I27" s="94"/>
      <c r="J27" s="94"/>
      <c r="K27" s="94"/>
      <c r="L27" s="94"/>
      <c r="M27" s="94"/>
    </row>
    <row r="28" spans="2:13" x14ac:dyDescent="0.2">
      <c r="B28" s="6"/>
      <c r="C28" s="5"/>
      <c r="D28" s="5"/>
      <c r="E28" s="5"/>
      <c r="F28" s="5"/>
      <c r="G28" s="16"/>
      <c r="I28" s="95" t="s">
        <v>102</v>
      </c>
      <c r="J28" s="96"/>
      <c r="K28" s="96"/>
      <c r="L28" s="97"/>
      <c r="M28" s="98">
        <f>M24</f>
        <v>0</v>
      </c>
    </row>
    <row r="29" spans="2:13" x14ac:dyDescent="0.2">
      <c r="B29" s="8"/>
      <c r="C29" s="7"/>
      <c r="D29" s="8" t="s">
        <v>30</v>
      </c>
      <c r="E29" s="8" t="s">
        <v>31</v>
      </c>
      <c r="F29" s="7"/>
      <c r="G29" s="21"/>
      <c r="I29" s="94"/>
      <c r="J29" s="94"/>
      <c r="K29" s="94"/>
      <c r="L29" s="94"/>
      <c r="M29" s="99"/>
    </row>
    <row r="30" spans="2:13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  <c r="I30" s="95" t="s">
        <v>103</v>
      </c>
      <c r="J30" s="96"/>
      <c r="K30" s="96"/>
      <c r="L30" s="97"/>
      <c r="M30" s="98">
        <f>M28/6</f>
        <v>0</v>
      </c>
    </row>
    <row r="31" spans="2:13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13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-176386</v>
      </c>
      <c r="E34" s="16">
        <f>D68</f>
        <v>117592</v>
      </c>
      <c r="F34" s="5"/>
      <c r="G34" s="16">
        <f t="shared" ref="G34:G38" si="4">D34+E34</f>
        <v>-58794</v>
      </c>
    </row>
    <row r="35" spans="2:7" x14ac:dyDescent="0.2">
      <c r="B35" s="31" t="s">
        <v>44</v>
      </c>
      <c r="C35" s="7" t="s">
        <v>84</v>
      </c>
      <c r="D35" s="21">
        <f>-G14</f>
        <v>-459556.97</v>
      </c>
      <c r="E35" s="21">
        <v>0</v>
      </c>
      <c r="F35" s="7"/>
      <c r="G35" s="21">
        <f t="shared" si="4"/>
        <v>-459556.97</v>
      </c>
    </row>
    <row r="36" spans="2:7" x14ac:dyDescent="0.2">
      <c r="B36" s="31" t="s">
        <v>45</v>
      </c>
      <c r="C36" s="7" t="s">
        <v>87</v>
      </c>
      <c r="D36" s="21">
        <f>-G15</f>
        <v>-74984.409999999916</v>
      </c>
      <c r="E36" s="21">
        <v>0</v>
      </c>
      <c r="F36" s="7"/>
      <c r="G36" s="21">
        <f t="shared" si="4"/>
        <v>-74984.409999999916</v>
      </c>
    </row>
    <row r="37" spans="2:7" x14ac:dyDescent="0.2">
      <c r="B37" s="31" t="s">
        <v>46</v>
      </c>
      <c r="C37" s="7" t="s">
        <v>91</v>
      </c>
      <c r="D37" s="21">
        <f>-G16</f>
        <v>-30842.019999999902</v>
      </c>
      <c r="E37" s="21">
        <v>0</v>
      </c>
      <c r="F37" s="7"/>
      <c r="G37" s="21">
        <f t="shared" si="4"/>
        <v>-30842.019999999902</v>
      </c>
    </row>
    <row r="38" spans="2:7" x14ac:dyDescent="0.2">
      <c r="B38" s="31" t="s">
        <v>59</v>
      </c>
      <c r="C38" s="32" t="s">
        <v>93</v>
      </c>
      <c r="D38" s="23">
        <f>-G17</f>
        <v>211728.84999999998</v>
      </c>
      <c r="E38" s="23">
        <v>0</v>
      </c>
      <c r="F38" s="32"/>
      <c r="G38" s="23">
        <f t="shared" si="4"/>
        <v>211728.84999999998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-412448.54999999981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20717.229999999981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3452.8716666666637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530040.54999999981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-412448.54999999981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117592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20717.229999999981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-96874.770000000106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117592.00000000009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102"/>
      <c r="G60" s="102"/>
    </row>
    <row r="61" spans="2:7" x14ac:dyDescent="0.2">
      <c r="B61" s="36"/>
      <c r="C61" s="9" t="s">
        <v>17</v>
      </c>
      <c r="D61" s="9" t="s">
        <v>104</v>
      </c>
      <c r="E61" s="31"/>
      <c r="F61" s="102"/>
      <c r="G61" s="102"/>
    </row>
    <row r="62" spans="2:7" x14ac:dyDescent="0.2">
      <c r="C62" s="17">
        <v>45292</v>
      </c>
      <c r="D62" s="50">
        <v>0</v>
      </c>
      <c r="E62" s="103"/>
      <c r="F62" s="71"/>
      <c r="G62" s="71"/>
    </row>
    <row r="63" spans="2:7" x14ac:dyDescent="0.2">
      <c r="C63" s="19">
        <v>45323</v>
      </c>
      <c r="D63" s="51">
        <v>0</v>
      </c>
      <c r="E63" s="103"/>
      <c r="F63" s="71"/>
      <c r="G63" s="71"/>
    </row>
    <row r="64" spans="2:7" x14ac:dyDescent="0.2">
      <c r="C64" s="19">
        <v>45352</v>
      </c>
      <c r="D64" s="51">
        <v>29398</v>
      </c>
      <c r="E64" s="103"/>
      <c r="F64" s="71"/>
      <c r="G64" s="71"/>
    </row>
    <row r="65" spans="2:7" x14ac:dyDescent="0.2">
      <c r="C65" s="19">
        <v>45383</v>
      </c>
      <c r="D65" s="51">
        <v>29398</v>
      </c>
      <c r="E65" s="103"/>
      <c r="F65" s="71"/>
      <c r="G65" s="71"/>
    </row>
    <row r="66" spans="2:7" x14ac:dyDescent="0.2">
      <c r="C66" s="19">
        <v>45413</v>
      </c>
      <c r="D66" s="51">
        <v>29398</v>
      </c>
      <c r="E66" s="103"/>
      <c r="F66" s="71"/>
      <c r="G66" s="71"/>
    </row>
    <row r="67" spans="2:7" x14ac:dyDescent="0.2">
      <c r="C67" s="19">
        <v>45444</v>
      </c>
      <c r="D67" s="52">
        <v>29398</v>
      </c>
      <c r="E67" s="103"/>
      <c r="F67" s="71"/>
      <c r="G67" s="71"/>
    </row>
    <row r="68" spans="2:7" x14ac:dyDescent="0.2">
      <c r="C68" s="53" t="s">
        <v>57</v>
      </c>
      <c r="D68" s="39">
        <f>SUM(D62:D67)</f>
        <v>117592</v>
      </c>
      <c r="E68" s="20"/>
      <c r="F68" s="71"/>
      <c r="G68" s="71"/>
    </row>
    <row r="79" spans="2:7" x14ac:dyDescent="0.2">
      <c r="B79" s="55"/>
    </row>
    <row r="80" spans="2:7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5" t="s">
        <v>98</v>
      </c>
      <c r="C4" s="106"/>
      <c r="D4" s="106"/>
      <c r="E4" s="106"/>
      <c r="F4" s="106"/>
      <c r="G4" s="107"/>
      <c r="I4" s="114" t="s">
        <v>99</v>
      </c>
      <c r="J4" s="115"/>
      <c r="K4" s="115"/>
      <c r="L4" s="115"/>
      <c r="M4" s="116"/>
    </row>
    <row r="5" spans="1:13" ht="14.25" customHeight="1" x14ac:dyDescent="0.2">
      <c r="B5" s="108"/>
      <c r="C5" s="109"/>
      <c r="D5" s="109"/>
      <c r="E5" s="109"/>
      <c r="F5" s="109"/>
      <c r="G5" s="110"/>
      <c r="I5" s="117"/>
      <c r="J5" s="118"/>
      <c r="K5" s="118"/>
      <c r="L5" s="118"/>
      <c r="M5" s="11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x14ac:dyDescent="0.2">
      <c r="B12" s="6">
        <v>1</v>
      </c>
      <c r="C12" s="111" t="s">
        <v>22</v>
      </c>
      <c r="D12" s="112"/>
      <c r="E12" s="112"/>
      <c r="F12" s="112"/>
      <c r="G12" s="113"/>
    </row>
    <row r="13" spans="1:13" ht="15.75" x14ac:dyDescent="0.25">
      <c r="B13" s="6" t="s">
        <v>23</v>
      </c>
      <c r="C13" s="12" t="s">
        <v>80</v>
      </c>
      <c r="D13" s="12"/>
      <c r="E13" s="12"/>
      <c r="F13" s="13"/>
      <c r="G13" s="14">
        <v>58794</v>
      </c>
      <c r="I13" s="75" t="s">
        <v>100</v>
      </c>
      <c r="J13" s="74"/>
      <c r="K13" s="74"/>
      <c r="L13" s="74"/>
      <c r="M13" s="74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459556.97</v>
      </c>
      <c r="I14" s="74"/>
      <c r="J14" s="74"/>
      <c r="K14" s="74"/>
      <c r="L14" s="74"/>
      <c r="M14" s="74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74984.409999999916</v>
      </c>
      <c r="I15" s="76"/>
      <c r="J15" s="76"/>
      <c r="K15" s="77" t="s">
        <v>7</v>
      </c>
      <c r="L15" s="76"/>
      <c r="M15" s="76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30842.019999999902</v>
      </c>
      <c r="I16" s="78"/>
      <c r="J16" s="79" t="s">
        <v>8</v>
      </c>
      <c r="K16" s="79" t="s">
        <v>9</v>
      </c>
      <c r="L16" s="78"/>
      <c r="M16" s="78"/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-211728.84999999998</v>
      </c>
      <c r="I17" s="78"/>
      <c r="J17" s="79" t="s">
        <v>10</v>
      </c>
      <c r="K17" s="79" t="s">
        <v>11</v>
      </c>
      <c r="L17" s="79" t="s">
        <v>12</v>
      </c>
      <c r="M17" s="79" t="s">
        <v>13</v>
      </c>
    </row>
    <row r="18" spans="2:13" x14ac:dyDescent="0.2">
      <c r="B18" s="8" t="s">
        <v>64</v>
      </c>
      <c r="C18" s="12" t="s">
        <v>94</v>
      </c>
      <c r="D18" s="12"/>
      <c r="E18" s="12"/>
      <c r="F18" s="15"/>
      <c r="G18" s="58">
        <f>'E - 05-31-24'!G41</f>
        <v>20717.229999999981</v>
      </c>
      <c r="I18" s="80"/>
      <c r="J18" s="80" t="s">
        <v>14</v>
      </c>
      <c r="K18" s="80" t="s">
        <v>14</v>
      </c>
      <c r="L18" s="80" t="s">
        <v>15</v>
      </c>
      <c r="M18" s="80" t="s">
        <v>15</v>
      </c>
    </row>
    <row r="19" spans="2:13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433165.7799999998</v>
      </c>
      <c r="I19" s="81" t="s">
        <v>17</v>
      </c>
      <c r="J19" s="82" t="s">
        <v>101</v>
      </c>
      <c r="K19" s="82" t="s">
        <v>18</v>
      </c>
      <c r="L19" s="82" t="s">
        <v>19</v>
      </c>
      <c r="M19" s="82" t="s">
        <v>20</v>
      </c>
    </row>
    <row r="20" spans="2:13" x14ac:dyDescent="0.2">
      <c r="B20" s="8">
        <v>2</v>
      </c>
      <c r="C20" s="17">
        <v>45474</v>
      </c>
      <c r="D20" s="58">
        <f>564685-982-1235</f>
        <v>562468</v>
      </c>
      <c r="E20" s="59">
        <v>741876.87</v>
      </c>
      <c r="F20" s="18">
        <f t="shared" ref="F20:F27" si="0">D20-E20</f>
        <v>-179408.87</v>
      </c>
      <c r="G20" s="16">
        <f t="shared" ref="G20:G27" si="1">G19+F20</f>
        <v>253756.9099999998</v>
      </c>
      <c r="I20" s="83">
        <v>45474</v>
      </c>
      <c r="J20" s="84">
        <f>59387+79716+1235</f>
        <v>140338</v>
      </c>
      <c r="K20" s="85">
        <v>140338</v>
      </c>
      <c r="L20" s="86">
        <f t="shared" ref="L20:L27" si="2">J20-K20</f>
        <v>0</v>
      </c>
      <c r="M20" s="87">
        <f>L20</f>
        <v>0</v>
      </c>
    </row>
    <row r="21" spans="2:13" x14ac:dyDescent="0.2">
      <c r="B21" s="8">
        <v>3</v>
      </c>
      <c r="C21" s="19">
        <v>45505</v>
      </c>
      <c r="D21" s="60">
        <f>549805-0-1129</f>
        <v>548676</v>
      </c>
      <c r="E21" s="61">
        <v>622925.47</v>
      </c>
      <c r="F21" s="20">
        <f t="shared" si="0"/>
        <v>-74249.469999999972</v>
      </c>
      <c r="G21" s="21">
        <f t="shared" si="1"/>
        <v>179507.43999999983</v>
      </c>
      <c r="I21" s="88">
        <v>45505</v>
      </c>
      <c r="J21" s="84">
        <f>51539+53857+1129</f>
        <v>106525</v>
      </c>
      <c r="K21" s="85">
        <v>106525</v>
      </c>
      <c r="L21" s="87">
        <f t="shared" si="2"/>
        <v>0</v>
      </c>
      <c r="M21" s="87">
        <f t="shared" ref="M21:M27" si="3">M20+L21</f>
        <v>0</v>
      </c>
    </row>
    <row r="22" spans="2:13" x14ac:dyDescent="0.2">
      <c r="B22" s="8">
        <v>4</v>
      </c>
      <c r="C22" s="19">
        <v>45536</v>
      </c>
      <c r="D22" s="60">
        <f>471858-0-1002</f>
        <v>470856</v>
      </c>
      <c r="E22" s="61">
        <v>521041.68</v>
      </c>
      <c r="F22" s="20">
        <f t="shared" si="0"/>
        <v>-50185.679999999993</v>
      </c>
      <c r="G22" s="21">
        <f t="shared" si="1"/>
        <v>129321.75999999983</v>
      </c>
      <c r="I22" s="88">
        <v>45536</v>
      </c>
      <c r="J22" s="84">
        <f>44416+97326+1002</f>
        <v>142744</v>
      </c>
      <c r="K22" s="84">
        <v>142744</v>
      </c>
      <c r="L22" s="87">
        <f t="shared" si="2"/>
        <v>0</v>
      </c>
      <c r="M22" s="87">
        <f t="shared" si="3"/>
        <v>0</v>
      </c>
    </row>
    <row r="23" spans="2:13" x14ac:dyDescent="0.2">
      <c r="B23" s="8">
        <v>5</v>
      </c>
      <c r="C23" s="19">
        <v>45566</v>
      </c>
      <c r="D23" s="60">
        <f>442929-0-1029</f>
        <v>441900</v>
      </c>
      <c r="E23" s="61">
        <f>444124+229</f>
        <v>444353</v>
      </c>
      <c r="F23" s="20">
        <f t="shared" si="0"/>
        <v>-2453</v>
      </c>
      <c r="G23" s="21">
        <f t="shared" si="1"/>
        <v>126868.75999999983</v>
      </c>
      <c r="I23" s="88">
        <v>45566</v>
      </c>
      <c r="J23" s="84">
        <f>1029+51750+104538</f>
        <v>157317</v>
      </c>
      <c r="K23" s="84">
        <f>157546-229</f>
        <v>157317</v>
      </c>
      <c r="L23" s="87">
        <f t="shared" si="2"/>
        <v>0</v>
      </c>
      <c r="M23" s="87">
        <f t="shared" si="3"/>
        <v>0</v>
      </c>
    </row>
    <row r="24" spans="2:13" x14ac:dyDescent="0.2">
      <c r="B24" s="8">
        <v>6</v>
      </c>
      <c r="C24" s="19">
        <v>45597</v>
      </c>
      <c r="D24" s="60">
        <f>345102-823-1030</f>
        <v>343249</v>
      </c>
      <c r="E24" s="61">
        <v>403522</v>
      </c>
      <c r="F24" s="20">
        <f t="shared" si="0"/>
        <v>-60273</v>
      </c>
      <c r="G24" s="21">
        <f t="shared" si="1"/>
        <v>66595.759999999835</v>
      </c>
      <c r="I24" s="88">
        <v>45597</v>
      </c>
      <c r="J24" s="84">
        <f>1030+42997+89364</f>
        <v>133391</v>
      </c>
      <c r="K24" s="89">
        <v>133391</v>
      </c>
      <c r="L24" s="87">
        <f t="shared" si="2"/>
        <v>0</v>
      </c>
      <c r="M24" s="87">
        <f t="shared" si="3"/>
        <v>0</v>
      </c>
    </row>
    <row r="25" spans="2:13" x14ac:dyDescent="0.2">
      <c r="B25" s="8">
        <v>7</v>
      </c>
      <c r="C25" s="19">
        <v>45627</v>
      </c>
      <c r="D25" s="60">
        <f>451854-878-1094</f>
        <v>449882</v>
      </c>
      <c r="E25" s="61">
        <v>593578</v>
      </c>
      <c r="F25" s="22">
        <f t="shared" si="0"/>
        <v>-143696</v>
      </c>
      <c r="G25" s="23">
        <f t="shared" si="1"/>
        <v>-77100.240000000165</v>
      </c>
      <c r="I25" s="90">
        <v>45627</v>
      </c>
      <c r="J25" s="89">
        <f>1094+45130+108102</f>
        <v>154326</v>
      </c>
      <c r="K25" s="91">
        <v>154326</v>
      </c>
      <c r="L25" s="92">
        <f t="shared" si="2"/>
        <v>0</v>
      </c>
      <c r="M25" s="92">
        <f t="shared" si="3"/>
        <v>0</v>
      </c>
    </row>
    <row r="26" spans="2:13" x14ac:dyDescent="0.2">
      <c r="B26" s="24" t="s">
        <v>28</v>
      </c>
      <c r="C26" s="17">
        <v>45658</v>
      </c>
      <c r="D26" s="58">
        <f>750542-1040</f>
        <v>749502</v>
      </c>
      <c r="E26" s="59">
        <f>847581+1297</f>
        <v>848878</v>
      </c>
      <c r="F26" s="18">
        <f t="shared" si="0"/>
        <v>-99376</v>
      </c>
      <c r="G26" s="16">
        <f t="shared" si="1"/>
        <v>-176476.24000000017</v>
      </c>
      <c r="I26" s="88">
        <v>45658</v>
      </c>
      <c r="J26" s="93">
        <f>53029+85187</f>
        <v>138216</v>
      </c>
      <c r="K26" s="93">
        <f>139513-1297</f>
        <v>138216</v>
      </c>
      <c r="L26" s="87">
        <f t="shared" si="2"/>
        <v>0</v>
      </c>
      <c r="M26" s="87">
        <f t="shared" si="3"/>
        <v>0</v>
      </c>
    </row>
    <row r="27" spans="2:13" x14ac:dyDescent="0.2">
      <c r="B27" s="25" t="s">
        <v>29</v>
      </c>
      <c r="C27" s="26">
        <v>45689</v>
      </c>
      <c r="D27" s="62">
        <f>1003461-950</f>
        <v>1002511</v>
      </c>
      <c r="E27" s="54">
        <v>0</v>
      </c>
      <c r="F27" s="22">
        <f t="shared" si="0"/>
        <v>1002511</v>
      </c>
      <c r="G27" s="23">
        <f t="shared" si="1"/>
        <v>826034.75999999978</v>
      </c>
      <c r="I27" s="90">
        <v>45689</v>
      </c>
      <c r="J27" s="91">
        <f>56365+100093</f>
        <v>156458</v>
      </c>
      <c r="K27" s="91">
        <f>157642-1184</f>
        <v>156458</v>
      </c>
      <c r="L27" s="92">
        <f t="shared" si="2"/>
        <v>0</v>
      </c>
      <c r="M27" s="92">
        <f t="shared" si="3"/>
        <v>0</v>
      </c>
    </row>
    <row r="28" spans="2:13" x14ac:dyDescent="0.2">
      <c r="B28" s="9"/>
      <c r="C28" s="27" t="s">
        <v>79</v>
      </c>
      <c r="D28" s="28"/>
      <c r="E28" s="28"/>
      <c r="F28" s="28"/>
      <c r="G28" s="29"/>
      <c r="I28" s="94"/>
      <c r="J28" s="94"/>
      <c r="K28" s="94"/>
      <c r="L28" s="94"/>
      <c r="M28" s="94"/>
    </row>
    <row r="29" spans="2:13" x14ac:dyDescent="0.2">
      <c r="B29" s="6"/>
      <c r="C29" s="5"/>
      <c r="D29" s="5"/>
      <c r="E29" s="5"/>
      <c r="F29" s="5"/>
      <c r="G29" s="16"/>
      <c r="I29" s="95" t="s">
        <v>102</v>
      </c>
      <c r="J29" s="96"/>
      <c r="K29" s="96"/>
      <c r="L29" s="97"/>
      <c r="M29" s="98">
        <f>M25</f>
        <v>0</v>
      </c>
    </row>
    <row r="30" spans="2:13" x14ac:dyDescent="0.2">
      <c r="B30" s="8"/>
      <c r="C30" s="7"/>
      <c r="D30" s="8" t="s">
        <v>30</v>
      </c>
      <c r="E30" s="8" t="s">
        <v>31</v>
      </c>
      <c r="F30" s="7"/>
      <c r="G30" s="21"/>
      <c r="I30" s="94"/>
      <c r="J30" s="94"/>
      <c r="K30" s="94"/>
      <c r="L30" s="94"/>
      <c r="M30" s="99"/>
    </row>
    <row r="31" spans="2:13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  <c r="I31" s="95" t="s">
        <v>103</v>
      </c>
      <c r="J31" s="96"/>
      <c r="K31" s="96"/>
      <c r="L31" s="97"/>
      <c r="M31" s="98">
        <f>M29/6</f>
        <v>0</v>
      </c>
    </row>
    <row r="32" spans="2:13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4">-G13</f>
        <v>-58794</v>
      </c>
      <c r="E35" s="16">
        <f>D70</f>
        <v>58794</v>
      </c>
      <c r="F35" s="5"/>
      <c r="G35" s="16">
        <f t="shared" ref="G35:G40" si="5">D35+E35</f>
        <v>0</v>
      </c>
    </row>
    <row r="36" spans="2:7" x14ac:dyDescent="0.2">
      <c r="B36" s="31" t="s">
        <v>44</v>
      </c>
      <c r="C36" s="7" t="s">
        <v>84</v>
      </c>
      <c r="D36" s="21">
        <f t="shared" si="4"/>
        <v>-459556.97</v>
      </c>
      <c r="E36" s="21">
        <v>0</v>
      </c>
      <c r="F36" s="7"/>
      <c r="G36" s="21">
        <f t="shared" si="5"/>
        <v>-459556.97</v>
      </c>
    </row>
    <row r="37" spans="2:7" x14ac:dyDescent="0.2">
      <c r="B37" s="31" t="s">
        <v>45</v>
      </c>
      <c r="C37" s="7" t="s">
        <v>87</v>
      </c>
      <c r="D37" s="21">
        <f t="shared" si="4"/>
        <v>-74984.409999999916</v>
      </c>
      <c r="E37" s="21">
        <v>0</v>
      </c>
      <c r="F37" s="7"/>
      <c r="G37" s="21">
        <f t="shared" si="5"/>
        <v>-74984.409999999916</v>
      </c>
    </row>
    <row r="38" spans="2:7" x14ac:dyDescent="0.2">
      <c r="B38" s="31" t="s">
        <v>46</v>
      </c>
      <c r="C38" s="7" t="s">
        <v>91</v>
      </c>
      <c r="D38" s="21">
        <f t="shared" si="4"/>
        <v>-30842.019999999902</v>
      </c>
      <c r="E38" s="21">
        <v>0</v>
      </c>
      <c r="F38" s="7"/>
      <c r="G38" s="21">
        <f t="shared" si="5"/>
        <v>-30842.019999999902</v>
      </c>
    </row>
    <row r="39" spans="2:7" x14ac:dyDescent="0.2">
      <c r="B39" s="31" t="s">
        <v>59</v>
      </c>
      <c r="C39" s="7" t="s">
        <v>93</v>
      </c>
      <c r="D39" s="21">
        <f t="shared" si="4"/>
        <v>211728.84999999998</v>
      </c>
      <c r="E39" s="21">
        <v>0</v>
      </c>
      <c r="F39" s="7"/>
      <c r="G39" s="21">
        <f t="shared" si="5"/>
        <v>211728.84999999998</v>
      </c>
    </row>
    <row r="40" spans="2:7" x14ac:dyDescent="0.2">
      <c r="B40" s="31" t="s">
        <v>66</v>
      </c>
      <c r="C40" s="32" t="s">
        <v>95</v>
      </c>
      <c r="D40" s="23">
        <f t="shared" si="4"/>
        <v>-20717.229999999981</v>
      </c>
      <c r="E40" s="23">
        <v>0</v>
      </c>
      <c r="F40" s="32"/>
      <c r="G40" s="23">
        <f t="shared" si="5"/>
        <v>-20717.229999999981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-374371.7799999998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-451472.01999999996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-75245.336666666655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433165.7799999998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-374371.7799999998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58794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-451472.01999999996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-510266.01999999996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58794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102"/>
      <c r="G62" s="102"/>
    </row>
    <row r="63" spans="2:7" x14ac:dyDescent="0.2">
      <c r="B63" s="36"/>
      <c r="C63" s="9" t="s">
        <v>17</v>
      </c>
      <c r="D63" s="9" t="s">
        <v>104</v>
      </c>
      <c r="E63" s="31"/>
      <c r="F63" s="102"/>
      <c r="G63" s="102"/>
    </row>
    <row r="64" spans="2:7" x14ac:dyDescent="0.2">
      <c r="C64" s="17">
        <v>45474</v>
      </c>
      <c r="D64" s="50">
        <v>29398</v>
      </c>
      <c r="E64" s="103"/>
      <c r="F64" s="71"/>
      <c r="G64" s="71"/>
    </row>
    <row r="65" spans="3:7" x14ac:dyDescent="0.2">
      <c r="C65" s="19">
        <v>45505</v>
      </c>
      <c r="D65" s="51">
        <v>29396</v>
      </c>
      <c r="E65" s="103"/>
      <c r="F65" s="71"/>
      <c r="G65" s="71"/>
    </row>
    <row r="66" spans="3:7" x14ac:dyDescent="0.2">
      <c r="C66" s="19">
        <v>45536</v>
      </c>
      <c r="D66" s="51">
        <v>0</v>
      </c>
      <c r="E66" s="103"/>
      <c r="F66" s="71"/>
      <c r="G66" s="71"/>
    </row>
    <row r="67" spans="3:7" x14ac:dyDescent="0.2">
      <c r="C67" s="19">
        <v>45566</v>
      </c>
      <c r="D67" s="51">
        <v>0</v>
      </c>
      <c r="E67" s="103"/>
      <c r="F67" s="71"/>
      <c r="G67" s="71"/>
    </row>
    <row r="68" spans="3:7" x14ac:dyDescent="0.2">
      <c r="C68" s="19">
        <v>45597</v>
      </c>
      <c r="D68" s="51">
        <v>0</v>
      </c>
      <c r="E68" s="103"/>
      <c r="F68" s="71"/>
      <c r="G68" s="71"/>
    </row>
    <row r="69" spans="3:7" x14ac:dyDescent="0.2">
      <c r="C69" s="19">
        <v>45627</v>
      </c>
      <c r="D69" s="52">
        <v>0</v>
      </c>
      <c r="E69" s="103"/>
      <c r="F69" s="71"/>
      <c r="G69" s="71"/>
    </row>
    <row r="70" spans="3:7" x14ac:dyDescent="0.2">
      <c r="C70" s="53" t="s">
        <v>57</v>
      </c>
      <c r="D70" s="39">
        <f>SUM(D64:D69)</f>
        <v>58794</v>
      </c>
      <c r="E70" s="20"/>
      <c r="F70" s="71"/>
      <c r="G70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2025-03-31T01:11:09Z</dcterms:modified>
</cp:coreProperties>
</file>