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F73326D2-C1D7-44EA-952E-1E85F9F0FF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D60" i="2"/>
  <c r="D25" i="8" l="1"/>
  <c r="D23" i="8"/>
  <c r="E27" i="8"/>
  <c r="K27" i="8"/>
  <c r="E16" i="2" l="1"/>
  <c r="K18" i="2"/>
  <c r="E18" i="2"/>
  <c r="K24" i="4"/>
  <c r="E24" i="4"/>
  <c r="E26" i="8" l="1"/>
  <c r="K26" i="8"/>
  <c r="J27" i="8" l="1"/>
  <c r="D27" i="8"/>
  <c r="L27" i="8" l="1"/>
  <c r="J26" i="8"/>
  <c r="L26" i="8" s="1"/>
  <c r="K25" i="8"/>
  <c r="J25" i="8"/>
  <c r="L25" i="8" s="1"/>
  <c r="K24" i="8"/>
  <c r="J24" i="8"/>
  <c r="L24" i="8" s="1"/>
  <c r="K23" i="8"/>
  <c r="J23" i="8"/>
  <c r="L23" i="8" s="1"/>
  <c r="K22" i="8"/>
  <c r="J22" i="8"/>
  <c r="K21" i="8"/>
  <c r="J21" i="8"/>
  <c r="L21" i="8" s="1"/>
  <c r="K20" i="8"/>
  <c r="J20" i="8"/>
  <c r="L20" i="8" s="1"/>
  <c r="M20" i="8" s="1"/>
  <c r="D26" i="8"/>
  <c r="E25" i="8"/>
  <c r="E24" i="8"/>
  <c r="D24" i="8"/>
  <c r="E23" i="8"/>
  <c r="E22" i="8"/>
  <c r="D22" i="8"/>
  <c r="E21" i="8"/>
  <c r="D21" i="8"/>
  <c r="E20" i="8"/>
  <c r="D20" i="8"/>
  <c r="L22" i="8" l="1"/>
  <c r="M21" i="8"/>
  <c r="M22" i="8" s="1"/>
  <c r="M23" i="8" s="1"/>
  <c r="M24" i="8" s="1"/>
  <c r="M25" i="8" s="1"/>
  <c r="M29" i="8" l="1"/>
  <c r="M31" i="8" s="1"/>
  <c r="M26" i="8"/>
  <c r="M27" i="8" s="1"/>
  <c r="K26" i="6" l="1"/>
  <c r="J26" i="6"/>
  <c r="L26" i="6" s="1"/>
  <c r="K25" i="6"/>
  <c r="J25" i="6"/>
  <c r="L25" i="6" s="1"/>
  <c r="K24" i="6"/>
  <c r="J24" i="6"/>
  <c r="L24" i="6" s="1"/>
  <c r="K23" i="6"/>
  <c r="J23" i="6"/>
  <c r="K22" i="6"/>
  <c r="J22" i="6"/>
  <c r="L22" i="6" s="1"/>
  <c r="K21" i="6"/>
  <c r="J21" i="6"/>
  <c r="K20" i="6"/>
  <c r="J20" i="6"/>
  <c r="L20" i="6" s="1"/>
  <c r="K19" i="6"/>
  <c r="J19" i="6"/>
  <c r="L19" i="6" s="1"/>
  <c r="M19" i="6" s="1"/>
  <c r="M20" i="6" s="1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L21" i="6" l="1"/>
  <c r="M21" i="6" s="1"/>
  <c r="M22" i="6" s="1"/>
  <c r="M23" i="6" s="1"/>
  <c r="M24" i="6" s="1"/>
  <c r="L23" i="6"/>
  <c r="M28" i="6" l="1"/>
  <c r="M30" i="6" s="1"/>
  <c r="M25" i="6"/>
  <c r="M26" i="6" s="1"/>
  <c r="K25" i="5" l="1"/>
  <c r="J25" i="5"/>
  <c r="L25" i="5" s="1"/>
  <c r="K24" i="5"/>
  <c r="J24" i="5"/>
  <c r="L24" i="5" s="1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L18" i="5" s="1"/>
  <c r="M18" i="5" s="1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M19" i="5" l="1"/>
  <c r="M20" i="5" s="1"/>
  <c r="M21" i="5" s="1"/>
  <c r="M22" i="5" s="1"/>
  <c r="M23" i="5" s="1"/>
  <c r="M24" i="5" l="1"/>
  <c r="M25" i="5" s="1"/>
  <c r="M27" i="5"/>
  <c r="M29" i="5" s="1"/>
  <c r="L24" i="4" l="1"/>
  <c r="K23" i="4"/>
  <c r="J23" i="4"/>
  <c r="L23" i="4" s="1"/>
  <c r="K22" i="4"/>
  <c r="J22" i="4"/>
  <c r="K21" i="4"/>
  <c r="J21" i="4"/>
  <c r="K20" i="4"/>
  <c r="J20" i="4"/>
  <c r="L20" i="4" s="1"/>
  <c r="L19" i="4"/>
  <c r="K18" i="4"/>
  <c r="J18" i="4"/>
  <c r="L18" i="4" s="1"/>
  <c r="K17" i="4"/>
  <c r="J17" i="4"/>
  <c r="L17" i="4" s="1"/>
  <c r="M17" i="4" s="1"/>
  <c r="D24" i="4"/>
  <c r="E23" i="4"/>
  <c r="D23" i="4"/>
  <c r="E22" i="4"/>
  <c r="D22" i="4"/>
  <c r="E21" i="4"/>
  <c r="D21" i="4"/>
  <c r="E20" i="4"/>
  <c r="D20" i="4"/>
  <c r="D19" i="4"/>
  <c r="E18" i="4"/>
  <c r="D18" i="4"/>
  <c r="E17" i="4"/>
  <c r="D17" i="4"/>
  <c r="L22" i="4" l="1"/>
  <c r="L21" i="4"/>
  <c r="M18" i="4"/>
  <c r="M19" i="4" s="1"/>
  <c r="M20" i="4" s="1"/>
  <c r="M21" i="4" s="1"/>
  <c r="M22" i="4" s="1"/>
  <c r="M23" i="4" l="1"/>
  <c r="M24" i="4" s="1"/>
  <c r="M26" i="4"/>
  <c r="M28" i="4" s="1"/>
  <c r="K23" i="3" l="1"/>
  <c r="J23" i="3"/>
  <c r="L23" i="3" s="1"/>
  <c r="K22" i="3"/>
  <c r="J22" i="3"/>
  <c r="L22" i="3" s="1"/>
  <c r="K21" i="3"/>
  <c r="J21" i="3"/>
  <c r="L21" i="3" s="1"/>
  <c r="K20" i="3"/>
  <c r="J20" i="3"/>
  <c r="L20" i="3" s="1"/>
  <c r="K19" i="3"/>
  <c r="J19" i="3"/>
  <c r="L19" i="3" s="1"/>
  <c r="K18" i="3"/>
  <c r="J18" i="3"/>
  <c r="L18" i="3" s="1"/>
  <c r="K17" i="3"/>
  <c r="J17" i="3"/>
  <c r="L17" i="3" s="1"/>
  <c r="K16" i="3"/>
  <c r="J16" i="3"/>
  <c r="L16" i="3" s="1"/>
  <c r="M16" i="3" s="1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M17" i="3" l="1"/>
  <c r="M18" i="3"/>
  <c r="M19" i="3" s="1"/>
  <c r="M20" i="3" s="1"/>
  <c r="M21" i="3" s="1"/>
  <c r="M22" i="3" l="1"/>
  <c r="M23" i="3" s="1"/>
  <c r="M25" i="3"/>
  <c r="M27" i="3" s="1"/>
  <c r="K22" i="2" l="1"/>
  <c r="J22" i="2"/>
  <c r="L22" i="2" s="1"/>
  <c r="K21" i="2"/>
  <c r="J21" i="2"/>
  <c r="L21" i="2" s="1"/>
  <c r="K20" i="2"/>
  <c r="J20" i="2"/>
  <c r="L20" i="2" s="1"/>
  <c r="K19" i="2"/>
  <c r="J19" i="2"/>
  <c r="L19" i="2" s="1"/>
  <c r="J18" i="2"/>
  <c r="L18" i="2" s="1"/>
  <c r="K17" i="2"/>
  <c r="L17" i="2" s="1"/>
  <c r="J17" i="2"/>
  <c r="K16" i="2"/>
  <c r="J16" i="2"/>
  <c r="K15" i="2"/>
  <c r="J15" i="2"/>
  <c r="L15" i="2" s="1"/>
  <c r="M15" i="2" s="1"/>
  <c r="E22" i="2"/>
  <c r="D22" i="2"/>
  <c r="E21" i="2"/>
  <c r="D21" i="2"/>
  <c r="E20" i="2"/>
  <c r="D20" i="2"/>
  <c r="E19" i="2"/>
  <c r="D19" i="2"/>
  <c r="D18" i="2"/>
  <c r="E17" i="2"/>
  <c r="D17" i="2"/>
  <c r="D16" i="2"/>
  <c r="E15" i="2"/>
  <c r="D15" i="2"/>
  <c r="L16" i="2" l="1"/>
  <c r="M16" i="2"/>
  <c r="M17" i="2" s="1"/>
  <c r="M18" i="2" s="1"/>
  <c r="M19" i="2" s="1"/>
  <c r="M20" i="2" s="1"/>
  <c r="M24" i="2" l="1"/>
  <c r="M26" i="2" s="1"/>
  <c r="M21" i="2"/>
  <c r="M22" i="2" s="1"/>
  <c r="G14" i="2" l="1"/>
  <c r="D35" i="8" l="1"/>
  <c r="G35" i="8" s="1"/>
  <c r="F27" i="8"/>
  <c r="F26" i="8"/>
  <c r="F25" i="8"/>
  <c r="F24" i="8"/>
  <c r="F23" i="8"/>
  <c r="F22" i="8"/>
  <c r="F21" i="8"/>
  <c r="F20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G44" i="3" l="1"/>
  <c r="G15" i="5"/>
  <c r="G15" i="4"/>
  <c r="G15" i="6"/>
  <c r="G15" i="8"/>
  <c r="G22" i="3"/>
  <c r="G23" i="3" s="1"/>
  <c r="D35" i="5" l="1"/>
  <c r="G35" i="5" s="1"/>
  <c r="D37" i="8"/>
  <c r="G37" i="8" s="1"/>
  <c r="D36" i="6"/>
  <c r="G36" i="6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18" i="5"/>
  <c r="G19" i="5" s="1"/>
  <c r="G20" i="5" s="1"/>
  <c r="G21" i="5" s="1"/>
  <c r="G22" i="5" s="1"/>
  <c r="G23" i="5" s="1"/>
  <c r="G48" i="5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19" i="6"/>
  <c r="G20" i="6" s="1"/>
  <c r="G21" i="6" s="1"/>
  <c r="G22" i="6" s="1"/>
  <c r="G23" i="6" s="1"/>
  <c r="G24" i="6" s="1"/>
  <c r="G50" i="6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<sst xmlns="http://schemas.openxmlformats.org/spreadsheetml/2006/main" count="549" uniqueCount="106">
  <si>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</si>
  <si>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</si>
  <si>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</si>
  <si>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</si>
  <si>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</si>
  <si>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</si>
  <si>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</si>
  <si>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</si>
  <si>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</si>
  <si>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</si>
  <si>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</si>
  <si>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</si>
  <si>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</si>
  <si>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</si>
  <si>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</si>
  <si>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</si>
  <si>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</si>
  <si>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</si>
  <si>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</si>
  <si>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</si>
  <si>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</si>
  <si>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</si>
  <si>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</si>
  <si>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</si>
  <si>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</si>
  <si>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</si>
  <si>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</si>
  <si>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</si>
  <si>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</si>
  <si>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</si>
  <si>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</si>
  <si>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</si>
  <si>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</si>
  <si>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</si>
  <si>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</si>
  <si>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</si>
  <si>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</si>
  <si>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</si>
  <si>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</si>
  <si>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</si>
  <si>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</si>
  <si>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</si>
  <si>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</si>
  <si>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</si>
  <si>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</si>
  <si>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</si>
  <si>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</si>
  <si>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</si>
  <si>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</si>
  <si>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</si>
  <si>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</si>
  <si>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</si>
  <si>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</si>
  <si>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</si>
  <si>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</si>
  <si>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</si>
  <si>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</si>
  <si>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</si>
  <si>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</si>
  <si>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</si>
  <si>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</si>
  <si>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</si>
  <si>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</si>
  <si>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</si>
  <si>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</si>
  <si>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</si>
  <si>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</si>
  <si>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</si>
  <si>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</si>
  <si>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</si>
  <si>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</si>
  <si>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</si>
  <si>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</si>
  <si>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</si>
  <si>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</si>
  <si>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</si>
  <si>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</si>
  <si>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</si>
  <si>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</si>
  <si>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</si>
  <si>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</si>
  <si>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</si>
  <si>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</si>
  <si>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</si>
  <si>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</si>
  <si>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</si>
  <si>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</si>
  <si>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</si>
  <si>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</si>
  <si>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</si>
  <si>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</si>
  <si>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</si>
  <si>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</si>
  <si>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</si>
  <si>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</si>
  <si>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</si>
  <si>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Fleming-Mason Surcharge Summary.xlsx</t>
  </si>
  <si>
    <t>Fleming-Mason</t>
  </si>
  <si>
    <t>Fleming-Mason - Calculation of (Over)/Under Recovery</t>
  </si>
  <si>
    <t>Fleming-Mason Energy Cooperative - Calculation of (Over)/Under Recovery - Direct Surcharge Pass-Throughs</t>
  </si>
  <si>
    <t>Steam, Rate B, Rate C, Rate G, and Rate H</t>
  </si>
  <si>
    <t>(1)</t>
  </si>
  <si>
    <t>Cumulative 6-month (Over)/Under Recovery</t>
  </si>
  <si>
    <t>Monthly Recovery (per month for six months)</t>
  </si>
  <si>
    <t>2022-00141</t>
  </si>
  <si>
    <t>DR1 Response 2 - Fleming-Mason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</si>
</sst>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0" fontId="0" fillId="0" borderId="12" xfId="0" applyBorder="1" applyAlignment="1">
      <alignment horizontal="right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0" fontId="0" fillId="0" borderId="7" xfId="0" applyBorder="1"/>
    <xf numFmtId="5" fontId="0" fillId="0" borderId="2" xfId="0" applyNumberFormat="1" applyBorder="1"/>
    <xf numFmtId="0" fontId="3" fillId="0" borderId="0" xfId="1"/>
    <xf numFmtId="0" fontId="1" fillId="0" borderId="0" xfId="1" applyFont="1"/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17" fontId="5" fillId="0" borderId="9" xfId="2" applyNumberFormat="1" applyFont="1" applyBorder="1"/>
    <xf numFmtId="5" fontId="2" fillId="3" borderId="10" xfId="3" applyNumberFormat="1" applyFont="1" applyFill="1" applyBorder="1" applyAlignment="1">
      <alignment horizontal="right"/>
    </xf>
    <xf numFmtId="5" fontId="2" fillId="3" borderId="0" xfId="3" applyNumberFormat="1" applyFont="1" applyFill="1" applyBorder="1" applyAlignment="1">
      <alignment horizontal="right"/>
    </xf>
    <xf numFmtId="5" fontId="2" fillId="0" borderId="9" xfId="1" applyNumberFormat="1" applyFont="1" applyBorder="1"/>
    <xf numFmtId="5" fontId="2" fillId="0" borderId="10" xfId="1" applyNumberFormat="1" applyFont="1" applyBorder="1"/>
    <xf numFmtId="17" fontId="5" fillId="0" borderId="10" xfId="2" applyNumberFormat="1" applyFont="1" applyBorder="1"/>
    <xf numFmtId="5" fontId="2" fillId="3" borderId="10" xfId="1" applyNumberFormat="1" applyFont="1" applyFill="1" applyBorder="1"/>
    <xf numFmtId="17" fontId="5" fillId="0" borderId="11" xfId="2" applyNumberFormat="1" applyFont="1" applyBorder="1"/>
    <xf numFmtId="5" fontId="2" fillId="3" borderId="11" xfId="1" applyNumberFormat="1" applyFont="1" applyFill="1" applyBorder="1"/>
    <xf numFmtId="5" fontId="2" fillId="0" borderId="11" xfId="1" applyNumberFormat="1" applyFont="1" applyBorder="1"/>
    <xf numFmtId="5" fontId="2" fillId="3" borderId="9" xfId="1" applyNumberFormat="1" applyFont="1" applyFill="1" applyBorder="1"/>
    <xf numFmtId="0" fontId="2" fillId="0" borderId="0" xfId="1" applyFont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5" fontId="2" fillId="0" borderId="12" xfId="1" applyNumberFormat="1" applyFont="1" applyBorder="1"/>
    <xf numFmtId="5" fontId="2" fillId="0" borderId="0" xfId="1" applyNumberFormat="1" applyFont="1"/>
    <xf numFmtId="0" fontId="0" fillId="0" borderId="0" xfId="0" applyBorder="1" applyAlignment="1">
      <alignment horizontal="center"/>
    </xf>
    <xf numFmtId="5" fontId="0" fillId="0" borderId="9" xfId="0" applyNumberFormat="1" applyFill="1" applyBorder="1"/>
    <xf numFmtId="5" fontId="0" fillId="0" borderId="16" xfId="0" applyNumberFormat="1" applyFill="1" applyBorder="1"/>
    <xf numFmtId="5" fontId="0" fillId="0" borderId="0" xfId="0" applyNumberFormat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workbookViewId="0"/>
  </sheetViews>
  <sheetFormatPr defaultColWidth="15.625" defaultRowHeight="14.25" x14ac:dyDescent="0.2"/>
  <sheetData>
    <row r="1" spans="1:6" x14ac:dyDescent="0.2">
      <c r="A1" t="s">
        <v>105</v>
      </c>
    </row>
    <row r="3" spans="1:6" ht="15" x14ac:dyDescent="0.25">
      <c r="C3" s="96" t="s">
        <v>97</v>
      </c>
      <c r="D3" s="96"/>
      <c r="E3" s="96"/>
    </row>
    <row r="4" spans="1:6" ht="15" x14ac:dyDescent="0.25">
      <c r="B4" s="96" t="s">
        <v>0</v>
      </c>
      <c r="C4" s="96"/>
      <c r="D4" s="96"/>
      <c r="E4" s="96"/>
      <c r="F4" s="96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1021011.6400000001</v>
      </c>
      <c r="F8" s="2" t="str">
        <f>IF(E8&gt;0,"Under-Recovery","Over-Recovery")</f>
        <v>Under-Recovery</v>
      </c>
    </row>
    <row r="9" spans="1:6" x14ac:dyDescent="0.2">
      <c r="B9" t="s">
        <v>68</v>
      </c>
      <c r="E9" s="3">
        <f>'B - 11-30-22'!G35</f>
        <v>370395.55999999982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1504.9199999999255</v>
      </c>
      <c r="F10" s="2" t="str">
        <f t="shared" si="0"/>
        <v>Under-Recovery</v>
      </c>
    </row>
    <row r="11" spans="1:6" x14ac:dyDescent="0.2">
      <c r="B11" t="s">
        <v>75</v>
      </c>
      <c r="E11" s="3">
        <f>'D - 11-30-23'!G39</f>
        <v>-489188.45999999973</v>
      </c>
      <c r="F11" s="2" t="str">
        <f t="shared" si="0"/>
        <v>Over-Recovery</v>
      </c>
    </row>
    <row r="12" spans="1:6" x14ac:dyDescent="0.2">
      <c r="B12" t="s">
        <v>77</v>
      </c>
      <c r="E12" s="3">
        <f>'E - 05-31-24'!G41</f>
        <v>56163.70000000007</v>
      </c>
      <c r="F12" s="2" t="str">
        <f t="shared" si="0"/>
        <v>Under-Recovery</v>
      </c>
    </row>
    <row r="13" spans="1:6" x14ac:dyDescent="0.2">
      <c r="B13" t="s">
        <v>78</v>
      </c>
      <c r="E13" s="3">
        <f>'F - 11-30-24'!G43</f>
        <v>-607551.61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352335.75000000023</v>
      </c>
      <c r="F15" s="2" t="str">
        <f>IF(E15&gt;0,"Under-Recovery","Over-Recovery")</f>
        <v>Under-Recovery</v>
      </c>
    </row>
    <row r="16" spans="1:6" ht="15" thickTop="1" x14ac:dyDescent="0.2"/>
    <row r="20" spans="2:6" ht="15" x14ac:dyDescent="0.25">
      <c r="B20" s="96" t="s">
        <v>4</v>
      </c>
      <c r="C20" s="96"/>
      <c r="D20" s="96"/>
      <c r="E20" s="96"/>
      <c r="F20" s="96"/>
    </row>
    <row r="22" spans="2:6" x14ac:dyDescent="0.2">
      <c r="B22" t="s">
        <v>5</v>
      </c>
      <c r="E22" s="3">
        <f>ROUND(E15/6,0)</f>
        <v>58723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29361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zoomScaleNormal="100" workbookViewId="0">
      <selection activeCell="C6" sqref="C6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ht="14.25" customHeight="1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ht="15.75" x14ac:dyDescent="0.25">
      <c r="B8" s="7"/>
      <c r="C8" s="7"/>
      <c r="D8" s="8" t="s">
        <v>8</v>
      </c>
      <c r="E8" s="8" t="s">
        <v>9</v>
      </c>
      <c r="F8" s="7"/>
      <c r="G8" s="7"/>
      <c r="I8" s="65" t="s">
        <v>100</v>
      </c>
      <c r="J8" s="64"/>
      <c r="K8" s="64"/>
      <c r="L8" s="64"/>
      <c r="M8" s="64"/>
    </row>
    <row r="9" spans="1:13" ht="15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  <c r="I9" s="64"/>
      <c r="J9" s="64"/>
      <c r="K9" s="64"/>
      <c r="L9" s="64"/>
      <c r="M9" s="64"/>
    </row>
    <row r="10" spans="1:13" x14ac:dyDescent="0.2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  <c r="I10" s="66"/>
      <c r="J10" s="66"/>
      <c r="K10" s="67" t="s">
        <v>7</v>
      </c>
      <c r="L10" s="66"/>
      <c r="M10" s="66"/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68"/>
      <c r="J11" s="69" t="s">
        <v>8</v>
      </c>
      <c r="K11" s="69" t="s">
        <v>9</v>
      </c>
      <c r="L11" s="68"/>
      <c r="M11" s="68"/>
    </row>
    <row r="12" spans="1:13" x14ac:dyDescent="0.2">
      <c r="B12" s="6">
        <v>1</v>
      </c>
      <c r="C12" s="103" t="s">
        <v>22</v>
      </c>
      <c r="D12" s="104"/>
      <c r="E12" s="104"/>
      <c r="F12" s="104"/>
      <c r="G12" s="105"/>
      <c r="I12" s="68"/>
      <c r="J12" s="69" t="s">
        <v>10</v>
      </c>
      <c r="K12" s="69" t="s">
        <v>11</v>
      </c>
      <c r="L12" s="69" t="s">
        <v>12</v>
      </c>
      <c r="M12" s="69" t="s">
        <v>13</v>
      </c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77867</v>
      </c>
      <c r="I13" s="70"/>
      <c r="J13" s="70" t="s">
        <v>14</v>
      </c>
      <c r="K13" s="70" t="s">
        <v>14</v>
      </c>
      <c r="L13" s="70" t="s">
        <v>15</v>
      </c>
      <c r="M13" s="70" t="s">
        <v>15</v>
      </c>
    </row>
    <row r="14" spans="1:13" x14ac:dyDescent="0.2">
      <c r="B14" s="9" t="s">
        <v>24</v>
      </c>
      <c r="C14" s="12" t="s">
        <v>27</v>
      </c>
      <c r="D14" s="12"/>
      <c r="E14" s="12"/>
      <c r="F14" s="15"/>
      <c r="G14" s="16">
        <f>G13</f>
        <v>77867</v>
      </c>
      <c r="I14" s="71" t="s">
        <v>17</v>
      </c>
      <c r="J14" s="72" t="s">
        <v>101</v>
      </c>
      <c r="K14" s="72" t="s">
        <v>18</v>
      </c>
      <c r="L14" s="72" t="s">
        <v>19</v>
      </c>
      <c r="M14" s="72" t="s">
        <v>20</v>
      </c>
    </row>
    <row r="15" spans="1:13" x14ac:dyDescent="0.2">
      <c r="B15" s="8">
        <v>2</v>
      </c>
      <c r="C15" s="17">
        <v>44562</v>
      </c>
      <c r="D15" s="50">
        <f>534252-301</f>
        <v>533951</v>
      </c>
      <c r="E15" s="51">
        <f>436160.13+795</f>
        <v>436955.13</v>
      </c>
      <c r="F15" s="18">
        <f t="shared" ref="F15:F22" si="0">D15-E15</f>
        <v>96995.87</v>
      </c>
      <c r="G15" s="16">
        <f t="shared" ref="G15:G22" si="1">G14+F15</f>
        <v>174862.87</v>
      </c>
      <c r="I15" s="73">
        <v>44562</v>
      </c>
      <c r="J15" s="74">
        <f>162914+58206+63688+186513+29411</f>
        <v>500732</v>
      </c>
      <c r="K15" s="75">
        <f>186513+162914+24554+39134+29411+59001-795</f>
        <v>500732</v>
      </c>
      <c r="L15" s="76">
        <f t="shared" ref="L15:L22" si="2">J15-K15</f>
        <v>0</v>
      </c>
      <c r="M15" s="77">
        <f>L15</f>
        <v>0</v>
      </c>
    </row>
    <row r="16" spans="1:13" x14ac:dyDescent="0.2">
      <c r="B16" s="8">
        <v>3</v>
      </c>
      <c r="C16" s="19">
        <v>44593</v>
      </c>
      <c r="D16" s="52">
        <f>428036-140</f>
        <v>427896</v>
      </c>
      <c r="E16" s="53">
        <f>-155436+781</f>
        <v>-154655</v>
      </c>
      <c r="F16" s="20">
        <f t="shared" si="0"/>
        <v>582551</v>
      </c>
      <c r="G16" s="21">
        <f t="shared" si="1"/>
        <v>757413.87</v>
      </c>
      <c r="I16" s="78">
        <v>44593</v>
      </c>
      <c r="J16" s="74">
        <f>150865+48627+72658+175057+12950</f>
        <v>460157</v>
      </c>
      <c r="K16" s="75">
        <f>175057+150865+35210+37448+12950+49408-781</f>
        <v>460157</v>
      </c>
      <c r="L16" s="77">
        <f t="shared" si="2"/>
        <v>0</v>
      </c>
      <c r="M16" s="77">
        <f>M15+L16</f>
        <v>0</v>
      </c>
    </row>
    <row r="17" spans="2:13" x14ac:dyDescent="0.2">
      <c r="B17" s="8">
        <v>4</v>
      </c>
      <c r="C17" s="19">
        <v>44621</v>
      </c>
      <c r="D17" s="52">
        <f>290947-231</f>
        <v>290716</v>
      </c>
      <c r="E17" s="53">
        <f>215088.83+617</f>
        <v>215705.83</v>
      </c>
      <c r="F17" s="20">
        <f t="shared" si="0"/>
        <v>75010.170000000013</v>
      </c>
      <c r="G17" s="21">
        <f t="shared" si="1"/>
        <v>832424.04</v>
      </c>
      <c r="I17" s="78">
        <v>44621</v>
      </c>
      <c r="J17" s="74">
        <f>125306+25267+61369+146516+26975</f>
        <v>385433</v>
      </c>
      <c r="K17" s="74">
        <f>146516+125306+29257+32128+26975+25868-617</f>
        <v>385433</v>
      </c>
      <c r="L17" s="77">
        <f t="shared" si="2"/>
        <v>0</v>
      </c>
      <c r="M17" s="77">
        <f t="shared" ref="M17:M20" si="3">M16+L17</f>
        <v>0</v>
      </c>
    </row>
    <row r="18" spans="2:13" x14ac:dyDescent="0.2">
      <c r="B18" s="8">
        <v>5</v>
      </c>
      <c r="C18" s="19">
        <v>44652</v>
      </c>
      <c r="D18" s="52">
        <f>340594-340</f>
        <v>340254</v>
      </c>
      <c r="E18" s="53">
        <f>95290.47+1850</f>
        <v>97140.47</v>
      </c>
      <c r="F18" s="20">
        <f t="shared" si="0"/>
        <v>243113.53</v>
      </c>
      <c r="G18" s="21">
        <f t="shared" si="1"/>
        <v>1075537.57</v>
      </c>
      <c r="I18" s="78">
        <v>44652</v>
      </c>
      <c r="J18" s="74">
        <f>138061+18057+94463+175242+42463</f>
        <v>468286</v>
      </c>
      <c r="K18" s="74">
        <f>470136-1850</f>
        <v>468286</v>
      </c>
      <c r="L18" s="77">
        <f t="shared" si="2"/>
        <v>0</v>
      </c>
      <c r="M18" s="77">
        <f t="shared" si="3"/>
        <v>0</v>
      </c>
    </row>
    <row r="19" spans="2:13" x14ac:dyDescent="0.2">
      <c r="B19" s="8">
        <v>6</v>
      </c>
      <c r="C19" s="19">
        <v>44682</v>
      </c>
      <c r="D19" s="52">
        <f>357179-361</f>
        <v>356818</v>
      </c>
      <c r="E19" s="53">
        <f>384634.43+960</f>
        <v>385594.43</v>
      </c>
      <c r="F19" s="20">
        <f t="shared" si="0"/>
        <v>-28776.429999999993</v>
      </c>
      <c r="G19" s="21">
        <f t="shared" si="1"/>
        <v>1046761.1400000001</v>
      </c>
      <c r="I19" s="78">
        <v>44682</v>
      </c>
      <c r="J19" s="74">
        <f>163438+3060+91986+217097+53434</f>
        <v>529015</v>
      </c>
      <c r="K19" s="79">
        <f>217097+163438+44774+47237+53434+3995-960</f>
        <v>529015</v>
      </c>
      <c r="L19" s="77">
        <f t="shared" si="2"/>
        <v>0</v>
      </c>
      <c r="M19" s="77">
        <f t="shared" si="3"/>
        <v>0</v>
      </c>
    </row>
    <row r="20" spans="2:13" x14ac:dyDescent="0.2">
      <c r="B20" s="8">
        <v>7</v>
      </c>
      <c r="C20" s="19">
        <v>44713</v>
      </c>
      <c r="D20" s="52">
        <f>487864-37</f>
        <v>487827</v>
      </c>
      <c r="E20" s="53">
        <f>434064.5+1645</f>
        <v>435709.5</v>
      </c>
      <c r="F20" s="22">
        <f t="shared" si="0"/>
        <v>52117.5</v>
      </c>
      <c r="G20" s="23">
        <f t="shared" si="1"/>
        <v>1098878.6400000001</v>
      </c>
      <c r="I20" s="80">
        <v>44713</v>
      </c>
      <c r="J20" s="79">
        <f>158586+3362+104116+229555+79497</f>
        <v>575116</v>
      </c>
      <c r="K20" s="81">
        <f>229555+158586+49490+55220+79497+4413-1645</f>
        <v>575116</v>
      </c>
      <c r="L20" s="82">
        <f t="shared" si="2"/>
        <v>0</v>
      </c>
      <c r="M20" s="82">
        <f t="shared" si="3"/>
        <v>0</v>
      </c>
    </row>
    <row r="21" spans="2:13" x14ac:dyDescent="0.2">
      <c r="B21" s="24" t="s">
        <v>28</v>
      </c>
      <c r="C21" s="17">
        <v>44743</v>
      </c>
      <c r="D21" s="50">
        <f>553028-392</f>
        <v>552636</v>
      </c>
      <c r="E21" s="51">
        <f>552038.21+2050</f>
        <v>554088.21</v>
      </c>
      <c r="F21" s="18">
        <f t="shared" si="0"/>
        <v>-1452.2099999999627</v>
      </c>
      <c r="G21" s="16">
        <f t="shared" si="1"/>
        <v>1097426.4300000002</v>
      </c>
      <c r="I21" s="78">
        <v>44743</v>
      </c>
      <c r="J21" s="83">
        <f>188449+3166+125740+263749+89974</f>
        <v>671078</v>
      </c>
      <c r="K21" s="83">
        <f>263749+188449+74068+52711+89974+4177-2050</f>
        <v>671078</v>
      </c>
      <c r="L21" s="77">
        <f t="shared" si="2"/>
        <v>0</v>
      </c>
      <c r="M21" s="77">
        <f>M20+L21</f>
        <v>0</v>
      </c>
    </row>
    <row r="22" spans="2:13" x14ac:dyDescent="0.2">
      <c r="B22" s="25" t="s">
        <v>29</v>
      </c>
      <c r="C22" s="26">
        <v>44774</v>
      </c>
      <c r="D22" s="54">
        <f>427145-31</f>
        <v>427114</v>
      </c>
      <c r="E22" s="55">
        <f>486326.05+1460</f>
        <v>487786.05</v>
      </c>
      <c r="F22" s="22">
        <f t="shared" si="0"/>
        <v>-60672.049999999988</v>
      </c>
      <c r="G22" s="23">
        <f t="shared" si="1"/>
        <v>1036754.3800000001</v>
      </c>
      <c r="I22" s="80">
        <v>44774</v>
      </c>
      <c r="J22" s="81">
        <f>156366+1821+109069+221522+73135</f>
        <v>561913</v>
      </c>
      <c r="K22" s="81">
        <f>221522+156366+61685+48016+73135+2649-1460</f>
        <v>561913</v>
      </c>
      <c r="L22" s="82">
        <f t="shared" si="2"/>
        <v>0</v>
      </c>
      <c r="M22" s="82">
        <f>M21+L22</f>
        <v>0</v>
      </c>
    </row>
    <row r="23" spans="2:13" x14ac:dyDescent="0.2">
      <c r="B23" s="9"/>
      <c r="C23" s="27" t="s">
        <v>61</v>
      </c>
      <c r="D23" s="28"/>
      <c r="E23" s="28"/>
      <c r="F23" s="28"/>
      <c r="G23" s="29"/>
      <c r="I23" s="84"/>
      <c r="J23" s="84"/>
      <c r="K23" s="84"/>
      <c r="L23" s="84"/>
      <c r="M23" s="84"/>
    </row>
    <row r="24" spans="2:13" x14ac:dyDescent="0.2">
      <c r="B24" s="6"/>
      <c r="C24" s="5"/>
      <c r="D24" s="5"/>
      <c r="E24" s="5"/>
      <c r="F24" s="5"/>
      <c r="G24" s="16"/>
      <c r="I24" s="85" t="s">
        <v>102</v>
      </c>
      <c r="J24" s="86"/>
      <c r="K24" s="86"/>
      <c r="L24" s="87"/>
      <c r="M24" s="88">
        <f>M20</f>
        <v>0</v>
      </c>
    </row>
    <row r="25" spans="2:13" x14ac:dyDescent="0.2">
      <c r="B25" s="8"/>
      <c r="C25" s="7"/>
      <c r="D25" s="8" t="s">
        <v>30</v>
      </c>
      <c r="E25" s="8" t="s">
        <v>31</v>
      </c>
      <c r="F25" s="7"/>
      <c r="G25" s="21"/>
      <c r="I25" s="84"/>
      <c r="J25" s="84"/>
      <c r="K25" s="84"/>
      <c r="L25" s="84"/>
      <c r="M25" s="89"/>
    </row>
    <row r="26" spans="2:13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  <c r="I26" s="85" t="s">
        <v>103</v>
      </c>
      <c r="J26" s="86"/>
      <c r="K26" s="86"/>
      <c r="L26" s="87"/>
      <c r="M26" s="88">
        <f>M24/6</f>
        <v>0</v>
      </c>
    </row>
    <row r="27" spans="2:13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13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13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13" x14ac:dyDescent="0.2">
      <c r="B30" s="6" t="s">
        <v>43</v>
      </c>
      <c r="C30" s="56" t="s">
        <v>82</v>
      </c>
      <c r="D30" s="14">
        <f>-G13</f>
        <v>-77867</v>
      </c>
      <c r="E30" s="14">
        <f>D60</f>
        <v>0</v>
      </c>
      <c r="F30" s="56"/>
      <c r="G30" s="14">
        <f>D30+E30</f>
        <v>-77867</v>
      </c>
    </row>
    <row r="31" spans="2:13" x14ac:dyDescent="0.2">
      <c r="B31" s="9" t="s">
        <v>44</v>
      </c>
      <c r="C31" s="33"/>
      <c r="D31" s="34"/>
      <c r="E31" s="34"/>
      <c r="F31" s="35" t="s">
        <v>47</v>
      </c>
      <c r="G31" s="23">
        <f>G30</f>
        <v>-77867</v>
      </c>
    </row>
    <row r="32" spans="2:13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14">
        <f>G20+G31</f>
        <v>1021011.6400000001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14">
        <f>G33/6</f>
        <v>170168.60666666669</v>
      </c>
    </row>
    <row r="37" spans="2:7" x14ac:dyDescent="0.2">
      <c r="B37" s="5"/>
      <c r="C37" s="39" t="s">
        <v>48</v>
      </c>
      <c r="D37" s="40"/>
      <c r="E37" s="40"/>
      <c r="F37" s="40"/>
      <c r="G37" s="41"/>
    </row>
    <row r="38" spans="2:7" x14ac:dyDescent="0.2">
      <c r="B38" s="5"/>
      <c r="C38" s="42"/>
      <c r="D38" s="42"/>
      <c r="E38" s="42"/>
      <c r="F38" s="42"/>
      <c r="G38" s="15"/>
    </row>
    <row r="39" spans="2:7" x14ac:dyDescent="0.2">
      <c r="B39" s="8">
        <v>11</v>
      </c>
      <c r="C39" t="s">
        <v>49</v>
      </c>
      <c r="G39" s="43">
        <f>G14</f>
        <v>77867</v>
      </c>
    </row>
    <row r="40" spans="2:7" x14ac:dyDescent="0.2">
      <c r="B40" s="8">
        <v>12</v>
      </c>
      <c r="C40" t="s">
        <v>50</v>
      </c>
      <c r="G40" s="44">
        <f>G31</f>
        <v>-77867</v>
      </c>
    </row>
    <row r="41" spans="2:7" x14ac:dyDescent="0.2">
      <c r="B41" s="8"/>
      <c r="G41" s="43"/>
    </row>
    <row r="42" spans="2:7" ht="15" thickBot="1" x14ac:dyDescent="0.25">
      <c r="B42" s="8">
        <v>13</v>
      </c>
      <c r="C42" t="s">
        <v>51</v>
      </c>
      <c r="G42" s="45">
        <f>G39+G40</f>
        <v>0</v>
      </c>
    </row>
    <row r="43" spans="2:7" ht="15" thickTop="1" x14ac:dyDescent="0.2">
      <c r="B43" s="8"/>
      <c r="G43" s="43"/>
    </row>
    <row r="44" spans="2:7" x14ac:dyDescent="0.2">
      <c r="B44" s="8">
        <v>14</v>
      </c>
      <c r="C44" t="s">
        <v>52</v>
      </c>
      <c r="G44" s="43">
        <f>G33</f>
        <v>1021011.6400000001</v>
      </c>
    </row>
    <row r="45" spans="2:7" x14ac:dyDescent="0.2">
      <c r="B45" s="8"/>
      <c r="G45" s="43"/>
    </row>
    <row r="46" spans="2:7" x14ac:dyDescent="0.2">
      <c r="B46" s="8">
        <v>15</v>
      </c>
      <c r="C46" t="s">
        <v>53</v>
      </c>
      <c r="G46" s="44">
        <f>SUM(F15:F20)</f>
        <v>1021011.6400000001</v>
      </c>
    </row>
    <row r="47" spans="2:7" x14ac:dyDescent="0.2">
      <c r="B47" s="8"/>
      <c r="G47" s="43"/>
    </row>
    <row r="48" spans="2:7" ht="15" thickBot="1" x14ac:dyDescent="0.25">
      <c r="B48" s="8">
        <v>16</v>
      </c>
      <c r="C48" t="s">
        <v>54</v>
      </c>
      <c r="G48" s="45">
        <f>G44-G46</f>
        <v>0</v>
      </c>
    </row>
    <row r="49" spans="2:7" ht="15" thickTop="1" x14ac:dyDescent="0.2">
      <c r="B49" s="32"/>
      <c r="C49" s="46"/>
      <c r="D49" s="46"/>
      <c r="E49" s="46"/>
      <c r="F49" s="46"/>
      <c r="G49" s="47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90"/>
      <c r="G52" s="90"/>
    </row>
    <row r="53" spans="2:7" x14ac:dyDescent="0.2">
      <c r="B53" s="36"/>
      <c r="C53" s="9" t="s">
        <v>17</v>
      </c>
      <c r="D53" s="9" t="s">
        <v>104</v>
      </c>
      <c r="E53" s="31"/>
      <c r="F53" s="90"/>
      <c r="G53" s="90"/>
    </row>
    <row r="54" spans="2:7" x14ac:dyDescent="0.2">
      <c r="C54" s="17">
        <v>44562</v>
      </c>
      <c r="D54" s="91">
        <v>0</v>
      </c>
      <c r="E54" s="92"/>
      <c r="F54" s="93"/>
      <c r="G54" s="93"/>
    </row>
    <row r="55" spans="2:7" x14ac:dyDescent="0.2">
      <c r="C55" s="19">
        <v>44593</v>
      </c>
      <c r="D55" s="94">
        <v>0</v>
      </c>
      <c r="E55" s="92"/>
      <c r="F55" s="93"/>
      <c r="G55" s="93"/>
    </row>
    <row r="56" spans="2:7" x14ac:dyDescent="0.2">
      <c r="C56" s="19">
        <v>44621</v>
      </c>
      <c r="D56" s="94">
        <v>0</v>
      </c>
      <c r="E56" s="92"/>
      <c r="F56" s="93"/>
      <c r="G56" s="93"/>
    </row>
    <row r="57" spans="2:7" x14ac:dyDescent="0.2">
      <c r="C57" s="19">
        <v>44652</v>
      </c>
      <c r="D57" s="94">
        <v>0</v>
      </c>
      <c r="E57" s="92"/>
      <c r="F57" s="93"/>
      <c r="G57" s="93"/>
    </row>
    <row r="58" spans="2:7" x14ac:dyDescent="0.2">
      <c r="C58" s="19">
        <v>44682</v>
      </c>
      <c r="D58" s="94">
        <v>0</v>
      </c>
      <c r="E58" s="92"/>
      <c r="F58" s="93"/>
      <c r="G58" s="93"/>
    </row>
    <row r="59" spans="2:7" x14ac:dyDescent="0.2">
      <c r="C59" s="19">
        <v>44713</v>
      </c>
      <c r="D59" s="95">
        <v>0</v>
      </c>
      <c r="E59" s="92"/>
      <c r="F59" s="93"/>
      <c r="G59" s="93"/>
    </row>
    <row r="60" spans="2:7" x14ac:dyDescent="0.2">
      <c r="C60" s="48" t="s">
        <v>57</v>
      </c>
      <c r="D60" s="14">
        <f>SUM(D54:D59)</f>
        <v>0</v>
      </c>
      <c r="E60" s="20"/>
      <c r="F60" s="93"/>
      <c r="G60" s="93"/>
    </row>
  </sheetData>
  <mergeCells count="3">
    <mergeCell ref="B4:G5"/>
    <mergeCell ref="C12:G12"/>
    <mergeCell ref="I4:M5"/>
  </mergeCells>
  <pageMargins left="0.7" right="0.7" top="0.75" bottom="0.75" header="0.3" footer="0.3"/>
  <pageSetup scale="66" fitToWidth="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zoomScaleNormal="100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ht="14.25" customHeight="1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ht="15.75" x14ac:dyDescent="0.25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  <c r="I9" s="65" t="s">
        <v>100</v>
      </c>
      <c r="J9" s="64"/>
      <c r="K9" s="64"/>
      <c r="L9" s="64"/>
      <c r="M9" s="64"/>
    </row>
    <row r="10" spans="1:13" ht="15" x14ac:dyDescent="0.2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  <c r="I10" s="64"/>
      <c r="J10" s="64"/>
      <c r="K10" s="64"/>
      <c r="L10" s="64"/>
      <c r="M10" s="64"/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66"/>
      <c r="J11" s="66"/>
      <c r="K11" s="67" t="s">
        <v>7</v>
      </c>
      <c r="L11" s="66"/>
      <c r="M11" s="66"/>
    </row>
    <row r="12" spans="1:13" x14ac:dyDescent="0.2">
      <c r="B12" s="6">
        <v>1</v>
      </c>
      <c r="C12" s="103" t="s">
        <v>22</v>
      </c>
      <c r="D12" s="104"/>
      <c r="E12" s="104"/>
      <c r="F12" s="104"/>
      <c r="G12" s="105"/>
      <c r="I12" s="68"/>
      <c r="J12" s="69" t="s">
        <v>8</v>
      </c>
      <c r="K12" s="69" t="s">
        <v>9</v>
      </c>
      <c r="L12" s="68"/>
      <c r="M12" s="68"/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77867</v>
      </c>
      <c r="I13" s="68"/>
      <c r="J13" s="69" t="s">
        <v>10</v>
      </c>
      <c r="K13" s="69" t="s">
        <v>11</v>
      </c>
      <c r="L13" s="69" t="s">
        <v>12</v>
      </c>
      <c r="M13" s="69" t="s">
        <v>13</v>
      </c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49">
        <f>'A - 05-31-22'!G33</f>
        <v>1021011.6400000001</v>
      </c>
      <c r="I14" s="70"/>
      <c r="J14" s="70" t="s">
        <v>14</v>
      </c>
      <c r="K14" s="70" t="s">
        <v>14</v>
      </c>
      <c r="L14" s="70" t="s">
        <v>15</v>
      </c>
      <c r="M14" s="70" t="s">
        <v>15</v>
      </c>
    </row>
    <row r="15" spans="1:13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1098878.6400000001</v>
      </c>
      <c r="I15" s="71" t="s">
        <v>17</v>
      </c>
      <c r="J15" s="72" t="s">
        <v>101</v>
      </c>
      <c r="K15" s="72" t="s">
        <v>18</v>
      </c>
      <c r="L15" s="72" t="s">
        <v>19</v>
      </c>
      <c r="M15" s="72" t="s">
        <v>20</v>
      </c>
    </row>
    <row r="16" spans="1:13" x14ac:dyDescent="0.2">
      <c r="B16" s="8">
        <v>2</v>
      </c>
      <c r="C16" s="17">
        <v>44743</v>
      </c>
      <c r="D16" s="50">
        <f>553028-392</f>
        <v>552636</v>
      </c>
      <c r="E16" s="51">
        <f>552038.21+2050</f>
        <v>554088.21</v>
      </c>
      <c r="F16" s="18">
        <f t="shared" ref="F16:F23" si="0">D16-E16</f>
        <v>-1452.2099999999627</v>
      </c>
      <c r="G16" s="16">
        <f t="shared" ref="G16:G23" si="1">G15+F16</f>
        <v>1097426.4300000002</v>
      </c>
      <c r="I16" s="73">
        <v>44743</v>
      </c>
      <c r="J16" s="74">
        <f>188449+3166+125740+263749+89974</f>
        <v>671078</v>
      </c>
      <c r="K16" s="75">
        <f>263749+188449+74068+52711+89974+4177-2050</f>
        <v>671078</v>
      </c>
      <c r="L16" s="76">
        <f t="shared" ref="L16:L23" si="2">J16-K16</f>
        <v>0</v>
      </c>
      <c r="M16" s="77">
        <f>L16</f>
        <v>0</v>
      </c>
    </row>
    <row r="17" spans="2:13" x14ac:dyDescent="0.2">
      <c r="B17" s="8">
        <v>3</v>
      </c>
      <c r="C17" s="19">
        <v>44774</v>
      </c>
      <c r="D17" s="52">
        <f>427145-31</f>
        <v>427114</v>
      </c>
      <c r="E17" s="53">
        <f>486326.05+1460</f>
        <v>487786.05</v>
      </c>
      <c r="F17" s="20">
        <f t="shared" si="0"/>
        <v>-60672.049999999988</v>
      </c>
      <c r="G17" s="21">
        <f t="shared" si="1"/>
        <v>1036754.3800000001</v>
      </c>
      <c r="I17" s="78">
        <v>44774</v>
      </c>
      <c r="J17" s="74">
        <f>156366+1821+109069+221522+73135</f>
        <v>561913</v>
      </c>
      <c r="K17" s="75">
        <f>221522+156366+61685+48016+73135+2649-1460</f>
        <v>561913</v>
      </c>
      <c r="L17" s="77">
        <f t="shared" si="2"/>
        <v>0</v>
      </c>
      <c r="M17" s="77">
        <f>M16+L17</f>
        <v>0</v>
      </c>
    </row>
    <row r="18" spans="2:13" x14ac:dyDescent="0.2">
      <c r="B18" s="8">
        <v>4</v>
      </c>
      <c r="C18" s="19">
        <v>44805</v>
      </c>
      <c r="D18" s="52">
        <f>297469-0</f>
        <v>297469</v>
      </c>
      <c r="E18" s="53">
        <f>171887.09+1227</f>
        <v>173114.09</v>
      </c>
      <c r="F18" s="20">
        <f t="shared" si="0"/>
        <v>124354.91</v>
      </c>
      <c r="G18" s="21">
        <f t="shared" si="1"/>
        <v>1161109.29</v>
      </c>
      <c r="I18" s="78">
        <v>44805</v>
      </c>
      <c r="J18" s="74">
        <f>112860+1882+88135+163576+66380</f>
        <v>432833</v>
      </c>
      <c r="K18" s="74">
        <f>163576+112860+49019+39686+66380+2539-1227</f>
        <v>432833</v>
      </c>
      <c r="L18" s="77">
        <f t="shared" si="2"/>
        <v>0</v>
      </c>
      <c r="M18" s="77">
        <f t="shared" ref="M18:M21" si="3">M17+L18</f>
        <v>0</v>
      </c>
    </row>
    <row r="19" spans="2:13" x14ac:dyDescent="0.2">
      <c r="B19" s="8">
        <v>5</v>
      </c>
      <c r="C19" s="19">
        <v>44835</v>
      </c>
      <c r="D19" s="52">
        <f>348981-300</f>
        <v>348681</v>
      </c>
      <c r="E19" s="53">
        <f>127565.7+1517</f>
        <v>129082.7</v>
      </c>
      <c r="F19" s="20">
        <f t="shared" si="0"/>
        <v>219598.3</v>
      </c>
      <c r="G19" s="21">
        <f t="shared" si="1"/>
        <v>1380707.59</v>
      </c>
      <c r="I19" s="78">
        <v>44835</v>
      </c>
      <c r="J19" s="74">
        <f>167579+29297+104267+212767+49039</f>
        <v>562949</v>
      </c>
      <c r="K19" s="74">
        <f>212767+167579+58770+46234+49039+30077-1517</f>
        <v>562949</v>
      </c>
      <c r="L19" s="77">
        <f t="shared" si="2"/>
        <v>0</v>
      </c>
      <c r="M19" s="77">
        <f t="shared" si="3"/>
        <v>0</v>
      </c>
    </row>
    <row r="20" spans="2:13" x14ac:dyDescent="0.2">
      <c r="B20" s="8">
        <v>6</v>
      </c>
      <c r="C20" s="19">
        <v>44866</v>
      </c>
      <c r="D20" s="52">
        <f>448868-336</f>
        <v>448532</v>
      </c>
      <c r="E20" s="53">
        <f>482322.83+888</f>
        <v>483210.83</v>
      </c>
      <c r="F20" s="20">
        <f t="shared" si="0"/>
        <v>-34678.830000000016</v>
      </c>
      <c r="G20" s="21">
        <f t="shared" si="1"/>
        <v>1346028.76</v>
      </c>
      <c r="I20" s="78">
        <v>44866</v>
      </c>
      <c r="J20" s="74">
        <f>168780+63680+93222+200366+41689</f>
        <v>567737</v>
      </c>
      <c r="K20" s="79">
        <f>200366+168780+46651+46594+41689+64545-888</f>
        <v>567737</v>
      </c>
      <c r="L20" s="77">
        <f t="shared" si="2"/>
        <v>0</v>
      </c>
      <c r="M20" s="77">
        <f t="shared" si="3"/>
        <v>0</v>
      </c>
    </row>
    <row r="21" spans="2:13" x14ac:dyDescent="0.2">
      <c r="B21" s="8">
        <v>7</v>
      </c>
      <c r="C21" s="19">
        <v>44896</v>
      </c>
      <c r="D21" s="52">
        <f>661627-360</f>
        <v>661267</v>
      </c>
      <c r="E21" s="53">
        <f>537072.56+949</f>
        <v>538021.56000000006</v>
      </c>
      <c r="F21" s="22">
        <f t="shared" si="0"/>
        <v>123245.43999999994</v>
      </c>
      <c r="G21" s="23">
        <f t="shared" si="1"/>
        <v>1469274.2</v>
      </c>
      <c r="I21" s="80">
        <v>44896</v>
      </c>
      <c r="J21" s="79">
        <f>186552+86936+98852+219800+9470</f>
        <v>601610</v>
      </c>
      <c r="K21" s="81">
        <f>219800+186552+52306+46570+9470+87861-949</f>
        <v>601610</v>
      </c>
      <c r="L21" s="82">
        <f t="shared" si="2"/>
        <v>0</v>
      </c>
      <c r="M21" s="82">
        <f t="shared" si="3"/>
        <v>0</v>
      </c>
    </row>
    <row r="22" spans="2:13" x14ac:dyDescent="0.2">
      <c r="B22" s="24" t="s">
        <v>28</v>
      </c>
      <c r="C22" s="17">
        <v>44927</v>
      </c>
      <c r="D22" s="50">
        <f>519023-312</f>
        <v>518711</v>
      </c>
      <c r="E22" s="51">
        <f>564361.99+824</f>
        <v>565185.99</v>
      </c>
      <c r="F22" s="18">
        <f t="shared" si="0"/>
        <v>-46474.989999999991</v>
      </c>
      <c r="G22" s="16">
        <f t="shared" si="1"/>
        <v>1422799.21</v>
      </c>
      <c r="I22" s="78">
        <v>44927</v>
      </c>
      <c r="J22" s="83">
        <f>192305+85621+105703+229480+26559</f>
        <v>639668</v>
      </c>
      <c r="K22" s="83">
        <f>229480+192305+57997+47727+26559+86424-824</f>
        <v>639668</v>
      </c>
      <c r="L22" s="77">
        <f t="shared" si="2"/>
        <v>0</v>
      </c>
      <c r="M22" s="77">
        <f>M21+L22</f>
        <v>0</v>
      </c>
    </row>
    <row r="23" spans="2:13" x14ac:dyDescent="0.2">
      <c r="B23" s="25" t="s">
        <v>29</v>
      </c>
      <c r="C23" s="26">
        <v>44958</v>
      </c>
      <c r="D23" s="54">
        <f>264272-209</f>
        <v>264063</v>
      </c>
      <c r="E23" s="55">
        <f>351368.83+552</f>
        <v>351920.83</v>
      </c>
      <c r="F23" s="22">
        <f t="shared" si="0"/>
        <v>-87857.830000000016</v>
      </c>
      <c r="G23" s="23">
        <f t="shared" si="1"/>
        <v>1334941.3799999999</v>
      </c>
      <c r="I23" s="80">
        <v>44958</v>
      </c>
      <c r="J23" s="81">
        <f>102749+32422+55508+126436+30121</f>
        <v>347236</v>
      </c>
      <c r="K23" s="81">
        <f>126436+102749+29052+26470+30121+32960-552</f>
        <v>347236</v>
      </c>
      <c r="L23" s="82">
        <f t="shared" si="2"/>
        <v>0</v>
      </c>
      <c r="M23" s="82">
        <f>M22+L23</f>
        <v>0</v>
      </c>
    </row>
    <row r="24" spans="2:13" x14ac:dyDescent="0.2">
      <c r="B24" s="9"/>
      <c r="C24" s="27" t="s">
        <v>65</v>
      </c>
      <c r="D24" s="28"/>
      <c r="E24" s="28"/>
      <c r="F24" s="28"/>
      <c r="G24" s="29"/>
      <c r="I24" s="84"/>
      <c r="J24" s="84"/>
      <c r="K24" s="84"/>
      <c r="L24" s="84"/>
      <c r="M24" s="84"/>
    </row>
    <row r="25" spans="2:13" x14ac:dyDescent="0.2">
      <c r="B25" s="6"/>
      <c r="C25" s="5"/>
      <c r="D25" s="5"/>
      <c r="E25" s="5"/>
      <c r="F25" s="5"/>
      <c r="G25" s="16"/>
      <c r="I25" s="85" t="s">
        <v>102</v>
      </c>
      <c r="J25" s="86"/>
      <c r="K25" s="86"/>
      <c r="L25" s="87"/>
      <c r="M25" s="88">
        <f>M21</f>
        <v>0</v>
      </c>
    </row>
    <row r="26" spans="2:13" x14ac:dyDescent="0.2">
      <c r="B26" s="8"/>
      <c r="C26" s="7"/>
      <c r="D26" s="8" t="s">
        <v>30</v>
      </c>
      <c r="E26" s="8" t="s">
        <v>31</v>
      </c>
      <c r="F26" s="7"/>
      <c r="G26" s="21"/>
      <c r="I26" s="84"/>
      <c r="J26" s="84"/>
      <c r="K26" s="84"/>
      <c r="L26" s="84"/>
      <c r="M26" s="89"/>
    </row>
    <row r="27" spans="2:13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  <c r="I27" s="85" t="s">
        <v>103</v>
      </c>
      <c r="J27" s="86"/>
      <c r="K27" s="86"/>
      <c r="L27" s="87"/>
      <c r="M27" s="88">
        <f>M25/6</f>
        <v>0</v>
      </c>
    </row>
    <row r="28" spans="2:13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13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13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13" x14ac:dyDescent="0.2">
      <c r="B31" s="24" t="s">
        <v>43</v>
      </c>
      <c r="C31" s="5" t="s">
        <v>82</v>
      </c>
      <c r="D31" s="16">
        <f>-G13</f>
        <v>-77867</v>
      </c>
      <c r="E31" s="16">
        <f>D62</f>
        <v>0</v>
      </c>
      <c r="F31" s="5"/>
      <c r="G31" s="16">
        <f>D31+E31</f>
        <v>-77867</v>
      </c>
    </row>
    <row r="32" spans="2:13" x14ac:dyDescent="0.2">
      <c r="B32" s="31" t="s">
        <v>44</v>
      </c>
      <c r="C32" s="32" t="s">
        <v>84</v>
      </c>
      <c r="D32" s="23">
        <f>-G14</f>
        <v>-1021011.6400000001</v>
      </c>
      <c r="E32" s="23">
        <v>0</v>
      </c>
      <c r="F32" s="32"/>
      <c r="G32" s="23">
        <f>D32+E32</f>
        <v>-1021011.6400000001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-1098878.6400000001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14">
        <f>G21+G33</f>
        <v>370395.55999999982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14">
        <f>G35/6</f>
        <v>61732.593333333301</v>
      </c>
    </row>
    <row r="39" spans="2:7" x14ac:dyDescent="0.2">
      <c r="B39" s="5"/>
      <c r="C39" s="39" t="s">
        <v>48</v>
      </c>
      <c r="D39" s="40"/>
      <c r="E39" s="40"/>
      <c r="F39" s="40"/>
      <c r="G39" s="41"/>
    </row>
    <row r="40" spans="2:7" x14ac:dyDescent="0.2">
      <c r="B40" s="5"/>
      <c r="C40" s="42"/>
      <c r="D40" s="42"/>
      <c r="E40" s="42"/>
      <c r="F40" s="42"/>
      <c r="G40" s="15"/>
    </row>
    <row r="41" spans="2:7" x14ac:dyDescent="0.2">
      <c r="B41" s="8">
        <v>11</v>
      </c>
      <c r="C41" t="s">
        <v>49</v>
      </c>
      <c r="G41" s="43">
        <f>G15</f>
        <v>1098878.6400000001</v>
      </c>
    </row>
    <row r="42" spans="2:7" x14ac:dyDescent="0.2">
      <c r="B42" s="8">
        <v>12</v>
      </c>
      <c r="C42" t="s">
        <v>50</v>
      </c>
      <c r="G42" s="44">
        <f>G33</f>
        <v>-1098878.6400000001</v>
      </c>
    </row>
    <row r="43" spans="2:7" x14ac:dyDescent="0.2">
      <c r="B43" s="8"/>
      <c r="G43" s="43"/>
    </row>
    <row r="44" spans="2:7" ht="15" thickBot="1" x14ac:dyDescent="0.25">
      <c r="B44" s="8">
        <v>13</v>
      </c>
      <c r="C44" t="s">
        <v>51</v>
      </c>
      <c r="G44" s="45">
        <f>G41+G42</f>
        <v>0</v>
      </c>
    </row>
    <row r="45" spans="2:7" ht="15" thickTop="1" x14ac:dyDescent="0.2">
      <c r="B45" s="8"/>
      <c r="G45" s="43"/>
    </row>
    <row r="46" spans="2:7" x14ac:dyDescent="0.2">
      <c r="B46" s="8">
        <v>14</v>
      </c>
      <c r="C46" t="s">
        <v>52</v>
      </c>
      <c r="G46" s="43">
        <f>G35</f>
        <v>370395.55999999982</v>
      </c>
    </row>
    <row r="47" spans="2:7" x14ac:dyDescent="0.2">
      <c r="B47" s="8"/>
      <c r="G47" s="43"/>
    </row>
    <row r="48" spans="2:7" x14ac:dyDescent="0.2">
      <c r="B48" s="8">
        <v>15</v>
      </c>
      <c r="C48" t="s">
        <v>53</v>
      </c>
      <c r="G48" s="44">
        <f>SUM(F16:F21)</f>
        <v>370395.56</v>
      </c>
    </row>
    <row r="49" spans="2:7" x14ac:dyDescent="0.2">
      <c r="B49" s="8"/>
      <c r="G49" s="43"/>
    </row>
    <row r="50" spans="2:7" ht="15" thickBot="1" x14ac:dyDescent="0.25">
      <c r="B50" s="8">
        <v>16</v>
      </c>
      <c r="C50" t="s">
        <v>54</v>
      </c>
      <c r="G50" s="45">
        <f>G46-G48</f>
        <v>0</v>
      </c>
    </row>
    <row r="51" spans="2:7" ht="15" thickTop="1" x14ac:dyDescent="0.2">
      <c r="B51" s="32"/>
      <c r="C51" s="46"/>
      <c r="D51" s="46"/>
      <c r="E51" s="46"/>
      <c r="F51" s="46"/>
      <c r="G51" s="47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90"/>
      <c r="G54" s="90"/>
    </row>
    <row r="55" spans="2:7" x14ac:dyDescent="0.2">
      <c r="B55" s="36"/>
      <c r="C55" s="9" t="s">
        <v>17</v>
      </c>
      <c r="D55" s="9" t="s">
        <v>104</v>
      </c>
      <c r="E55" s="31"/>
      <c r="F55" s="90"/>
      <c r="G55" s="90"/>
    </row>
    <row r="56" spans="2:7" x14ac:dyDescent="0.2">
      <c r="C56" s="17">
        <v>44743</v>
      </c>
      <c r="D56" s="91">
        <v>0</v>
      </c>
      <c r="E56" s="92"/>
      <c r="F56" s="93"/>
      <c r="G56" s="93"/>
    </row>
    <row r="57" spans="2:7" x14ac:dyDescent="0.2">
      <c r="C57" s="19">
        <v>44774</v>
      </c>
      <c r="D57" s="94">
        <v>0</v>
      </c>
      <c r="E57" s="92"/>
      <c r="F57" s="93"/>
      <c r="G57" s="93"/>
    </row>
    <row r="58" spans="2:7" x14ac:dyDescent="0.2">
      <c r="C58" s="19">
        <v>44805</v>
      </c>
      <c r="D58" s="94">
        <v>0</v>
      </c>
      <c r="E58" s="92"/>
      <c r="F58" s="93"/>
      <c r="G58" s="93"/>
    </row>
    <row r="59" spans="2:7" x14ac:dyDescent="0.2">
      <c r="C59" s="19">
        <v>44835</v>
      </c>
      <c r="D59" s="94">
        <v>0</v>
      </c>
      <c r="E59" s="92"/>
      <c r="F59" s="93"/>
      <c r="G59" s="93"/>
    </row>
    <row r="60" spans="2:7" x14ac:dyDescent="0.2">
      <c r="C60" s="19">
        <v>44866</v>
      </c>
      <c r="D60" s="94">
        <v>0</v>
      </c>
      <c r="E60" s="92"/>
      <c r="F60" s="93"/>
      <c r="G60" s="93"/>
    </row>
    <row r="61" spans="2:7" x14ac:dyDescent="0.2">
      <c r="C61" s="19">
        <v>44896</v>
      </c>
      <c r="D61" s="95">
        <v>0</v>
      </c>
      <c r="E61" s="92"/>
      <c r="F61" s="93"/>
      <c r="G61" s="93"/>
    </row>
    <row r="62" spans="2:7" x14ac:dyDescent="0.2">
      <c r="C62" s="48" t="s">
        <v>57</v>
      </c>
      <c r="D62" s="14">
        <f>SUM(D56:D61)</f>
        <v>0</v>
      </c>
      <c r="E62" s="20"/>
      <c r="F62" s="93"/>
      <c r="G62" s="93"/>
    </row>
  </sheetData>
  <mergeCells count="3">
    <mergeCell ref="B4:G5"/>
    <mergeCell ref="C12:G12"/>
    <mergeCell ref="I4:M5"/>
  </mergeCells>
  <pageMargins left="0.7" right="0.7" top="0.75" bottom="0.75" header="0.3" footer="0.3"/>
  <pageSetup scale="66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4"/>
  <sheetViews>
    <sheetView zoomScaleNormal="100" workbookViewId="0"/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ht="14.25" customHeight="1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ht="15.75" x14ac:dyDescent="0.25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  <c r="I10" s="65" t="s">
        <v>100</v>
      </c>
      <c r="J10" s="64"/>
      <c r="K10" s="64"/>
      <c r="L10" s="64"/>
      <c r="M10" s="64"/>
    </row>
    <row r="11" spans="1:13" ht="15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64"/>
      <c r="J11" s="64"/>
      <c r="K11" s="64"/>
      <c r="L11" s="64"/>
      <c r="M11" s="64"/>
    </row>
    <row r="12" spans="1:13" x14ac:dyDescent="0.2">
      <c r="B12" s="6">
        <v>1</v>
      </c>
      <c r="C12" s="103" t="s">
        <v>22</v>
      </c>
      <c r="D12" s="104"/>
      <c r="E12" s="104"/>
      <c r="F12" s="104"/>
      <c r="G12" s="105"/>
      <c r="I12" s="66"/>
      <c r="J12" s="66"/>
      <c r="K12" s="67" t="s">
        <v>7</v>
      </c>
      <c r="L12" s="66"/>
      <c r="M12" s="66"/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77867</v>
      </c>
      <c r="I13" s="68"/>
      <c r="J13" s="69" t="s">
        <v>8</v>
      </c>
      <c r="K13" s="69" t="s">
        <v>9</v>
      </c>
      <c r="L13" s="68"/>
      <c r="M13" s="68"/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49">
        <f>'A - 05-31-22'!G33</f>
        <v>1021011.6400000001</v>
      </c>
      <c r="I14" s="68"/>
      <c r="J14" s="69" t="s">
        <v>10</v>
      </c>
      <c r="K14" s="69" t="s">
        <v>11</v>
      </c>
      <c r="L14" s="69" t="s">
        <v>12</v>
      </c>
      <c r="M14" s="69" t="s">
        <v>13</v>
      </c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49">
        <f>'B - 11-30-22'!G35</f>
        <v>370395.55999999982</v>
      </c>
      <c r="I15" s="70"/>
      <c r="J15" s="70" t="s">
        <v>14</v>
      </c>
      <c r="K15" s="70" t="s">
        <v>14</v>
      </c>
      <c r="L15" s="70" t="s">
        <v>15</v>
      </c>
      <c r="M15" s="70" t="s">
        <v>15</v>
      </c>
    </row>
    <row r="16" spans="1:13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1469274.2</v>
      </c>
      <c r="I16" s="71" t="s">
        <v>17</v>
      </c>
      <c r="J16" s="72" t="s">
        <v>101</v>
      </c>
      <c r="K16" s="72" t="s">
        <v>18</v>
      </c>
      <c r="L16" s="72" t="s">
        <v>19</v>
      </c>
      <c r="M16" s="72" t="s">
        <v>20</v>
      </c>
    </row>
    <row r="17" spans="2:13" x14ac:dyDescent="0.2">
      <c r="B17" s="8">
        <v>2</v>
      </c>
      <c r="C17" s="17">
        <v>44927</v>
      </c>
      <c r="D17" s="50">
        <f>519023-312</f>
        <v>518711</v>
      </c>
      <c r="E17" s="51">
        <f>564361.99+824</f>
        <v>565185.99</v>
      </c>
      <c r="F17" s="18">
        <f t="shared" ref="F17:F24" si="0">D17-E17</f>
        <v>-46474.989999999991</v>
      </c>
      <c r="G17" s="16">
        <f t="shared" ref="G17:G24" si="1">G16+F17</f>
        <v>1422799.21</v>
      </c>
      <c r="I17" s="73">
        <v>44927</v>
      </c>
      <c r="J17" s="74">
        <f>192305+85621+105703+229480+26559</f>
        <v>639668</v>
      </c>
      <c r="K17" s="75">
        <f>229480+192305+57997+47727+26559+86424-824</f>
        <v>639668</v>
      </c>
      <c r="L17" s="76">
        <f t="shared" ref="L17:L24" si="2">J17-K17</f>
        <v>0</v>
      </c>
      <c r="M17" s="77">
        <f>L17</f>
        <v>0</v>
      </c>
    </row>
    <row r="18" spans="2:13" x14ac:dyDescent="0.2">
      <c r="B18" s="8">
        <v>3</v>
      </c>
      <c r="C18" s="19">
        <v>44958</v>
      </c>
      <c r="D18" s="52">
        <f>264272-209</f>
        <v>264063</v>
      </c>
      <c r="E18" s="53">
        <f>351368.83+552</f>
        <v>351920.83</v>
      </c>
      <c r="F18" s="20">
        <f t="shared" si="0"/>
        <v>-87857.830000000016</v>
      </c>
      <c r="G18" s="21">
        <f t="shared" si="1"/>
        <v>1334941.3799999999</v>
      </c>
      <c r="I18" s="78">
        <v>44958</v>
      </c>
      <c r="J18" s="74">
        <f>102749+32422+55508+126436+30121</f>
        <v>347236</v>
      </c>
      <c r="K18" s="75">
        <f>126436+102749+29052+26470+30121+32960-552</f>
        <v>347236</v>
      </c>
      <c r="L18" s="77">
        <f t="shared" si="2"/>
        <v>0</v>
      </c>
      <c r="M18" s="77">
        <f>M17+L18</f>
        <v>0</v>
      </c>
    </row>
    <row r="19" spans="2:13" x14ac:dyDescent="0.2">
      <c r="B19" s="8">
        <v>4</v>
      </c>
      <c r="C19" s="19">
        <v>44986</v>
      </c>
      <c r="D19" s="52">
        <f>341806-267</f>
        <v>341539</v>
      </c>
      <c r="E19" s="53">
        <v>-19385</v>
      </c>
      <c r="F19" s="20">
        <f t="shared" si="0"/>
        <v>360924</v>
      </c>
      <c r="G19" s="21">
        <f t="shared" si="1"/>
        <v>1695865.38</v>
      </c>
      <c r="I19" s="78">
        <v>44986</v>
      </c>
      <c r="J19" s="74">
        <v>438564</v>
      </c>
      <c r="K19" s="75">
        <v>438564</v>
      </c>
      <c r="L19" s="77">
        <f t="shared" si="2"/>
        <v>0</v>
      </c>
      <c r="M19" s="77">
        <f t="shared" ref="M19:M22" si="3">M18+L19</f>
        <v>0</v>
      </c>
    </row>
    <row r="20" spans="2:13" x14ac:dyDescent="0.2">
      <c r="B20" s="8">
        <v>5</v>
      </c>
      <c r="C20" s="19">
        <v>45017</v>
      </c>
      <c r="D20" s="52">
        <f>348558-366</f>
        <v>348192</v>
      </c>
      <c r="E20" s="53">
        <f>362235.48+957</f>
        <v>363192.48</v>
      </c>
      <c r="F20" s="20">
        <f t="shared" si="0"/>
        <v>-15000.479999999981</v>
      </c>
      <c r="G20" s="21">
        <f t="shared" si="1"/>
        <v>1680864.9</v>
      </c>
      <c r="I20" s="78">
        <v>45017</v>
      </c>
      <c r="J20" s="74">
        <f>157712+7095+89489+201341+80714</f>
        <v>536351</v>
      </c>
      <c r="K20" s="74">
        <f>201341+157712+43874+45640+80714+8027-957</f>
        <v>536351</v>
      </c>
      <c r="L20" s="77">
        <f t="shared" si="2"/>
        <v>0</v>
      </c>
      <c r="M20" s="77">
        <f t="shared" si="3"/>
        <v>0</v>
      </c>
    </row>
    <row r="21" spans="2:13" x14ac:dyDescent="0.2">
      <c r="B21" s="8">
        <v>6</v>
      </c>
      <c r="C21" s="19">
        <v>45047</v>
      </c>
      <c r="D21" s="52">
        <f>351292-357</f>
        <v>350935</v>
      </c>
      <c r="E21" s="53">
        <f>503401.1+931</f>
        <v>504332.1</v>
      </c>
      <c r="F21" s="20">
        <f t="shared" si="0"/>
        <v>-153397.09999999998</v>
      </c>
      <c r="G21" s="21">
        <f t="shared" si="1"/>
        <v>1527467.7999999998</v>
      </c>
      <c r="I21" s="78">
        <v>45047</v>
      </c>
      <c r="J21" s="74">
        <f>155472+4105+87522+212603+65942</f>
        <v>525644</v>
      </c>
      <c r="K21" s="79">
        <f>212603+155472+41005+46541+65942+5012-931</f>
        <v>525644</v>
      </c>
      <c r="L21" s="77">
        <f t="shared" si="2"/>
        <v>0</v>
      </c>
      <c r="M21" s="77">
        <f t="shared" si="3"/>
        <v>0</v>
      </c>
    </row>
    <row r="22" spans="2:13" x14ac:dyDescent="0.2">
      <c r="B22" s="8">
        <v>7</v>
      </c>
      <c r="C22" s="19">
        <v>45078</v>
      </c>
      <c r="D22" s="52">
        <f>396205-424</f>
        <v>395781</v>
      </c>
      <c r="E22" s="53">
        <f>451370.68+1099</f>
        <v>452469.68</v>
      </c>
      <c r="F22" s="22">
        <f t="shared" si="0"/>
        <v>-56688.679999999993</v>
      </c>
      <c r="G22" s="23">
        <f t="shared" si="1"/>
        <v>1470779.1199999999</v>
      </c>
      <c r="I22" s="80">
        <v>45078</v>
      </c>
      <c r="J22" s="79">
        <f>153289+4046+84650+213446+91458</f>
        <v>546889</v>
      </c>
      <c r="K22" s="81">
        <f>213446+153289+36020+48658+91458+5117-1099</f>
        <v>546889</v>
      </c>
      <c r="L22" s="82">
        <f t="shared" si="2"/>
        <v>0</v>
      </c>
      <c r="M22" s="82">
        <f t="shared" si="3"/>
        <v>0</v>
      </c>
    </row>
    <row r="23" spans="2:13" x14ac:dyDescent="0.2">
      <c r="B23" s="24" t="s">
        <v>28</v>
      </c>
      <c r="C23" s="17">
        <v>45108</v>
      </c>
      <c r="D23" s="50">
        <f>534968-439</f>
        <v>534529</v>
      </c>
      <c r="E23" s="51">
        <f>655793.64+1138</f>
        <v>656931.64</v>
      </c>
      <c r="F23" s="18">
        <f t="shared" si="0"/>
        <v>-122402.64000000001</v>
      </c>
      <c r="G23" s="16">
        <f t="shared" si="1"/>
        <v>1348376.48</v>
      </c>
      <c r="I23" s="78">
        <v>45108</v>
      </c>
      <c r="J23" s="83">
        <f>173822+4192+75520+259760+102893</f>
        <v>616187</v>
      </c>
      <c r="K23" s="83">
        <f>259760+173822+34960+40589+102893+5301-1138</f>
        <v>616187</v>
      </c>
      <c r="L23" s="77">
        <f t="shared" si="2"/>
        <v>0</v>
      </c>
      <c r="M23" s="77">
        <f>M22+L23</f>
        <v>0</v>
      </c>
    </row>
    <row r="24" spans="2:13" x14ac:dyDescent="0.2">
      <c r="B24" s="25" t="s">
        <v>29</v>
      </c>
      <c r="C24" s="26">
        <v>45139</v>
      </c>
      <c r="D24" s="54">
        <f>566010-0</f>
        <v>566010</v>
      </c>
      <c r="E24" s="55">
        <f>696473.88+2071</f>
        <v>698544.88</v>
      </c>
      <c r="F24" s="22">
        <f t="shared" si="0"/>
        <v>-132534.88</v>
      </c>
      <c r="G24" s="23">
        <f t="shared" si="1"/>
        <v>1215841.6000000001</v>
      </c>
      <c r="I24" s="80">
        <v>45139</v>
      </c>
      <c r="J24" s="81">
        <v>644835</v>
      </c>
      <c r="K24" s="81">
        <f>272461+187575+46030+48031+87887+4922-2071</f>
        <v>644835</v>
      </c>
      <c r="L24" s="82">
        <f t="shared" si="2"/>
        <v>0</v>
      </c>
      <c r="M24" s="82">
        <f>M23+L24</f>
        <v>0</v>
      </c>
    </row>
    <row r="25" spans="2:13" x14ac:dyDescent="0.2">
      <c r="B25" s="9"/>
      <c r="C25" s="27" t="s">
        <v>70</v>
      </c>
      <c r="D25" s="28"/>
      <c r="E25" s="28"/>
      <c r="F25" s="28"/>
      <c r="G25" s="29"/>
      <c r="I25" s="84"/>
      <c r="J25" s="84"/>
      <c r="K25" s="84"/>
      <c r="L25" s="84"/>
      <c r="M25" s="84"/>
    </row>
    <row r="26" spans="2:13" x14ac:dyDescent="0.2">
      <c r="B26" s="6"/>
      <c r="C26" s="5"/>
      <c r="D26" s="5"/>
      <c r="E26" s="5"/>
      <c r="F26" s="5"/>
      <c r="G26" s="16"/>
      <c r="I26" s="85" t="s">
        <v>102</v>
      </c>
      <c r="J26" s="86"/>
      <c r="K26" s="86"/>
      <c r="L26" s="87"/>
      <c r="M26" s="88">
        <f>M22</f>
        <v>0</v>
      </c>
    </row>
    <row r="27" spans="2:13" x14ac:dyDescent="0.2">
      <c r="B27" s="8"/>
      <c r="C27" s="7"/>
      <c r="D27" s="8" t="s">
        <v>30</v>
      </c>
      <c r="E27" s="8" t="s">
        <v>31</v>
      </c>
      <c r="F27" s="7"/>
      <c r="G27" s="21"/>
      <c r="I27" s="84"/>
      <c r="J27" s="84"/>
      <c r="K27" s="84"/>
      <c r="L27" s="84"/>
      <c r="M27" s="89"/>
    </row>
    <row r="28" spans="2:13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  <c r="I28" s="85" t="s">
        <v>103</v>
      </c>
      <c r="J28" s="86"/>
      <c r="K28" s="86"/>
      <c r="L28" s="87"/>
      <c r="M28" s="88">
        <f>M26/6</f>
        <v>0</v>
      </c>
    </row>
    <row r="29" spans="2:13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13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13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13" x14ac:dyDescent="0.2">
      <c r="B32" s="24" t="s">
        <v>43</v>
      </c>
      <c r="C32" s="5" t="s">
        <v>82</v>
      </c>
      <c r="D32" s="16">
        <f>-G13</f>
        <v>-77867</v>
      </c>
      <c r="E32" s="16">
        <f>D64</f>
        <v>0</v>
      </c>
      <c r="F32" s="5"/>
      <c r="G32" s="16">
        <f t="shared" ref="G32:G34" si="4">D32+E32</f>
        <v>-77867</v>
      </c>
    </row>
    <row r="33" spans="2:7" x14ac:dyDescent="0.2">
      <c r="B33" s="31" t="s">
        <v>44</v>
      </c>
      <c r="C33" s="57" t="s">
        <v>84</v>
      </c>
      <c r="D33" s="21">
        <f>-G14</f>
        <v>-1021011.6400000001</v>
      </c>
      <c r="E33" s="21">
        <v>0</v>
      </c>
      <c r="F33" s="7"/>
      <c r="G33" s="21">
        <f t="shared" si="4"/>
        <v>-1021011.6400000001</v>
      </c>
    </row>
    <row r="34" spans="2:7" x14ac:dyDescent="0.2">
      <c r="B34" s="31" t="s">
        <v>45</v>
      </c>
      <c r="C34" s="47" t="s">
        <v>87</v>
      </c>
      <c r="D34" s="23">
        <f>-G15</f>
        <v>-370395.55999999982</v>
      </c>
      <c r="E34" s="23">
        <v>0</v>
      </c>
      <c r="F34" s="32"/>
      <c r="G34" s="23">
        <f t="shared" si="4"/>
        <v>-370395.55999999982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-1469274.2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14">
        <f>G22+G35</f>
        <v>1504.9199999999255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14">
        <f>G37/6</f>
        <v>250.81999999998757</v>
      </c>
    </row>
    <row r="41" spans="2:7" x14ac:dyDescent="0.2">
      <c r="B41" s="5"/>
      <c r="C41" s="39" t="s">
        <v>48</v>
      </c>
      <c r="D41" s="40"/>
      <c r="E41" s="40"/>
      <c r="F41" s="40"/>
      <c r="G41" s="41"/>
    </row>
    <row r="42" spans="2:7" x14ac:dyDescent="0.2">
      <c r="B42" s="5"/>
      <c r="C42" s="42"/>
      <c r="D42" s="42"/>
      <c r="E42" s="42"/>
      <c r="F42" s="42"/>
      <c r="G42" s="15"/>
    </row>
    <row r="43" spans="2:7" x14ac:dyDescent="0.2">
      <c r="B43" s="8">
        <v>11</v>
      </c>
      <c r="C43" t="s">
        <v>49</v>
      </c>
      <c r="G43" s="43">
        <f>G16</f>
        <v>1469274.2</v>
      </c>
    </row>
    <row r="44" spans="2:7" x14ac:dyDescent="0.2">
      <c r="B44" s="8">
        <v>12</v>
      </c>
      <c r="C44" t="s">
        <v>50</v>
      </c>
      <c r="G44" s="44">
        <f>G35</f>
        <v>-1469274.2</v>
      </c>
    </row>
    <row r="45" spans="2:7" x14ac:dyDescent="0.2">
      <c r="B45" s="8"/>
      <c r="G45" s="43"/>
    </row>
    <row r="46" spans="2:7" ht="15" thickBot="1" x14ac:dyDescent="0.25">
      <c r="B46" s="8">
        <v>13</v>
      </c>
      <c r="C46" t="s">
        <v>51</v>
      </c>
      <c r="G46" s="45">
        <f>G43+G44</f>
        <v>0</v>
      </c>
    </row>
    <row r="47" spans="2:7" ht="15" thickTop="1" x14ac:dyDescent="0.2">
      <c r="B47" s="8"/>
      <c r="G47" s="43"/>
    </row>
    <row r="48" spans="2:7" x14ac:dyDescent="0.2">
      <c r="B48" s="8">
        <v>14</v>
      </c>
      <c r="C48" t="s">
        <v>52</v>
      </c>
      <c r="G48" s="43">
        <f>G37</f>
        <v>1504.9199999999255</v>
      </c>
    </row>
    <row r="49" spans="2:7" x14ac:dyDescent="0.2">
      <c r="B49" s="8"/>
      <c r="G49" s="43"/>
    </row>
    <row r="50" spans="2:7" x14ac:dyDescent="0.2">
      <c r="B50" s="8">
        <v>15</v>
      </c>
      <c r="C50" t="s">
        <v>53</v>
      </c>
      <c r="G50" s="44">
        <f>SUM(F17:F22)</f>
        <v>1504.9200000000419</v>
      </c>
    </row>
    <row r="51" spans="2:7" x14ac:dyDescent="0.2">
      <c r="B51" s="8"/>
      <c r="G51" s="43"/>
    </row>
    <row r="52" spans="2:7" ht="15" thickBot="1" x14ac:dyDescent="0.25">
      <c r="B52" s="8">
        <v>16</v>
      </c>
      <c r="C52" t="s">
        <v>54</v>
      </c>
      <c r="G52" s="45">
        <f>G48-G50</f>
        <v>-1.1641532182693481E-10</v>
      </c>
    </row>
    <row r="53" spans="2:7" ht="15" thickTop="1" x14ac:dyDescent="0.2">
      <c r="B53" s="32"/>
      <c r="C53" s="46"/>
      <c r="D53" s="46"/>
      <c r="E53" s="46"/>
      <c r="F53" s="46"/>
      <c r="G53" s="47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90"/>
      <c r="G56" s="90"/>
    </row>
    <row r="57" spans="2:7" x14ac:dyDescent="0.2">
      <c r="B57" s="36"/>
      <c r="C57" s="9" t="s">
        <v>17</v>
      </c>
      <c r="D57" s="9" t="s">
        <v>104</v>
      </c>
      <c r="E57" s="31"/>
      <c r="F57" s="90"/>
      <c r="G57" s="90"/>
    </row>
    <row r="58" spans="2:7" x14ac:dyDescent="0.2">
      <c r="C58" s="17">
        <v>44927</v>
      </c>
      <c r="D58" s="91">
        <v>0</v>
      </c>
      <c r="E58" s="92"/>
      <c r="F58" s="93"/>
      <c r="G58" s="93"/>
    </row>
    <row r="59" spans="2:7" x14ac:dyDescent="0.2">
      <c r="C59" s="19">
        <v>44958</v>
      </c>
      <c r="D59" s="94">
        <v>0</v>
      </c>
      <c r="E59" s="92"/>
      <c r="F59" s="93"/>
      <c r="G59" s="93"/>
    </row>
    <row r="60" spans="2:7" x14ac:dyDescent="0.2">
      <c r="C60" s="19">
        <v>44986</v>
      </c>
      <c r="D60" s="94">
        <v>0</v>
      </c>
      <c r="E60" s="92"/>
      <c r="F60" s="93"/>
      <c r="G60" s="93"/>
    </row>
    <row r="61" spans="2:7" x14ac:dyDescent="0.2">
      <c r="C61" s="19">
        <v>45017</v>
      </c>
      <c r="D61" s="94">
        <v>0</v>
      </c>
      <c r="E61" s="92"/>
      <c r="F61" s="93"/>
      <c r="G61" s="93"/>
    </row>
    <row r="62" spans="2:7" x14ac:dyDescent="0.2">
      <c r="C62" s="19">
        <v>45047</v>
      </c>
      <c r="D62" s="94">
        <v>0</v>
      </c>
      <c r="E62" s="92"/>
      <c r="F62" s="93"/>
      <c r="G62" s="93"/>
    </row>
    <row r="63" spans="2:7" x14ac:dyDescent="0.2">
      <c r="C63" s="19">
        <v>45078</v>
      </c>
      <c r="D63" s="95">
        <v>0</v>
      </c>
      <c r="E63" s="92"/>
      <c r="F63" s="93"/>
      <c r="G63" s="93"/>
    </row>
    <row r="64" spans="2:7" x14ac:dyDescent="0.2">
      <c r="C64" s="48" t="s">
        <v>57</v>
      </c>
      <c r="D64" s="14">
        <f>SUM(D58:D63)</f>
        <v>0</v>
      </c>
      <c r="E64" s="20"/>
      <c r="F64" s="93"/>
      <c r="G64" s="93"/>
    </row>
  </sheetData>
  <mergeCells count="3">
    <mergeCell ref="B4:G5"/>
    <mergeCell ref="C12:G12"/>
    <mergeCell ref="I4:M5"/>
  </mergeCells>
  <pageMargins left="0.7" right="0.7" top="0.75" bottom="0.75" header="0.3" footer="0.3"/>
  <pageSetup scale="66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6"/>
  <sheetViews>
    <sheetView zoomScaleNormal="100"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ht="15.75" x14ac:dyDescent="0.25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I11" s="65" t="s">
        <v>100</v>
      </c>
      <c r="J11" s="64"/>
      <c r="K11" s="64"/>
      <c r="L11" s="64"/>
      <c r="M11" s="64"/>
    </row>
    <row r="12" spans="1:13" ht="15" x14ac:dyDescent="0.2">
      <c r="B12" s="6">
        <v>1</v>
      </c>
      <c r="C12" s="103" t="s">
        <v>22</v>
      </c>
      <c r="D12" s="104"/>
      <c r="E12" s="104"/>
      <c r="F12" s="104"/>
      <c r="G12" s="105"/>
      <c r="I12" s="64"/>
      <c r="J12" s="64"/>
      <c r="K12" s="64"/>
      <c r="L12" s="64"/>
      <c r="M12" s="64"/>
    </row>
    <row r="13" spans="1:13" x14ac:dyDescent="0.2">
      <c r="B13" s="6" t="s">
        <v>23</v>
      </c>
      <c r="C13" s="12" t="s">
        <v>80</v>
      </c>
      <c r="D13" s="12"/>
      <c r="E13" s="12"/>
      <c r="F13" s="13"/>
      <c r="G13" s="14">
        <v>77867</v>
      </c>
      <c r="I13" s="66"/>
      <c r="J13" s="66"/>
      <c r="K13" s="67" t="s">
        <v>7</v>
      </c>
      <c r="L13" s="66"/>
      <c r="M13" s="66"/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49">
        <f>'A - 05-31-22'!G33</f>
        <v>1021011.6400000001</v>
      </c>
      <c r="I14" s="68"/>
      <c r="J14" s="69" t="s">
        <v>8</v>
      </c>
      <c r="K14" s="69" t="s">
        <v>9</v>
      </c>
      <c r="L14" s="68"/>
      <c r="M14" s="68"/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49">
        <f>'B - 11-30-22'!G35</f>
        <v>370395.55999999982</v>
      </c>
      <c r="I15" s="68"/>
      <c r="J15" s="69" t="s">
        <v>10</v>
      </c>
      <c r="K15" s="69" t="s">
        <v>11</v>
      </c>
      <c r="L15" s="69" t="s">
        <v>12</v>
      </c>
      <c r="M15" s="69" t="s">
        <v>13</v>
      </c>
    </row>
    <row r="16" spans="1:13" x14ac:dyDescent="0.2">
      <c r="B16" s="8" t="s">
        <v>26</v>
      </c>
      <c r="C16" s="12" t="s">
        <v>89</v>
      </c>
      <c r="D16" s="12"/>
      <c r="E16" s="12"/>
      <c r="F16" s="15"/>
      <c r="G16" s="50">
        <f>'C - 05-31-23'!G37</f>
        <v>1504.9199999999255</v>
      </c>
      <c r="I16" s="70"/>
      <c r="J16" s="70" t="s">
        <v>14</v>
      </c>
      <c r="K16" s="70" t="s">
        <v>14</v>
      </c>
      <c r="L16" s="70" t="s">
        <v>15</v>
      </c>
      <c r="M16" s="70" t="s">
        <v>15</v>
      </c>
    </row>
    <row r="17" spans="2:13" x14ac:dyDescent="0.2">
      <c r="B17" s="9" t="s">
        <v>58</v>
      </c>
      <c r="C17" s="12" t="s">
        <v>27</v>
      </c>
      <c r="D17" s="12"/>
      <c r="E17" s="12"/>
      <c r="F17" s="15"/>
      <c r="G17" s="16">
        <f>G13+G14+G15+G16</f>
        <v>1470779.1199999999</v>
      </c>
      <c r="I17" s="71" t="s">
        <v>17</v>
      </c>
      <c r="J17" s="72" t="s">
        <v>101</v>
      </c>
      <c r="K17" s="72" t="s">
        <v>18</v>
      </c>
      <c r="L17" s="72" t="s">
        <v>19</v>
      </c>
      <c r="M17" s="72" t="s">
        <v>20</v>
      </c>
    </row>
    <row r="18" spans="2:13" x14ac:dyDescent="0.2">
      <c r="B18" s="8">
        <v>2</v>
      </c>
      <c r="C18" s="17">
        <v>45108</v>
      </c>
      <c r="D18" s="50">
        <f>534968-439</f>
        <v>534529</v>
      </c>
      <c r="E18" s="51">
        <f>655793.64+1138</f>
        <v>656931.64</v>
      </c>
      <c r="F18" s="18">
        <f t="shared" ref="F18:F25" si="0">D18-E18</f>
        <v>-122402.64000000001</v>
      </c>
      <c r="G18" s="16">
        <f t="shared" ref="G18:G25" si="1">G17+F18</f>
        <v>1348376.48</v>
      </c>
      <c r="I18" s="73">
        <v>45108</v>
      </c>
      <c r="J18" s="74">
        <f>173822+4192+75520+259760+102893</f>
        <v>616187</v>
      </c>
      <c r="K18" s="75">
        <f>259760+173822+34960+40589+102893+5301-1138</f>
        <v>616187</v>
      </c>
      <c r="L18" s="76">
        <f t="shared" ref="L18:L25" si="2">J18-K18</f>
        <v>0</v>
      </c>
      <c r="M18" s="77">
        <f>L18</f>
        <v>0</v>
      </c>
    </row>
    <row r="19" spans="2:13" x14ac:dyDescent="0.2">
      <c r="B19" s="8">
        <v>3</v>
      </c>
      <c r="C19" s="19">
        <v>45139</v>
      </c>
      <c r="D19" s="52">
        <f>566010-0</f>
        <v>566010</v>
      </c>
      <c r="E19" s="53">
        <f>696473.88+2071</f>
        <v>698544.88</v>
      </c>
      <c r="F19" s="20">
        <f t="shared" si="0"/>
        <v>-132534.88</v>
      </c>
      <c r="G19" s="21">
        <f t="shared" si="1"/>
        <v>1215841.6000000001</v>
      </c>
      <c r="I19" s="78">
        <v>45139</v>
      </c>
      <c r="J19" s="74">
        <f>187575+3812+93100+272461+87887</f>
        <v>644835</v>
      </c>
      <c r="K19" s="75">
        <f>272461+187575+46030+48031+87887+4922-2071</f>
        <v>644835</v>
      </c>
      <c r="L19" s="77">
        <f t="shared" si="2"/>
        <v>0</v>
      </c>
      <c r="M19" s="77">
        <f>M18+L19</f>
        <v>0</v>
      </c>
    </row>
    <row r="20" spans="2:13" x14ac:dyDescent="0.2">
      <c r="B20" s="8">
        <v>4</v>
      </c>
      <c r="C20" s="19">
        <v>45170</v>
      </c>
      <c r="D20" s="52">
        <f>369253-0</f>
        <v>369253</v>
      </c>
      <c r="E20" s="53">
        <f>546306.57+1606</f>
        <v>547912.56999999995</v>
      </c>
      <c r="F20" s="20">
        <f t="shared" si="0"/>
        <v>-178659.56999999995</v>
      </c>
      <c r="G20" s="21">
        <f t="shared" si="1"/>
        <v>1037182.0300000001</v>
      </c>
      <c r="I20" s="78">
        <v>45170</v>
      </c>
      <c r="J20" s="74">
        <f>114189+2748+75883+164100+61825</f>
        <v>418745</v>
      </c>
      <c r="K20" s="74">
        <f>164100+114189+42959+33662+61825+3616-1606</f>
        <v>418745</v>
      </c>
      <c r="L20" s="77">
        <f t="shared" si="2"/>
        <v>0</v>
      </c>
      <c r="M20" s="77">
        <f t="shared" ref="M20:M23" si="3">M19+L20</f>
        <v>0</v>
      </c>
    </row>
    <row r="21" spans="2:13" x14ac:dyDescent="0.2">
      <c r="B21" s="8">
        <v>5</v>
      </c>
      <c r="C21" s="19">
        <v>45200</v>
      </c>
      <c r="D21" s="52">
        <f>337010-339</f>
        <v>336671</v>
      </c>
      <c r="E21" s="53">
        <f>264646.5+1315</f>
        <v>265961.5</v>
      </c>
      <c r="F21" s="20">
        <f t="shared" si="0"/>
        <v>70709.5</v>
      </c>
      <c r="G21" s="21">
        <f t="shared" si="1"/>
        <v>1107891.5300000003</v>
      </c>
      <c r="I21" s="78">
        <v>45200</v>
      </c>
      <c r="J21" s="74">
        <f>155781+30002+71569+209597+56818</f>
        <v>523767</v>
      </c>
      <c r="K21" s="74">
        <f>209597+155781+36391+35646+56818+30849-1315</f>
        <v>523767</v>
      </c>
      <c r="L21" s="77">
        <f t="shared" si="2"/>
        <v>0</v>
      </c>
      <c r="M21" s="77">
        <f t="shared" si="3"/>
        <v>0</v>
      </c>
    </row>
    <row r="22" spans="2:13" x14ac:dyDescent="0.2">
      <c r="B22" s="8">
        <v>6</v>
      </c>
      <c r="C22" s="19">
        <v>45231</v>
      </c>
      <c r="D22" s="52">
        <f>494614-400</f>
        <v>494214</v>
      </c>
      <c r="E22" s="53">
        <f>513315.82+1027</f>
        <v>514342.82</v>
      </c>
      <c r="F22" s="20">
        <f t="shared" si="0"/>
        <v>-20128.820000000007</v>
      </c>
      <c r="G22" s="21">
        <f t="shared" si="1"/>
        <v>1087762.7100000002</v>
      </c>
      <c r="I22" s="78">
        <v>45231</v>
      </c>
      <c r="J22" s="74">
        <f>175265+62118+72503+216787+83391</f>
        <v>610064</v>
      </c>
      <c r="K22" s="79">
        <f>216787+175265+35625+36904+83391+63119-1027</f>
        <v>610064</v>
      </c>
      <c r="L22" s="77">
        <f t="shared" si="2"/>
        <v>0</v>
      </c>
      <c r="M22" s="77">
        <f t="shared" si="3"/>
        <v>0</v>
      </c>
    </row>
    <row r="23" spans="2:13" x14ac:dyDescent="0.2">
      <c r="B23" s="8">
        <v>7</v>
      </c>
      <c r="C23" s="19">
        <v>45261</v>
      </c>
      <c r="D23" s="52">
        <f>528906-413</f>
        <v>528493</v>
      </c>
      <c r="E23" s="53">
        <f>633610.05+1055</f>
        <v>634665.05000000005</v>
      </c>
      <c r="F23" s="22">
        <f t="shared" si="0"/>
        <v>-106172.05000000005</v>
      </c>
      <c r="G23" s="23">
        <f t="shared" si="1"/>
        <v>981590.66000000015</v>
      </c>
      <c r="I23" s="80">
        <v>45261</v>
      </c>
      <c r="J23" s="79">
        <f>186582+73536+76099+231788+92277</f>
        <v>660282</v>
      </c>
      <c r="K23" s="81">
        <f>231788+186582+41689+34437+92277+74564-1055</f>
        <v>660282</v>
      </c>
      <c r="L23" s="82">
        <f t="shared" si="2"/>
        <v>0</v>
      </c>
      <c r="M23" s="82">
        <f t="shared" si="3"/>
        <v>0</v>
      </c>
    </row>
    <row r="24" spans="2:13" x14ac:dyDescent="0.2">
      <c r="B24" s="24" t="s">
        <v>28</v>
      </c>
      <c r="C24" s="17">
        <v>45292</v>
      </c>
      <c r="D24" s="50">
        <f>666232-384</f>
        <v>665848</v>
      </c>
      <c r="E24" s="51">
        <f>682693.34+1610</f>
        <v>684303.34</v>
      </c>
      <c r="F24" s="18">
        <f t="shared" si="0"/>
        <v>-18455.339999999967</v>
      </c>
      <c r="G24" s="16">
        <f t="shared" si="1"/>
        <v>963135.32000000018</v>
      </c>
      <c r="I24" s="78">
        <v>45292</v>
      </c>
      <c r="J24" s="83">
        <f>191289+78133+75611+222872+73157</f>
        <v>641062</v>
      </c>
      <c r="K24" s="83">
        <f>222872+191289+40056+36215+73157+79083-1610</f>
        <v>641062</v>
      </c>
      <c r="L24" s="77">
        <f t="shared" si="2"/>
        <v>0</v>
      </c>
      <c r="M24" s="77">
        <f>M23+L24</f>
        <v>0</v>
      </c>
    </row>
    <row r="25" spans="2:13" x14ac:dyDescent="0.2">
      <c r="B25" s="25" t="s">
        <v>29</v>
      </c>
      <c r="C25" s="26">
        <v>45323</v>
      </c>
      <c r="D25" s="54">
        <f>401007-356</f>
        <v>400651</v>
      </c>
      <c r="E25" s="55">
        <f>379679.73+1090</f>
        <v>380769.73</v>
      </c>
      <c r="F25" s="22">
        <f t="shared" si="0"/>
        <v>19881.270000000019</v>
      </c>
      <c r="G25" s="23">
        <f t="shared" si="1"/>
        <v>983016.5900000002</v>
      </c>
      <c r="I25" s="80">
        <v>45323</v>
      </c>
      <c r="J25" s="81">
        <f>163576+42845+124561+209147+62775</f>
        <v>602904</v>
      </c>
      <c r="K25" s="81">
        <f>209147+163576+28103+96671+62775+43722-1090</f>
        <v>602904</v>
      </c>
      <c r="L25" s="82">
        <f t="shared" si="2"/>
        <v>0</v>
      </c>
      <c r="M25" s="82">
        <f>M24+L25</f>
        <v>0</v>
      </c>
    </row>
    <row r="26" spans="2:13" x14ac:dyDescent="0.2">
      <c r="B26" s="9"/>
      <c r="C26" s="27" t="s">
        <v>74</v>
      </c>
      <c r="D26" s="28"/>
      <c r="E26" s="28"/>
      <c r="F26" s="28"/>
      <c r="G26" s="29"/>
      <c r="I26" s="84"/>
      <c r="J26" s="84"/>
      <c r="K26" s="84"/>
      <c r="L26" s="84"/>
      <c r="M26" s="84"/>
    </row>
    <row r="27" spans="2:13" x14ac:dyDescent="0.2">
      <c r="B27" s="6"/>
      <c r="C27" s="5"/>
      <c r="D27" s="5"/>
      <c r="E27" s="5"/>
      <c r="F27" s="5"/>
      <c r="G27" s="16"/>
      <c r="I27" s="85" t="s">
        <v>102</v>
      </c>
      <c r="J27" s="86"/>
      <c r="K27" s="86"/>
      <c r="L27" s="87"/>
      <c r="M27" s="88">
        <f>M23</f>
        <v>0</v>
      </c>
    </row>
    <row r="28" spans="2:13" x14ac:dyDescent="0.2">
      <c r="B28" s="8"/>
      <c r="C28" s="7"/>
      <c r="D28" s="8" t="s">
        <v>30</v>
      </c>
      <c r="E28" s="8" t="s">
        <v>31</v>
      </c>
      <c r="F28" s="7"/>
      <c r="G28" s="21"/>
      <c r="I28" s="84"/>
      <c r="J28" s="84"/>
      <c r="K28" s="84"/>
      <c r="L28" s="84"/>
      <c r="M28" s="89"/>
    </row>
    <row r="29" spans="2:13" x14ac:dyDescent="0.2"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  <c r="I29" s="85" t="s">
        <v>103</v>
      </c>
      <c r="J29" s="86"/>
      <c r="K29" s="86"/>
      <c r="L29" s="87"/>
      <c r="M29" s="88">
        <f>M27/6</f>
        <v>0</v>
      </c>
    </row>
    <row r="30" spans="2:13" x14ac:dyDescent="0.2"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2:13" x14ac:dyDescent="0.2"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2:13" x14ac:dyDescent="0.2"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2:7" x14ac:dyDescent="0.2">
      <c r="B33" s="24" t="s">
        <v>43</v>
      </c>
      <c r="C33" s="58" t="s">
        <v>90</v>
      </c>
      <c r="D33" s="59">
        <f>-G13</f>
        <v>-77867</v>
      </c>
      <c r="E33" s="59">
        <f>D66</f>
        <v>0</v>
      </c>
      <c r="F33" s="42"/>
      <c r="G33" s="60">
        <f t="shared" ref="G33:G36" si="4">D33+E33</f>
        <v>-77867</v>
      </c>
    </row>
    <row r="34" spans="2:7" x14ac:dyDescent="0.2">
      <c r="B34" s="31" t="s">
        <v>44</v>
      </c>
      <c r="C34" s="61" t="s">
        <v>84</v>
      </c>
      <c r="D34" s="37">
        <f>-G14</f>
        <v>-1021011.6400000001</v>
      </c>
      <c r="E34" s="37">
        <v>0</v>
      </c>
      <c r="G34" s="43">
        <f t="shared" si="4"/>
        <v>-1021011.6400000001</v>
      </c>
    </row>
    <row r="35" spans="2:7" x14ac:dyDescent="0.2">
      <c r="B35" s="31" t="s">
        <v>45</v>
      </c>
      <c r="C35" s="61" t="s">
        <v>87</v>
      </c>
      <c r="D35" s="37">
        <f>-G15</f>
        <v>-370395.55999999982</v>
      </c>
      <c r="E35" s="37">
        <v>0</v>
      </c>
      <c r="G35" s="43">
        <f t="shared" si="4"/>
        <v>-370395.55999999982</v>
      </c>
    </row>
    <row r="36" spans="2:7" x14ac:dyDescent="0.2">
      <c r="B36" s="31" t="s">
        <v>46</v>
      </c>
      <c r="C36" s="62" t="s">
        <v>91</v>
      </c>
      <c r="D36" s="63">
        <f>-G16</f>
        <v>-1504.9199999999255</v>
      </c>
      <c r="E36" s="63">
        <v>0</v>
      </c>
      <c r="F36" s="46"/>
      <c r="G36" s="44">
        <f t="shared" si="4"/>
        <v>-1504.9199999999255</v>
      </c>
    </row>
    <row r="37" spans="2:7" x14ac:dyDescent="0.2">
      <c r="B37" s="9" t="s">
        <v>59</v>
      </c>
      <c r="C37" s="33"/>
      <c r="D37" s="34"/>
      <c r="E37" s="34"/>
      <c r="F37" s="35" t="s">
        <v>47</v>
      </c>
      <c r="G37" s="23">
        <f>G33+G34+G35+G36</f>
        <v>-1470779.1199999999</v>
      </c>
    </row>
    <row r="38" spans="2:7" x14ac:dyDescent="0.2">
      <c r="B38" s="36"/>
      <c r="G38" s="37"/>
    </row>
    <row r="39" spans="2:7" x14ac:dyDescent="0.2">
      <c r="B39" s="10">
        <v>9</v>
      </c>
      <c r="C39" s="38" t="s">
        <v>60</v>
      </c>
      <c r="D39" s="12"/>
      <c r="E39" s="12"/>
      <c r="F39" s="13"/>
      <c r="G39" s="14">
        <f>G23+G37</f>
        <v>-489188.45999999973</v>
      </c>
    </row>
    <row r="40" spans="2:7" x14ac:dyDescent="0.2">
      <c r="B40" s="36"/>
      <c r="G40" s="37"/>
    </row>
    <row r="41" spans="2:7" x14ac:dyDescent="0.2">
      <c r="B41" s="10">
        <v>10</v>
      </c>
      <c r="C41" s="38" t="s">
        <v>62</v>
      </c>
      <c r="D41" s="12"/>
      <c r="E41" s="12"/>
      <c r="F41" s="13"/>
      <c r="G41" s="14">
        <f>G39/6</f>
        <v>-81531.40999999996</v>
      </c>
    </row>
    <row r="43" spans="2:7" x14ac:dyDescent="0.2">
      <c r="B43" s="5"/>
      <c r="C43" s="39" t="s">
        <v>48</v>
      </c>
      <c r="D43" s="40"/>
      <c r="E43" s="40"/>
      <c r="F43" s="40"/>
      <c r="G43" s="41"/>
    </row>
    <row r="44" spans="2:7" x14ac:dyDescent="0.2">
      <c r="B44" s="5"/>
      <c r="C44" s="42"/>
      <c r="D44" s="42"/>
      <c r="E44" s="42"/>
      <c r="F44" s="42"/>
      <c r="G44" s="15"/>
    </row>
    <row r="45" spans="2:7" x14ac:dyDescent="0.2">
      <c r="B45" s="8">
        <v>11</v>
      </c>
      <c r="C45" t="s">
        <v>49</v>
      </c>
      <c r="G45" s="43">
        <f>G17</f>
        <v>1470779.1199999999</v>
      </c>
    </row>
    <row r="46" spans="2:7" x14ac:dyDescent="0.2">
      <c r="B46" s="8">
        <v>12</v>
      </c>
      <c r="C46" t="s">
        <v>50</v>
      </c>
      <c r="G46" s="44">
        <f>G37</f>
        <v>-1470779.1199999999</v>
      </c>
    </row>
    <row r="47" spans="2:7" x14ac:dyDescent="0.2">
      <c r="B47" s="8"/>
      <c r="G47" s="43"/>
    </row>
    <row r="48" spans="2:7" ht="15" thickBot="1" x14ac:dyDescent="0.25">
      <c r="B48" s="8">
        <v>13</v>
      </c>
      <c r="C48" t="s">
        <v>51</v>
      </c>
      <c r="G48" s="45">
        <f>G45+G46</f>
        <v>0</v>
      </c>
    </row>
    <row r="49" spans="2:7" ht="15" thickTop="1" x14ac:dyDescent="0.2">
      <c r="B49" s="8"/>
      <c r="G49" s="43"/>
    </row>
    <row r="50" spans="2:7" x14ac:dyDescent="0.2">
      <c r="B50" s="8">
        <v>14</v>
      </c>
      <c r="C50" t="s">
        <v>52</v>
      </c>
      <c r="G50" s="43">
        <f>G39</f>
        <v>-489188.45999999973</v>
      </c>
    </row>
    <row r="51" spans="2:7" x14ac:dyDescent="0.2">
      <c r="B51" s="8"/>
      <c r="G51" s="43"/>
    </row>
    <row r="52" spans="2:7" x14ac:dyDescent="0.2">
      <c r="B52" s="8">
        <v>15</v>
      </c>
      <c r="C52" t="s">
        <v>53</v>
      </c>
      <c r="G52" s="44">
        <f>SUM(F18:F23)</f>
        <v>-489188.46</v>
      </c>
    </row>
    <row r="53" spans="2:7" x14ac:dyDescent="0.2">
      <c r="B53" s="8"/>
      <c r="G53" s="43"/>
    </row>
    <row r="54" spans="2:7" ht="15" thickBot="1" x14ac:dyDescent="0.25">
      <c r="B54" s="8">
        <v>16</v>
      </c>
      <c r="C54" t="s">
        <v>54</v>
      </c>
      <c r="G54" s="45">
        <f>G50-G52</f>
        <v>0</v>
      </c>
    </row>
    <row r="55" spans="2:7" ht="15" thickTop="1" x14ac:dyDescent="0.2">
      <c r="B55" s="32"/>
      <c r="C55" s="46"/>
      <c r="D55" s="46"/>
      <c r="E55" s="46"/>
      <c r="F55" s="46"/>
      <c r="G55" s="47"/>
    </row>
    <row r="57" spans="2:7" x14ac:dyDescent="0.2">
      <c r="B57" t="s">
        <v>55</v>
      </c>
    </row>
    <row r="58" spans="2:7" x14ac:dyDescent="0.2">
      <c r="B58" s="36"/>
      <c r="C58" s="5"/>
      <c r="D58" s="6" t="s">
        <v>56</v>
      </c>
      <c r="E58" s="31"/>
      <c r="F58" s="90"/>
      <c r="G58" s="90"/>
    </row>
    <row r="59" spans="2:7" x14ac:dyDescent="0.2">
      <c r="B59" s="36"/>
      <c r="C59" s="9" t="s">
        <v>17</v>
      </c>
      <c r="D59" s="9" t="s">
        <v>104</v>
      </c>
      <c r="E59" s="31"/>
      <c r="F59" s="90"/>
      <c r="G59" s="90"/>
    </row>
    <row r="60" spans="2:7" x14ac:dyDescent="0.2">
      <c r="C60" s="17">
        <v>45108</v>
      </c>
      <c r="D60" s="91">
        <v>0</v>
      </c>
      <c r="E60" s="92"/>
      <c r="F60" s="93"/>
      <c r="G60" s="93"/>
    </row>
    <row r="61" spans="2:7" x14ac:dyDescent="0.2">
      <c r="C61" s="19">
        <v>45139</v>
      </c>
      <c r="D61" s="94">
        <v>0</v>
      </c>
      <c r="E61" s="92"/>
      <c r="F61" s="93"/>
      <c r="G61" s="93"/>
    </row>
    <row r="62" spans="2:7" x14ac:dyDescent="0.2">
      <c r="C62" s="19">
        <v>45170</v>
      </c>
      <c r="D62" s="94">
        <v>0</v>
      </c>
      <c r="E62" s="92"/>
      <c r="F62" s="93"/>
      <c r="G62" s="93"/>
    </row>
    <row r="63" spans="2:7" x14ac:dyDescent="0.2">
      <c r="C63" s="19">
        <v>45200</v>
      </c>
      <c r="D63" s="94">
        <v>0</v>
      </c>
      <c r="E63" s="92"/>
      <c r="F63" s="93"/>
      <c r="G63" s="93"/>
    </row>
    <row r="64" spans="2:7" x14ac:dyDescent="0.2">
      <c r="C64" s="19">
        <v>45231</v>
      </c>
      <c r="D64" s="94">
        <v>0</v>
      </c>
      <c r="E64" s="92"/>
      <c r="F64" s="93"/>
      <c r="G64" s="93"/>
    </row>
    <row r="65" spans="3:7" x14ac:dyDescent="0.2">
      <c r="C65" s="19">
        <v>45261</v>
      </c>
      <c r="D65" s="95">
        <v>0</v>
      </c>
      <c r="E65" s="92"/>
      <c r="F65" s="93"/>
      <c r="G65" s="93"/>
    </row>
    <row r="66" spans="3:7" x14ac:dyDescent="0.2">
      <c r="C66" s="48" t="s">
        <v>57</v>
      </c>
      <c r="D66" s="14">
        <f>SUM(D60:D65)</f>
        <v>0</v>
      </c>
      <c r="E66" s="20"/>
      <c r="F66" s="93"/>
      <c r="G66" s="93"/>
    </row>
  </sheetData>
  <mergeCells count="3">
    <mergeCell ref="B4:G5"/>
    <mergeCell ref="C12:G12"/>
    <mergeCell ref="I4:M5"/>
  </mergeCells>
  <pageMargins left="0.7" right="0.7" top="0.75" bottom="0.75" header="0.3" footer="0.3"/>
  <pageSetup scale="65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8"/>
  <sheetViews>
    <sheetView zoomScaleNormal="100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ht="14.25" customHeight="1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ht="15.75" x14ac:dyDescent="0.25">
      <c r="B12" s="6">
        <v>1</v>
      </c>
      <c r="C12" s="103" t="s">
        <v>22</v>
      </c>
      <c r="D12" s="104"/>
      <c r="E12" s="104"/>
      <c r="F12" s="104"/>
      <c r="G12" s="105"/>
      <c r="I12" s="65" t="s">
        <v>100</v>
      </c>
      <c r="J12" s="64"/>
      <c r="K12" s="64"/>
      <c r="L12" s="64"/>
      <c r="M12" s="64"/>
    </row>
    <row r="13" spans="1:13" ht="15" x14ac:dyDescent="0.2">
      <c r="B13" s="6" t="s">
        <v>23</v>
      </c>
      <c r="C13" s="12" t="s">
        <v>80</v>
      </c>
      <c r="D13" s="12"/>
      <c r="E13" s="12"/>
      <c r="F13" s="13"/>
      <c r="G13" s="14">
        <v>77867</v>
      </c>
      <c r="I13" s="64"/>
      <c r="J13" s="64"/>
      <c r="K13" s="64"/>
      <c r="L13" s="64"/>
      <c r="M13" s="64"/>
    </row>
    <row r="14" spans="1:13" x14ac:dyDescent="0.2">
      <c r="B14" s="8" t="s">
        <v>24</v>
      </c>
      <c r="C14" s="12" t="s">
        <v>81</v>
      </c>
      <c r="D14" s="12"/>
      <c r="E14" s="12"/>
      <c r="F14" s="13"/>
      <c r="G14" s="49">
        <f>'A - 05-31-22'!G33</f>
        <v>1021011.6400000001</v>
      </c>
      <c r="I14" s="66"/>
      <c r="J14" s="66"/>
      <c r="K14" s="67" t="s">
        <v>7</v>
      </c>
      <c r="L14" s="66"/>
      <c r="M14" s="66"/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49">
        <f>'B - 11-30-22'!G35</f>
        <v>370395.55999999982</v>
      </c>
      <c r="I15" s="68"/>
      <c r="J15" s="69" t="s">
        <v>8</v>
      </c>
      <c r="K15" s="69" t="s">
        <v>9</v>
      </c>
      <c r="L15" s="68"/>
      <c r="M15" s="68"/>
    </row>
    <row r="16" spans="1:13" x14ac:dyDescent="0.2">
      <c r="B16" s="8" t="s">
        <v>26</v>
      </c>
      <c r="C16" s="12" t="s">
        <v>89</v>
      </c>
      <c r="D16" s="12"/>
      <c r="E16" s="12"/>
      <c r="F16" s="15"/>
      <c r="G16" s="50">
        <f>'C - 05-31-23'!G37</f>
        <v>1504.9199999999255</v>
      </c>
      <c r="I16" s="68"/>
      <c r="J16" s="69" t="s">
        <v>10</v>
      </c>
      <c r="K16" s="69" t="s">
        <v>11</v>
      </c>
      <c r="L16" s="69" t="s">
        <v>12</v>
      </c>
      <c r="M16" s="69" t="s">
        <v>13</v>
      </c>
    </row>
    <row r="17" spans="2:13" x14ac:dyDescent="0.2">
      <c r="B17" s="8" t="s">
        <v>58</v>
      </c>
      <c r="C17" s="12" t="s">
        <v>92</v>
      </c>
      <c r="D17" s="12"/>
      <c r="E17" s="12"/>
      <c r="F17" s="15"/>
      <c r="G17" s="50">
        <f>'D - 11-30-23'!G39</f>
        <v>-489188.45999999973</v>
      </c>
      <c r="I17" s="70"/>
      <c r="J17" s="70" t="s">
        <v>14</v>
      </c>
      <c r="K17" s="70" t="s">
        <v>14</v>
      </c>
      <c r="L17" s="70" t="s">
        <v>15</v>
      </c>
      <c r="M17" s="70" t="s">
        <v>15</v>
      </c>
    </row>
    <row r="18" spans="2:13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981590.66000000015</v>
      </c>
      <c r="I18" s="71" t="s">
        <v>17</v>
      </c>
      <c r="J18" s="72" t="s">
        <v>101</v>
      </c>
      <c r="K18" s="72" t="s">
        <v>18</v>
      </c>
      <c r="L18" s="72" t="s">
        <v>19</v>
      </c>
      <c r="M18" s="72" t="s">
        <v>20</v>
      </c>
    </row>
    <row r="19" spans="2:13" x14ac:dyDescent="0.2">
      <c r="B19" s="8">
        <v>2</v>
      </c>
      <c r="C19" s="17">
        <v>45292</v>
      </c>
      <c r="D19" s="50">
        <f>666232-384</f>
        <v>665848</v>
      </c>
      <c r="E19" s="51">
        <f>682693.34+1610</f>
        <v>684303.34</v>
      </c>
      <c r="F19" s="18">
        <f t="shared" ref="F19:F26" si="0">D19-E19</f>
        <v>-18455.339999999967</v>
      </c>
      <c r="G19" s="16">
        <f t="shared" ref="G19:G26" si="1">G18+F19</f>
        <v>963135.32000000018</v>
      </c>
      <c r="I19" s="73">
        <v>45292</v>
      </c>
      <c r="J19" s="74">
        <f>191289+78133+75611+222872+73157</f>
        <v>641062</v>
      </c>
      <c r="K19" s="75">
        <f>222872+191289+40056+36215+73157+79083-1610</f>
        <v>641062</v>
      </c>
      <c r="L19" s="76">
        <f t="shared" ref="L19:L26" si="2">J19-K19</f>
        <v>0</v>
      </c>
      <c r="M19" s="77">
        <f>L19</f>
        <v>0</v>
      </c>
    </row>
    <row r="20" spans="2:13" x14ac:dyDescent="0.2">
      <c r="B20" s="8">
        <v>3</v>
      </c>
      <c r="C20" s="19">
        <v>45323</v>
      </c>
      <c r="D20" s="52">
        <f>401007-356</f>
        <v>400651</v>
      </c>
      <c r="E20" s="53">
        <f>379679.73+1090</f>
        <v>380769.73</v>
      </c>
      <c r="F20" s="20">
        <f t="shared" si="0"/>
        <v>19881.270000000019</v>
      </c>
      <c r="G20" s="21">
        <f t="shared" si="1"/>
        <v>983016.5900000002</v>
      </c>
      <c r="I20" s="78">
        <v>45323</v>
      </c>
      <c r="J20" s="74">
        <f>163576+42845+124561+209147+62775</f>
        <v>602904</v>
      </c>
      <c r="K20" s="75">
        <f>209147+163576+28103+96671+62775+43722-1090</f>
        <v>602904</v>
      </c>
      <c r="L20" s="77">
        <f t="shared" si="2"/>
        <v>0</v>
      </c>
      <c r="M20" s="77">
        <f>M19+L20</f>
        <v>0</v>
      </c>
    </row>
    <row r="21" spans="2:13" x14ac:dyDescent="0.2">
      <c r="B21" s="8">
        <v>4</v>
      </c>
      <c r="C21" s="19">
        <v>45352</v>
      </c>
      <c r="D21" s="52">
        <f>285358-252</f>
        <v>285106</v>
      </c>
      <c r="E21" s="53">
        <f>292794.5+1078</f>
        <v>293872.5</v>
      </c>
      <c r="F21" s="20">
        <f t="shared" si="0"/>
        <v>-8766.5</v>
      </c>
      <c r="G21" s="21">
        <f t="shared" si="1"/>
        <v>974250.0900000002</v>
      </c>
      <c r="I21" s="78">
        <v>45352</v>
      </c>
      <c r="J21" s="74">
        <f>107339+16437+55643+134955+18113</f>
        <v>332487</v>
      </c>
      <c r="K21" s="74">
        <f>134955+107339+26572+29529+18113+17057-1078</f>
        <v>332487</v>
      </c>
      <c r="L21" s="77">
        <f t="shared" si="2"/>
        <v>0</v>
      </c>
      <c r="M21" s="77">
        <f t="shared" ref="M21:M24" si="3">M20+L21</f>
        <v>0</v>
      </c>
    </row>
    <row r="22" spans="2:13" x14ac:dyDescent="0.2">
      <c r="B22" s="8">
        <v>5</v>
      </c>
      <c r="C22" s="19">
        <v>45383</v>
      </c>
      <c r="D22" s="52">
        <f>295735-345</f>
        <v>295390</v>
      </c>
      <c r="E22" s="53">
        <f>55178.55+867</f>
        <v>56045.55</v>
      </c>
      <c r="F22" s="20">
        <f t="shared" si="0"/>
        <v>239344.45</v>
      </c>
      <c r="G22" s="21">
        <f t="shared" si="1"/>
        <v>1213594.5400000003</v>
      </c>
      <c r="I22" s="78">
        <v>45383</v>
      </c>
      <c r="J22" s="74">
        <f>128991+3043+59686+165686+30831</f>
        <v>388237</v>
      </c>
      <c r="K22" s="74">
        <f>165686+128991+24417+35291+30831+3888-867</f>
        <v>388237</v>
      </c>
      <c r="L22" s="77">
        <f t="shared" si="2"/>
        <v>0</v>
      </c>
      <c r="M22" s="77">
        <f t="shared" si="3"/>
        <v>0</v>
      </c>
    </row>
    <row r="23" spans="2:13" x14ac:dyDescent="0.2">
      <c r="B23" s="8">
        <v>6</v>
      </c>
      <c r="C23" s="19">
        <v>45413</v>
      </c>
      <c r="D23" s="52">
        <f>409237-417</f>
        <v>408820</v>
      </c>
      <c r="E23" s="53">
        <f>476699+1046</f>
        <v>477745</v>
      </c>
      <c r="F23" s="20">
        <f t="shared" si="0"/>
        <v>-68925</v>
      </c>
      <c r="G23" s="21">
        <f t="shared" si="1"/>
        <v>1144669.5400000003</v>
      </c>
      <c r="I23" s="78">
        <v>45413</v>
      </c>
      <c r="J23" s="74">
        <f>162489+4784+78611+229951+25680</f>
        <v>501515</v>
      </c>
      <c r="K23" s="79">
        <f>229951+162489+29684+48954+25680+5803-1046</f>
        <v>501515</v>
      </c>
      <c r="L23" s="77">
        <f t="shared" si="2"/>
        <v>0</v>
      </c>
      <c r="M23" s="77">
        <f t="shared" si="3"/>
        <v>0</v>
      </c>
    </row>
    <row r="24" spans="2:13" x14ac:dyDescent="0.2">
      <c r="B24" s="8">
        <v>7</v>
      </c>
      <c r="C24" s="19">
        <v>45444</v>
      </c>
      <c r="D24" s="52">
        <f>578447-504</f>
        <v>577943</v>
      </c>
      <c r="E24" s="53">
        <f>735502.18+1268</f>
        <v>736770.18</v>
      </c>
      <c r="F24" s="22">
        <f t="shared" si="0"/>
        <v>-158827.18000000005</v>
      </c>
      <c r="G24" s="23">
        <f t="shared" si="1"/>
        <v>985842.36000000022</v>
      </c>
      <c r="I24" s="80">
        <v>45444</v>
      </c>
      <c r="J24" s="79">
        <f>183814+5651+103815+251072+92640</f>
        <v>636992</v>
      </c>
      <c r="K24" s="81">
        <f>251072+183814+46615+57233+92640+6886-1268</f>
        <v>636992</v>
      </c>
      <c r="L24" s="82">
        <f t="shared" si="2"/>
        <v>0</v>
      </c>
      <c r="M24" s="82">
        <f t="shared" si="3"/>
        <v>0</v>
      </c>
    </row>
    <row r="25" spans="2:13" x14ac:dyDescent="0.2">
      <c r="B25" s="24" t="s">
        <v>28</v>
      </c>
      <c r="C25" s="17">
        <v>45474</v>
      </c>
      <c r="D25" s="50">
        <f>561324-0</f>
        <v>561324</v>
      </c>
      <c r="E25" s="51">
        <f>885033.52+1861</f>
        <v>886894.52</v>
      </c>
      <c r="F25" s="18">
        <f t="shared" si="0"/>
        <v>-325570.52</v>
      </c>
      <c r="G25" s="16">
        <f t="shared" si="1"/>
        <v>660271.8400000002</v>
      </c>
      <c r="I25" s="78">
        <v>45474</v>
      </c>
      <c r="J25" s="83">
        <f>158552+4646+85155+223199+87663</f>
        <v>559215</v>
      </c>
      <c r="K25" s="83">
        <f>223199+158552+39203+46684+87663+5775-1861</f>
        <v>559215</v>
      </c>
      <c r="L25" s="77">
        <f t="shared" si="2"/>
        <v>0</v>
      </c>
      <c r="M25" s="77">
        <f>M24+L25</f>
        <v>0</v>
      </c>
    </row>
    <row r="26" spans="2:13" x14ac:dyDescent="0.2">
      <c r="B26" s="25" t="s">
        <v>29</v>
      </c>
      <c r="C26" s="26">
        <v>45505</v>
      </c>
      <c r="D26" s="54">
        <f>489473-0</f>
        <v>489473</v>
      </c>
      <c r="E26" s="55">
        <f>571081.52+1607</f>
        <v>572688.52</v>
      </c>
      <c r="F26" s="22">
        <f t="shared" si="0"/>
        <v>-83215.520000000019</v>
      </c>
      <c r="G26" s="23">
        <f t="shared" si="1"/>
        <v>577056.32000000018</v>
      </c>
      <c r="I26" s="80">
        <v>45505</v>
      </c>
      <c r="J26" s="81">
        <f>155876+3065+76197+227584+67906</f>
        <v>530628</v>
      </c>
      <c r="K26" s="81">
        <f>227584+155876+30695+46107+67906+4067-1607</f>
        <v>530628</v>
      </c>
      <c r="L26" s="82">
        <f t="shared" si="2"/>
        <v>0</v>
      </c>
      <c r="M26" s="82">
        <f>M25+L26</f>
        <v>0</v>
      </c>
    </row>
    <row r="27" spans="2:13" x14ac:dyDescent="0.2">
      <c r="B27" s="9"/>
      <c r="C27" s="27" t="s">
        <v>76</v>
      </c>
      <c r="D27" s="28"/>
      <c r="E27" s="28"/>
      <c r="F27" s="28"/>
      <c r="G27" s="29"/>
      <c r="I27" s="84"/>
      <c r="J27" s="84"/>
      <c r="K27" s="84"/>
      <c r="L27" s="84"/>
      <c r="M27" s="84"/>
    </row>
    <row r="28" spans="2:13" x14ac:dyDescent="0.2">
      <c r="B28" s="6"/>
      <c r="C28" s="5"/>
      <c r="D28" s="5"/>
      <c r="E28" s="5"/>
      <c r="F28" s="5"/>
      <c r="G28" s="16"/>
      <c r="I28" s="85" t="s">
        <v>102</v>
      </c>
      <c r="J28" s="86"/>
      <c r="K28" s="86"/>
      <c r="L28" s="87"/>
      <c r="M28" s="88">
        <f>M24</f>
        <v>0</v>
      </c>
    </row>
    <row r="29" spans="2:13" x14ac:dyDescent="0.2">
      <c r="B29" s="8"/>
      <c r="C29" s="7"/>
      <c r="D29" s="8" t="s">
        <v>30</v>
      </c>
      <c r="E29" s="8" t="s">
        <v>31</v>
      </c>
      <c r="F29" s="7"/>
      <c r="G29" s="21"/>
      <c r="I29" s="84"/>
      <c r="J29" s="84"/>
      <c r="K29" s="84"/>
      <c r="L29" s="84"/>
      <c r="M29" s="89"/>
    </row>
    <row r="30" spans="2:13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  <c r="I30" s="85" t="s">
        <v>103</v>
      </c>
      <c r="J30" s="86"/>
      <c r="K30" s="86"/>
      <c r="L30" s="87"/>
      <c r="M30" s="88">
        <f>M28/6</f>
        <v>0</v>
      </c>
    </row>
    <row r="31" spans="2:13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13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-77867</v>
      </c>
      <c r="E34" s="16">
        <f>D68</f>
        <v>51912</v>
      </c>
      <c r="F34" s="5"/>
      <c r="G34" s="16">
        <f t="shared" ref="G34:G38" si="4">D34+E34</f>
        <v>-25955</v>
      </c>
    </row>
    <row r="35" spans="2:7" x14ac:dyDescent="0.2">
      <c r="B35" s="31" t="s">
        <v>44</v>
      </c>
      <c r="C35" s="7" t="s">
        <v>84</v>
      </c>
      <c r="D35" s="21">
        <f>-G14</f>
        <v>-1021011.6400000001</v>
      </c>
      <c r="E35" s="21">
        <v>0</v>
      </c>
      <c r="F35" s="7"/>
      <c r="G35" s="21">
        <f t="shared" si="4"/>
        <v>-1021011.6400000001</v>
      </c>
    </row>
    <row r="36" spans="2:7" x14ac:dyDescent="0.2">
      <c r="B36" s="31" t="s">
        <v>45</v>
      </c>
      <c r="C36" s="7" t="s">
        <v>87</v>
      </c>
      <c r="D36" s="21">
        <f>-G15</f>
        <v>-370395.55999999982</v>
      </c>
      <c r="E36" s="21">
        <v>0</v>
      </c>
      <c r="F36" s="7"/>
      <c r="G36" s="21">
        <f t="shared" si="4"/>
        <v>-370395.55999999982</v>
      </c>
    </row>
    <row r="37" spans="2:7" x14ac:dyDescent="0.2">
      <c r="B37" s="31" t="s">
        <v>46</v>
      </c>
      <c r="C37" s="7" t="s">
        <v>91</v>
      </c>
      <c r="D37" s="21">
        <f>-G16</f>
        <v>-1504.9199999999255</v>
      </c>
      <c r="E37" s="21">
        <v>0</v>
      </c>
      <c r="F37" s="7"/>
      <c r="G37" s="21">
        <f t="shared" si="4"/>
        <v>-1504.9199999999255</v>
      </c>
    </row>
    <row r="38" spans="2:7" x14ac:dyDescent="0.2">
      <c r="B38" s="31" t="s">
        <v>59</v>
      </c>
      <c r="C38" s="32" t="s">
        <v>93</v>
      </c>
      <c r="D38" s="23">
        <f>-G17</f>
        <v>489188.45999999973</v>
      </c>
      <c r="E38" s="23">
        <v>0</v>
      </c>
      <c r="F38" s="32"/>
      <c r="G38" s="23">
        <f t="shared" si="4"/>
        <v>489188.45999999973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-929678.66000000015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14">
        <f>G24+G39</f>
        <v>56163.70000000007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14">
        <f>G41/6</f>
        <v>9360.6166666666777</v>
      </c>
    </row>
    <row r="45" spans="2:7" x14ac:dyDescent="0.2">
      <c r="B45" s="5"/>
      <c r="C45" s="39" t="s">
        <v>48</v>
      </c>
      <c r="D45" s="40"/>
      <c r="E45" s="40"/>
      <c r="F45" s="40"/>
      <c r="G45" s="41"/>
    </row>
    <row r="46" spans="2:7" x14ac:dyDescent="0.2">
      <c r="B46" s="5"/>
      <c r="C46" s="42"/>
      <c r="D46" s="42"/>
      <c r="E46" s="42"/>
      <c r="F46" s="42"/>
      <c r="G46" s="15"/>
    </row>
    <row r="47" spans="2:7" x14ac:dyDescent="0.2">
      <c r="B47" s="8">
        <v>11</v>
      </c>
      <c r="C47" t="s">
        <v>49</v>
      </c>
      <c r="G47" s="43">
        <f>G18</f>
        <v>981590.66000000015</v>
      </c>
    </row>
    <row r="48" spans="2:7" x14ac:dyDescent="0.2">
      <c r="B48" s="8">
        <v>12</v>
      </c>
      <c r="C48" t="s">
        <v>50</v>
      </c>
      <c r="G48" s="44">
        <f>G39</f>
        <v>-929678.66000000015</v>
      </c>
    </row>
    <row r="49" spans="2:7" x14ac:dyDescent="0.2">
      <c r="B49" s="8"/>
      <c r="G49" s="43"/>
    </row>
    <row r="50" spans="2:7" ht="15" thickBot="1" x14ac:dyDescent="0.25">
      <c r="B50" s="8">
        <v>13</v>
      </c>
      <c r="C50" t="s">
        <v>51</v>
      </c>
      <c r="G50" s="45">
        <f>G47+G48</f>
        <v>51912</v>
      </c>
    </row>
    <row r="51" spans="2:7" ht="15" thickTop="1" x14ac:dyDescent="0.2">
      <c r="B51" s="8"/>
      <c r="G51" s="43"/>
    </row>
    <row r="52" spans="2:7" x14ac:dyDescent="0.2">
      <c r="B52" s="8">
        <v>14</v>
      </c>
      <c r="C52" t="s">
        <v>52</v>
      </c>
      <c r="G52" s="43">
        <f>G41</f>
        <v>56163.70000000007</v>
      </c>
    </row>
    <row r="53" spans="2:7" x14ac:dyDescent="0.2">
      <c r="B53" s="8"/>
      <c r="G53" s="43"/>
    </row>
    <row r="54" spans="2:7" x14ac:dyDescent="0.2">
      <c r="B54" s="8">
        <v>15</v>
      </c>
      <c r="C54" t="s">
        <v>53</v>
      </c>
      <c r="G54" s="44">
        <f>SUM(F19:F24)</f>
        <v>4251.7000000000116</v>
      </c>
    </row>
    <row r="55" spans="2:7" x14ac:dyDescent="0.2">
      <c r="B55" s="8"/>
      <c r="G55" s="43"/>
    </row>
    <row r="56" spans="2:7" ht="15" thickBot="1" x14ac:dyDescent="0.25">
      <c r="B56" s="8">
        <v>16</v>
      </c>
      <c r="C56" t="s">
        <v>54</v>
      </c>
      <c r="G56" s="45">
        <f>G52-G54</f>
        <v>51912.000000000058</v>
      </c>
    </row>
    <row r="57" spans="2:7" ht="15" thickTop="1" x14ac:dyDescent="0.2">
      <c r="B57" s="32"/>
      <c r="C57" s="46"/>
      <c r="D57" s="46"/>
      <c r="E57" s="46"/>
      <c r="F57" s="46"/>
      <c r="G57" s="47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90"/>
      <c r="G60" s="90"/>
    </row>
    <row r="61" spans="2:7" x14ac:dyDescent="0.2">
      <c r="B61" s="36"/>
      <c r="C61" s="9" t="s">
        <v>17</v>
      </c>
      <c r="D61" s="9" t="s">
        <v>104</v>
      </c>
      <c r="E61" s="31"/>
      <c r="F61" s="90"/>
      <c r="G61" s="90"/>
    </row>
    <row r="62" spans="2:7" x14ac:dyDescent="0.2">
      <c r="C62" s="17">
        <v>45292</v>
      </c>
      <c r="D62" s="91">
        <v>0</v>
      </c>
      <c r="E62" s="92"/>
      <c r="F62" s="93"/>
      <c r="G62" s="93"/>
    </row>
    <row r="63" spans="2:7" x14ac:dyDescent="0.2">
      <c r="C63" s="19">
        <v>45323</v>
      </c>
      <c r="D63" s="94">
        <v>0</v>
      </c>
      <c r="E63" s="92"/>
      <c r="F63" s="93"/>
      <c r="G63" s="93"/>
    </row>
    <row r="64" spans="2:7" x14ac:dyDescent="0.2">
      <c r="C64" s="19">
        <v>45352</v>
      </c>
      <c r="D64" s="94">
        <v>12978</v>
      </c>
      <c r="E64" s="92"/>
      <c r="F64" s="93"/>
      <c r="G64" s="93"/>
    </row>
    <row r="65" spans="3:7" x14ac:dyDescent="0.2">
      <c r="C65" s="19">
        <v>45383</v>
      </c>
      <c r="D65" s="94">
        <v>12978</v>
      </c>
      <c r="E65" s="92"/>
      <c r="F65" s="93"/>
      <c r="G65" s="93"/>
    </row>
    <row r="66" spans="3:7" x14ac:dyDescent="0.2">
      <c r="C66" s="19">
        <v>45413</v>
      </c>
      <c r="D66" s="94">
        <v>12978</v>
      </c>
      <c r="E66" s="92"/>
      <c r="F66" s="93"/>
      <c r="G66" s="93"/>
    </row>
    <row r="67" spans="3:7" x14ac:dyDescent="0.2">
      <c r="C67" s="19">
        <v>45444</v>
      </c>
      <c r="D67" s="95">
        <v>12978</v>
      </c>
      <c r="E67" s="92"/>
      <c r="F67" s="93"/>
      <c r="G67" s="93"/>
    </row>
    <row r="68" spans="3:7" x14ac:dyDescent="0.2">
      <c r="C68" s="48" t="s">
        <v>57</v>
      </c>
      <c r="D68" s="14">
        <f>SUM(D62:D67)</f>
        <v>51912</v>
      </c>
      <c r="E68" s="20"/>
      <c r="F68" s="93"/>
      <c r="G68" s="93"/>
    </row>
  </sheetData>
  <mergeCells count="3">
    <mergeCell ref="B4:G5"/>
    <mergeCell ref="C12:G12"/>
    <mergeCell ref="I4:M5"/>
  </mergeCells>
  <pageMargins left="0.7" right="0.7" top="0.75" bottom="0.75" header="0.3" footer="0.3"/>
  <pageSetup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0"/>
  <sheetViews>
    <sheetView zoomScaleNormal="100"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96</v>
      </c>
    </row>
    <row r="4" spans="1:13" ht="14.25" customHeight="1" x14ac:dyDescent="0.2">
      <c r="B4" s="97" t="s">
        <v>98</v>
      </c>
      <c r="C4" s="98"/>
      <c r="D4" s="98"/>
      <c r="E4" s="98"/>
      <c r="F4" s="98"/>
      <c r="G4" s="99"/>
      <c r="I4" s="106" t="s">
        <v>99</v>
      </c>
      <c r="J4" s="107"/>
      <c r="K4" s="107"/>
      <c r="L4" s="107"/>
      <c r="M4" s="108"/>
    </row>
    <row r="5" spans="1:13" ht="14.25" customHeight="1" x14ac:dyDescent="0.2">
      <c r="B5" s="100"/>
      <c r="C5" s="101"/>
      <c r="D5" s="101"/>
      <c r="E5" s="101"/>
      <c r="F5" s="101"/>
      <c r="G5" s="102"/>
      <c r="I5" s="109"/>
      <c r="J5" s="110"/>
      <c r="K5" s="110"/>
      <c r="L5" s="110"/>
      <c r="M5" s="111"/>
    </row>
    <row r="6" spans="1:13" ht="15" x14ac:dyDescent="0.2">
      <c r="I6" s="64"/>
      <c r="J6" s="64"/>
      <c r="K6" s="64"/>
      <c r="L6" s="64"/>
      <c r="M6" s="64"/>
    </row>
    <row r="7" spans="1:13" x14ac:dyDescent="0.2">
      <c r="B7" s="5"/>
      <c r="C7" s="5"/>
      <c r="D7" s="5"/>
      <c r="E7" s="6" t="s">
        <v>7</v>
      </c>
      <c r="F7" s="5"/>
      <c r="G7" s="5"/>
    </row>
    <row r="8" spans="1:13" x14ac:dyDescent="0.2">
      <c r="B8" s="7"/>
      <c r="C8" s="7"/>
      <c r="D8" s="8" t="s">
        <v>8</v>
      </c>
      <c r="E8" s="8" t="s">
        <v>9</v>
      </c>
      <c r="F8" s="7"/>
      <c r="G8" s="7"/>
    </row>
    <row r="9" spans="1:13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13" x14ac:dyDescent="0.2">
      <c r="B10" s="9"/>
      <c r="C10" s="9"/>
      <c r="D10" s="9" t="s">
        <v>14</v>
      </c>
      <c r="E10" s="9" t="s">
        <v>14</v>
      </c>
      <c r="F10" s="9" t="s">
        <v>15</v>
      </c>
      <c r="G10" s="9" t="s">
        <v>15</v>
      </c>
    </row>
    <row r="11" spans="1:13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13" x14ac:dyDescent="0.2">
      <c r="B12" s="6">
        <v>1</v>
      </c>
      <c r="C12" s="103" t="s">
        <v>22</v>
      </c>
      <c r="D12" s="104"/>
      <c r="E12" s="104"/>
      <c r="F12" s="104"/>
      <c r="G12" s="105"/>
    </row>
    <row r="13" spans="1:13" ht="15.75" x14ac:dyDescent="0.25">
      <c r="B13" s="6" t="s">
        <v>23</v>
      </c>
      <c r="C13" s="12" t="s">
        <v>80</v>
      </c>
      <c r="D13" s="12"/>
      <c r="E13" s="12"/>
      <c r="F13" s="13"/>
      <c r="G13" s="14">
        <v>25955</v>
      </c>
      <c r="I13" s="65" t="s">
        <v>100</v>
      </c>
      <c r="J13" s="64"/>
      <c r="K13" s="64"/>
      <c r="L13" s="64"/>
      <c r="M13" s="64"/>
    </row>
    <row r="14" spans="1:13" ht="15" x14ac:dyDescent="0.2">
      <c r="B14" s="8" t="s">
        <v>24</v>
      </c>
      <c r="C14" s="12" t="s">
        <v>81</v>
      </c>
      <c r="D14" s="12"/>
      <c r="E14" s="12"/>
      <c r="F14" s="13"/>
      <c r="G14" s="49">
        <f>'A - 05-31-22'!G33</f>
        <v>1021011.6400000001</v>
      </c>
      <c r="I14" s="64"/>
      <c r="J14" s="64"/>
      <c r="K14" s="64"/>
      <c r="L14" s="64"/>
      <c r="M14" s="64"/>
    </row>
    <row r="15" spans="1:13" x14ac:dyDescent="0.2">
      <c r="B15" s="8" t="s">
        <v>25</v>
      </c>
      <c r="C15" s="12" t="s">
        <v>86</v>
      </c>
      <c r="D15" s="12"/>
      <c r="E15" s="12"/>
      <c r="F15" s="13"/>
      <c r="G15" s="49">
        <f>'B - 11-30-22'!G35</f>
        <v>370395.55999999982</v>
      </c>
      <c r="I15" s="66"/>
      <c r="J15" s="66"/>
      <c r="K15" s="67" t="s">
        <v>7</v>
      </c>
      <c r="L15" s="66"/>
      <c r="M15" s="66"/>
    </row>
    <row r="16" spans="1:13" x14ac:dyDescent="0.2">
      <c r="B16" s="8" t="s">
        <v>26</v>
      </c>
      <c r="C16" s="12" t="s">
        <v>89</v>
      </c>
      <c r="D16" s="12"/>
      <c r="E16" s="12"/>
      <c r="F16" s="15"/>
      <c r="G16" s="50">
        <f>'C - 05-31-23'!G37</f>
        <v>1504.9199999999255</v>
      </c>
      <c r="I16" s="68"/>
      <c r="J16" s="69" t="s">
        <v>8</v>
      </c>
      <c r="K16" s="69" t="s">
        <v>9</v>
      </c>
      <c r="L16" s="68"/>
      <c r="M16" s="68"/>
    </row>
    <row r="17" spans="2:15" x14ac:dyDescent="0.2">
      <c r="B17" s="8" t="s">
        <v>58</v>
      </c>
      <c r="C17" s="12" t="s">
        <v>92</v>
      </c>
      <c r="D17" s="12"/>
      <c r="E17" s="12"/>
      <c r="F17" s="15"/>
      <c r="G17" s="50">
        <f>'D - 11-30-23'!G39</f>
        <v>-489188.45999999973</v>
      </c>
      <c r="I17" s="68"/>
      <c r="J17" s="69" t="s">
        <v>10</v>
      </c>
      <c r="K17" s="69" t="s">
        <v>11</v>
      </c>
      <c r="L17" s="69" t="s">
        <v>12</v>
      </c>
      <c r="M17" s="69" t="s">
        <v>13</v>
      </c>
    </row>
    <row r="18" spans="2:15" x14ac:dyDescent="0.2">
      <c r="B18" s="8" t="s">
        <v>64</v>
      </c>
      <c r="C18" s="12" t="s">
        <v>94</v>
      </c>
      <c r="D18" s="12"/>
      <c r="E18" s="12"/>
      <c r="F18" s="15"/>
      <c r="G18" s="50">
        <f>'E - 05-31-24'!G41</f>
        <v>56163.70000000007</v>
      </c>
      <c r="I18" s="70"/>
      <c r="J18" s="70" t="s">
        <v>14</v>
      </c>
      <c r="K18" s="70" t="s">
        <v>14</v>
      </c>
      <c r="L18" s="70" t="s">
        <v>15</v>
      </c>
      <c r="M18" s="70" t="s">
        <v>15</v>
      </c>
    </row>
    <row r="19" spans="2:15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985842.36000000022</v>
      </c>
      <c r="I19" s="71" t="s">
        <v>17</v>
      </c>
      <c r="J19" s="72" t="s">
        <v>101</v>
      </c>
      <c r="K19" s="72" t="s">
        <v>18</v>
      </c>
      <c r="L19" s="72" t="s">
        <v>19</v>
      </c>
      <c r="M19" s="72" t="s">
        <v>20</v>
      </c>
    </row>
    <row r="20" spans="2:15" x14ac:dyDescent="0.2">
      <c r="B20" s="8">
        <v>2</v>
      </c>
      <c r="C20" s="17">
        <v>45474</v>
      </c>
      <c r="D20" s="50">
        <f>561324-0</f>
        <v>561324</v>
      </c>
      <c r="E20" s="51">
        <f>885033.52+1861</f>
        <v>886894.52</v>
      </c>
      <c r="F20" s="18">
        <f t="shared" ref="F20:F27" si="0">D20-E20</f>
        <v>-325570.52</v>
      </c>
      <c r="G20" s="16">
        <f t="shared" ref="G20:G27" si="1">G19+F20</f>
        <v>660271.8400000002</v>
      </c>
      <c r="I20" s="73">
        <v>45474</v>
      </c>
      <c r="J20" s="74">
        <f>158552+4646+85155+223199+87663</f>
        <v>559215</v>
      </c>
      <c r="K20" s="75">
        <f>223199+158552+39203+46684+87663+5775-1861</f>
        <v>559215</v>
      </c>
      <c r="L20" s="76">
        <f t="shared" ref="L20:L27" si="2">J20-K20</f>
        <v>0</v>
      </c>
      <c r="M20" s="77">
        <f>L20</f>
        <v>0</v>
      </c>
    </row>
    <row r="21" spans="2:15" x14ac:dyDescent="0.2">
      <c r="B21" s="8">
        <v>3</v>
      </c>
      <c r="C21" s="19">
        <v>45505</v>
      </c>
      <c r="D21" s="52">
        <f>489473-0</f>
        <v>489473</v>
      </c>
      <c r="E21" s="53">
        <f>571081.52+1607</f>
        <v>572688.52</v>
      </c>
      <c r="F21" s="20">
        <f t="shared" si="0"/>
        <v>-83215.520000000019</v>
      </c>
      <c r="G21" s="21">
        <f t="shared" si="1"/>
        <v>577056.32000000018</v>
      </c>
      <c r="I21" s="78">
        <v>45505</v>
      </c>
      <c r="J21" s="74">
        <f>155876+3065+76197+227584+67906</f>
        <v>530628</v>
      </c>
      <c r="K21" s="75">
        <f>227584+155876+30695+46107+67906+4067-1607</f>
        <v>530628</v>
      </c>
      <c r="L21" s="77">
        <f t="shared" si="2"/>
        <v>0</v>
      </c>
      <c r="M21" s="77">
        <f>M20+L21</f>
        <v>0</v>
      </c>
    </row>
    <row r="22" spans="2:15" x14ac:dyDescent="0.2">
      <c r="B22" s="8">
        <v>4</v>
      </c>
      <c r="C22" s="19">
        <v>45536</v>
      </c>
      <c r="D22" s="52">
        <f>460441-0</f>
        <v>460441</v>
      </c>
      <c r="E22" s="53">
        <f>508127.79+1056</f>
        <v>509183.79</v>
      </c>
      <c r="F22" s="20">
        <f t="shared" si="0"/>
        <v>-48742.789999999979</v>
      </c>
      <c r="G22" s="21">
        <f t="shared" si="1"/>
        <v>528313.53000000026</v>
      </c>
      <c r="I22" s="78">
        <v>45536</v>
      </c>
      <c r="J22" s="74">
        <f>186384+4414+86842+270150+60069</f>
        <v>607859</v>
      </c>
      <c r="K22" s="74">
        <f>270150+186384+36600+50269+60069+5443-1056</f>
        <v>607859</v>
      </c>
      <c r="L22" s="77">
        <f t="shared" si="2"/>
        <v>0</v>
      </c>
      <c r="M22" s="77">
        <f t="shared" ref="M22:M25" si="3">M21+L22</f>
        <v>0</v>
      </c>
    </row>
    <row r="23" spans="2:15" x14ac:dyDescent="0.2">
      <c r="B23" s="8">
        <v>5</v>
      </c>
      <c r="C23" s="19">
        <v>45566</v>
      </c>
      <c r="D23" s="52">
        <f>359797-422</f>
        <v>359375</v>
      </c>
      <c r="E23" s="53">
        <f>479535.02+1057</f>
        <v>480592.02</v>
      </c>
      <c r="F23" s="20">
        <f t="shared" si="0"/>
        <v>-121217.02000000002</v>
      </c>
      <c r="G23" s="21">
        <f t="shared" si="1"/>
        <v>407096.51000000024</v>
      </c>
      <c r="I23" s="78">
        <v>45566</v>
      </c>
      <c r="J23" s="74">
        <f>116693+33002+83365+162772+66678</f>
        <v>462510</v>
      </c>
      <c r="K23" s="74">
        <f>162772+116693+41217+42175+66678+34032-1057</f>
        <v>462510</v>
      </c>
      <c r="L23" s="77">
        <f t="shared" si="2"/>
        <v>0</v>
      </c>
      <c r="M23" s="77">
        <f t="shared" si="3"/>
        <v>0</v>
      </c>
    </row>
    <row r="24" spans="2:15" x14ac:dyDescent="0.2">
      <c r="B24" s="8">
        <v>6</v>
      </c>
      <c r="C24" s="19">
        <v>45597</v>
      </c>
      <c r="D24" s="52">
        <f>451590-450</f>
        <v>451140</v>
      </c>
      <c r="E24" s="53">
        <f>422739.85+1123</f>
        <v>423862.85</v>
      </c>
      <c r="F24" s="20">
        <f t="shared" si="0"/>
        <v>27277.150000000023</v>
      </c>
      <c r="G24" s="21">
        <f t="shared" si="1"/>
        <v>434373.66000000027</v>
      </c>
      <c r="I24" s="78">
        <v>45597</v>
      </c>
      <c r="J24" s="74">
        <f>181764+104528+74835+237008+64782</f>
        <v>662917</v>
      </c>
      <c r="K24" s="79">
        <f>237008+181764+33926+40938+64782+105622-1123</f>
        <v>662917</v>
      </c>
      <c r="L24" s="77">
        <f t="shared" si="2"/>
        <v>0</v>
      </c>
      <c r="M24" s="77">
        <f t="shared" si="3"/>
        <v>0</v>
      </c>
    </row>
    <row r="25" spans="2:15" x14ac:dyDescent="0.2">
      <c r="B25" s="8">
        <v>7</v>
      </c>
      <c r="C25" s="19">
        <v>45627</v>
      </c>
      <c r="D25" s="52">
        <f>710568-531</f>
        <v>710037</v>
      </c>
      <c r="E25" s="53">
        <f>790118.91+1956</f>
        <v>792074.91</v>
      </c>
      <c r="F25" s="22">
        <f t="shared" si="0"/>
        <v>-82037.910000000033</v>
      </c>
      <c r="G25" s="23">
        <f t="shared" si="1"/>
        <v>352335.75000000023</v>
      </c>
      <c r="I25" s="80">
        <v>45627</v>
      </c>
      <c r="J25" s="79">
        <f>228686+130188+92642+273704+68934</f>
        <v>794154</v>
      </c>
      <c r="K25" s="81">
        <f>273704+228686+49567+43734+68934+131485-1956</f>
        <v>794154</v>
      </c>
      <c r="L25" s="82">
        <f t="shared" si="2"/>
        <v>0</v>
      </c>
      <c r="M25" s="82">
        <f t="shared" si="3"/>
        <v>0</v>
      </c>
    </row>
    <row r="26" spans="2:15" x14ac:dyDescent="0.2">
      <c r="B26" s="24" t="s">
        <v>28</v>
      </c>
      <c r="C26" s="17">
        <v>45658</v>
      </c>
      <c r="D26" s="50">
        <f>923020-486</f>
        <v>922534</v>
      </c>
      <c r="E26" s="51">
        <f>982215.4+1814</f>
        <v>984029.4</v>
      </c>
      <c r="F26" s="18">
        <f t="shared" si="0"/>
        <v>-61495.400000000023</v>
      </c>
      <c r="G26" s="16">
        <f t="shared" si="1"/>
        <v>290840.35000000021</v>
      </c>
      <c r="I26" s="78">
        <v>45658</v>
      </c>
      <c r="J26" s="83">
        <f>235204+101811+88760+264945+22151</f>
        <v>712871</v>
      </c>
      <c r="K26" s="83">
        <f>264945+235204+41268+48122+22151+102995-1814</f>
        <v>712871</v>
      </c>
      <c r="L26" s="77">
        <f t="shared" si="2"/>
        <v>0</v>
      </c>
      <c r="M26" s="77">
        <f>M25+L26</f>
        <v>0</v>
      </c>
      <c r="O26" s="37"/>
    </row>
    <row r="27" spans="2:15" x14ac:dyDescent="0.2">
      <c r="B27" s="25" t="s">
        <v>29</v>
      </c>
      <c r="C27" s="26">
        <v>45689</v>
      </c>
      <c r="D27" s="54">
        <f>632144-369</f>
        <v>631775</v>
      </c>
      <c r="E27" s="55">
        <f>690247.49+1847</f>
        <v>692094.49</v>
      </c>
      <c r="F27" s="22">
        <f t="shared" si="0"/>
        <v>-60319.489999999991</v>
      </c>
      <c r="G27" s="23">
        <f t="shared" si="1"/>
        <v>230520.86000000022</v>
      </c>
      <c r="I27" s="80">
        <v>45689</v>
      </c>
      <c r="J27" s="81">
        <f>211750+71514+91388+248750+6902</f>
        <v>630304</v>
      </c>
      <c r="K27" s="81">
        <f>632151-1847</f>
        <v>630304</v>
      </c>
      <c r="L27" s="82">
        <f t="shared" si="2"/>
        <v>0</v>
      </c>
      <c r="M27" s="82">
        <f>M26+L27</f>
        <v>0</v>
      </c>
    </row>
    <row r="28" spans="2:15" x14ac:dyDescent="0.2">
      <c r="B28" s="9"/>
      <c r="C28" s="27" t="s">
        <v>79</v>
      </c>
      <c r="D28" s="28"/>
      <c r="E28" s="28"/>
      <c r="F28" s="28"/>
      <c r="G28" s="29"/>
      <c r="I28" s="84"/>
      <c r="J28" s="84"/>
      <c r="K28" s="84"/>
      <c r="L28" s="84"/>
      <c r="M28" s="84"/>
    </row>
    <row r="29" spans="2:15" x14ac:dyDescent="0.2">
      <c r="B29" s="6"/>
      <c r="C29" s="5"/>
      <c r="D29" s="5"/>
      <c r="E29" s="5"/>
      <c r="F29" s="5"/>
      <c r="G29" s="16"/>
      <c r="I29" s="85" t="s">
        <v>102</v>
      </c>
      <c r="J29" s="86"/>
      <c r="K29" s="86"/>
      <c r="L29" s="87"/>
      <c r="M29" s="88">
        <f>M25</f>
        <v>0</v>
      </c>
    </row>
    <row r="30" spans="2:15" x14ac:dyDescent="0.2">
      <c r="B30" s="8"/>
      <c r="C30" s="7"/>
      <c r="D30" s="8" t="s">
        <v>30</v>
      </c>
      <c r="E30" s="8" t="s">
        <v>31</v>
      </c>
      <c r="F30" s="7"/>
      <c r="G30" s="21"/>
      <c r="I30" s="84"/>
      <c r="J30" s="84"/>
      <c r="K30" s="84"/>
      <c r="L30" s="84"/>
      <c r="M30" s="89"/>
    </row>
    <row r="31" spans="2:15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  <c r="I31" s="85" t="s">
        <v>103</v>
      </c>
      <c r="J31" s="86"/>
      <c r="K31" s="86"/>
      <c r="L31" s="87"/>
      <c r="M31" s="88">
        <f>M29/6</f>
        <v>0</v>
      </c>
    </row>
    <row r="32" spans="2:15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4">-G13</f>
        <v>-25955</v>
      </c>
      <c r="E35" s="16">
        <f>D70</f>
        <v>25955</v>
      </c>
      <c r="F35" s="5"/>
      <c r="G35" s="16">
        <f t="shared" ref="G35:G40" si="5">D35+E35</f>
        <v>0</v>
      </c>
    </row>
    <row r="36" spans="2:7" x14ac:dyDescent="0.2">
      <c r="B36" s="31" t="s">
        <v>44</v>
      </c>
      <c r="C36" s="7" t="s">
        <v>84</v>
      </c>
      <c r="D36" s="21">
        <f t="shared" si="4"/>
        <v>-1021011.6400000001</v>
      </c>
      <c r="E36" s="21">
        <v>0</v>
      </c>
      <c r="F36" s="7"/>
      <c r="G36" s="21">
        <f t="shared" si="5"/>
        <v>-1021011.6400000001</v>
      </c>
    </row>
    <row r="37" spans="2:7" x14ac:dyDescent="0.2">
      <c r="B37" s="31" t="s">
        <v>45</v>
      </c>
      <c r="C37" s="7" t="s">
        <v>87</v>
      </c>
      <c r="D37" s="21">
        <f t="shared" si="4"/>
        <v>-370395.55999999982</v>
      </c>
      <c r="E37" s="21">
        <v>0</v>
      </c>
      <c r="F37" s="7"/>
      <c r="G37" s="21">
        <f t="shared" si="5"/>
        <v>-370395.55999999982</v>
      </c>
    </row>
    <row r="38" spans="2:7" x14ac:dyDescent="0.2">
      <c r="B38" s="31" t="s">
        <v>46</v>
      </c>
      <c r="C38" s="7" t="s">
        <v>91</v>
      </c>
      <c r="D38" s="21">
        <f t="shared" si="4"/>
        <v>-1504.9199999999255</v>
      </c>
      <c r="E38" s="21">
        <v>0</v>
      </c>
      <c r="F38" s="7"/>
      <c r="G38" s="21">
        <f t="shared" si="5"/>
        <v>-1504.9199999999255</v>
      </c>
    </row>
    <row r="39" spans="2:7" x14ac:dyDescent="0.2">
      <c r="B39" s="31" t="s">
        <v>59</v>
      </c>
      <c r="C39" s="7" t="s">
        <v>93</v>
      </c>
      <c r="D39" s="21">
        <f t="shared" si="4"/>
        <v>489188.45999999973</v>
      </c>
      <c r="E39" s="21">
        <v>0</v>
      </c>
      <c r="F39" s="7"/>
      <c r="G39" s="21">
        <f t="shared" si="5"/>
        <v>489188.45999999973</v>
      </c>
    </row>
    <row r="40" spans="2:7" x14ac:dyDescent="0.2">
      <c r="B40" s="31" t="s">
        <v>66</v>
      </c>
      <c r="C40" s="32" t="s">
        <v>95</v>
      </c>
      <c r="D40" s="23">
        <f t="shared" si="4"/>
        <v>-56163.70000000007</v>
      </c>
      <c r="E40" s="23">
        <v>0</v>
      </c>
      <c r="F40" s="32"/>
      <c r="G40" s="23">
        <f t="shared" si="5"/>
        <v>-56163.70000000007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-959887.36000000022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14">
        <f>G25+G41</f>
        <v>-607551.61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14">
        <f>G43/6</f>
        <v>-101258.60166666667</v>
      </c>
    </row>
    <row r="47" spans="2:7" x14ac:dyDescent="0.2">
      <c r="B47" s="5"/>
      <c r="C47" s="39" t="s">
        <v>48</v>
      </c>
      <c r="D47" s="40"/>
      <c r="E47" s="40"/>
      <c r="F47" s="40"/>
      <c r="G47" s="41"/>
    </row>
    <row r="48" spans="2:7" x14ac:dyDescent="0.2">
      <c r="B48" s="5"/>
      <c r="C48" s="42"/>
      <c r="D48" s="42"/>
      <c r="E48" s="42"/>
      <c r="F48" s="42"/>
      <c r="G48" s="15"/>
    </row>
    <row r="49" spans="2:7" x14ac:dyDescent="0.2">
      <c r="B49" s="8">
        <v>11</v>
      </c>
      <c r="C49" t="s">
        <v>49</v>
      </c>
      <c r="G49" s="43">
        <f>G19</f>
        <v>985842.36000000022</v>
      </c>
    </row>
    <row r="50" spans="2:7" x14ac:dyDescent="0.2">
      <c r="B50" s="8">
        <v>12</v>
      </c>
      <c r="C50" t="s">
        <v>50</v>
      </c>
      <c r="G50" s="44">
        <f>G41</f>
        <v>-959887.36000000022</v>
      </c>
    </row>
    <row r="51" spans="2:7" x14ac:dyDescent="0.2">
      <c r="B51" s="8"/>
      <c r="G51" s="43"/>
    </row>
    <row r="52" spans="2:7" ht="15" thickBot="1" x14ac:dyDescent="0.25">
      <c r="B52" s="8">
        <v>13</v>
      </c>
      <c r="C52" t="s">
        <v>51</v>
      </c>
      <c r="G52" s="45">
        <f>G49+G50</f>
        <v>25955</v>
      </c>
    </row>
    <row r="53" spans="2:7" ht="15" thickTop="1" x14ac:dyDescent="0.2">
      <c r="B53" s="8"/>
      <c r="G53" s="43"/>
    </row>
    <row r="54" spans="2:7" x14ac:dyDescent="0.2">
      <c r="B54" s="8">
        <v>14</v>
      </c>
      <c r="C54" t="s">
        <v>52</v>
      </c>
      <c r="G54" s="43">
        <f>G43</f>
        <v>-607551.61</v>
      </c>
    </row>
    <row r="55" spans="2:7" x14ac:dyDescent="0.2">
      <c r="B55" s="8"/>
      <c r="G55" s="43"/>
    </row>
    <row r="56" spans="2:7" x14ac:dyDescent="0.2">
      <c r="B56" s="8">
        <v>15</v>
      </c>
      <c r="C56" t="s">
        <v>53</v>
      </c>
      <c r="G56" s="44">
        <f>SUM(F20:F25)</f>
        <v>-633506.6100000001</v>
      </c>
    </row>
    <row r="57" spans="2:7" x14ac:dyDescent="0.2">
      <c r="B57" s="8"/>
      <c r="G57" s="43"/>
    </row>
    <row r="58" spans="2:7" ht="15" thickBot="1" x14ac:dyDescent="0.25">
      <c r="B58" s="8">
        <v>16</v>
      </c>
      <c r="C58" t="s">
        <v>54</v>
      </c>
      <c r="G58" s="45">
        <f>G54-G56</f>
        <v>25955.000000000116</v>
      </c>
    </row>
    <row r="59" spans="2:7" ht="15" thickTop="1" x14ac:dyDescent="0.2">
      <c r="B59" s="32"/>
      <c r="C59" s="46"/>
      <c r="D59" s="46"/>
      <c r="E59" s="46"/>
      <c r="F59" s="46"/>
      <c r="G59" s="47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90"/>
      <c r="G62" s="90"/>
    </row>
    <row r="63" spans="2:7" x14ac:dyDescent="0.2">
      <c r="B63" s="36"/>
      <c r="C63" s="9" t="s">
        <v>17</v>
      </c>
      <c r="D63" s="9" t="s">
        <v>104</v>
      </c>
      <c r="E63" s="31"/>
      <c r="F63" s="90"/>
      <c r="G63" s="90"/>
    </row>
    <row r="64" spans="2:7" x14ac:dyDescent="0.2">
      <c r="C64" s="17">
        <v>45474</v>
      </c>
      <c r="D64" s="91">
        <v>12978</v>
      </c>
      <c r="E64" s="92"/>
      <c r="F64" s="93"/>
      <c r="G64" s="93"/>
    </row>
    <row r="65" spans="3:7" x14ac:dyDescent="0.2">
      <c r="C65" s="19">
        <v>45505</v>
      </c>
      <c r="D65" s="94">
        <v>12977</v>
      </c>
      <c r="E65" s="92"/>
      <c r="F65" s="93"/>
      <c r="G65" s="93"/>
    </row>
    <row r="66" spans="3:7" x14ac:dyDescent="0.2">
      <c r="C66" s="19">
        <v>45536</v>
      </c>
      <c r="D66" s="94">
        <v>0</v>
      </c>
      <c r="E66" s="92"/>
      <c r="F66" s="93"/>
      <c r="G66" s="93"/>
    </row>
    <row r="67" spans="3:7" x14ac:dyDescent="0.2">
      <c r="C67" s="19">
        <v>45566</v>
      </c>
      <c r="D67" s="94">
        <v>0</v>
      </c>
      <c r="E67" s="92"/>
      <c r="F67" s="93"/>
      <c r="G67" s="93"/>
    </row>
    <row r="68" spans="3:7" x14ac:dyDescent="0.2">
      <c r="C68" s="19">
        <v>45597</v>
      </c>
      <c r="D68" s="94">
        <v>0</v>
      </c>
      <c r="E68" s="92"/>
      <c r="F68" s="93"/>
      <c r="G68" s="93"/>
    </row>
    <row r="69" spans="3:7" x14ac:dyDescent="0.2">
      <c r="C69" s="19">
        <v>45627</v>
      </c>
      <c r="D69" s="95">
        <v>0</v>
      </c>
      <c r="E69" s="92"/>
      <c r="F69" s="93"/>
      <c r="G69" s="93"/>
    </row>
    <row r="70" spans="3:7" x14ac:dyDescent="0.2">
      <c r="C70" s="48" t="s">
        <v>57</v>
      </c>
      <c r="D70" s="14">
        <f>SUM(D64:D69)</f>
        <v>25955</v>
      </c>
      <c r="E70" s="20"/>
      <c r="F70" s="93"/>
      <c r="G70" s="93"/>
    </row>
  </sheetData>
  <mergeCells count="3">
    <mergeCell ref="B4:G5"/>
    <mergeCell ref="C12:G12"/>
    <mergeCell ref="I4:M5"/>
  </mergeCells>
  <pageMargins left="0.7" right="0.7" top="0.75" bottom="0.75" header="0.3" footer="0.3"/>
  <pageSetup scale="54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cp:lastPrinted>2025-03-19T18:56:08Z</cp:lastPrinted>
  <dcterms:created xsi:type="dcterms:W3CDTF">2022-06-13T11:58:16Z</dcterms:created>
  <dcterms:modified xsi:type="dcterms:W3CDTF">2025-03-31T01:12:04Z</dcterms:modified>
</cp:coreProperties>
</file>