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013 - 36-Month Review\PSC DR1\To be filed 3-31\"/>
    </mc:Choice>
  </mc:AlternateContent>
  <xr:revisionPtr revIDLastSave="0" documentId="13_ncr:1_{6F89972E-6AF2-4FC0-86F7-39B7240EC3E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1" r:id="rId1"/>
    <sheet name="A - 05-31-22" sheetId="2" r:id="rId2"/>
    <sheet name="B - 11-30-22" sheetId="3" r:id="rId3"/>
    <sheet name="C - 05-31-23" sheetId="4" r:id="rId4"/>
    <sheet name="D - 11-30-23" sheetId="5" r:id="rId5"/>
    <sheet name="E - 05-31-24" sheetId="6" r:id="rId6"/>
    <sheet name="F - 11-30-24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8" l="1"/>
  <c r="D26" i="6" l="1"/>
  <c r="D25" i="6"/>
  <c r="D24" i="6"/>
  <c r="D23" i="6"/>
  <c r="D22" i="6"/>
  <c r="D21" i="6"/>
  <c r="D20" i="6"/>
  <c r="D19" i="6"/>
  <c r="D25" i="5" l="1"/>
  <c r="D24" i="5"/>
  <c r="D23" i="5"/>
  <c r="D22" i="5"/>
  <c r="D21" i="5"/>
  <c r="D20" i="5"/>
  <c r="D19" i="5"/>
  <c r="D18" i="5"/>
  <c r="D24" i="4" l="1"/>
  <c r="D23" i="4"/>
  <c r="D22" i="4"/>
  <c r="D21" i="4"/>
  <c r="D20" i="4"/>
  <c r="D19" i="4"/>
  <c r="D18" i="4"/>
  <c r="D17" i="4"/>
  <c r="D23" i="3" l="1"/>
  <c r="D22" i="3"/>
  <c r="D21" i="3"/>
  <c r="D20" i="3"/>
  <c r="D19" i="3"/>
  <c r="D18" i="3"/>
  <c r="D17" i="3"/>
  <c r="D16" i="3"/>
  <c r="D22" i="2" l="1"/>
  <c r="D21" i="2"/>
  <c r="D20" i="2"/>
  <c r="D19" i="2"/>
  <c r="D18" i="2"/>
  <c r="D17" i="2"/>
  <c r="D16" i="2"/>
  <c r="D15" i="2"/>
  <c r="G14" i="2" l="1"/>
  <c r="D70" i="8" l="1"/>
  <c r="E35" i="8" s="1"/>
  <c r="D35" i="8"/>
  <c r="G35" i="8" s="1"/>
  <c r="F27" i="8"/>
  <c r="F26" i="8"/>
  <c r="F25" i="8"/>
  <c r="F24" i="8"/>
  <c r="F23" i="8"/>
  <c r="F22" i="8"/>
  <c r="F21" i="8"/>
  <c r="F20" i="8"/>
  <c r="G56" i="8" l="1"/>
  <c r="D68" i="6" l="1"/>
  <c r="E34" i="6" s="1"/>
  <c r="D34" i="6"/>
  <c r="F26" i="6"/>
  <c r="F25" i="6"/>
  <c r="F24" i="6"/>
  <c r="F23" i="6"/>
  <c r="F22" i="6"/>
  <c r="F21" i="6"/>
  <c r="F20" i="6"/>
  <c r="F19" i="6"/>
  <c r="G34" i="6" l="1"/>
  <c r="G54" i="6"/>
  <c r="D66" i="5" l="1"/>
  <c r="D33" i="5"/>
  <c r="F25" i="5"/>
  <c r="F24" i="5"/>
  <c r="F23" i="5"/>
  <c r="F22" i="5"/>
  <c r="F21" i="5"/>
  <c r="F20" i="5"/>
  <c r="F19" i="5"/>
  <c r="F18" i="5"/>
  <c r="G52" i="5" l="1"/>
  <c r="G33" i="5"/>
  <c r="D64" i="4" l="1"/>
  <c r="D32" i="4"/>
  <c r="F24" i="4"/>
  <c r="F23" i="4"/>
  <c r="F22" i="4"/>
  <c r="F21" i="4"/>
  <c r="F20" i="4"/>
  <c r="F19" i="4"/>
  <c r="F18" i="4"/>
  <c r="F17" i="4"/>
  <c r="G32" i="4" l="1"/>
  <c r="G50" i="4"/>
  <c r="D62" i="3" l="1"/>
  <c r="D31" i="3"/>
  <c r="F23" i="3"/>
  <c r="F22" i="3"/>
  <c r="F21" i="3"/>
  <c r="F20" i="3"/>
  <c r="F19" i="3"/>
  <c r="F18" i="3"/>
  <c r="F17" i="3"/>
  <c r="F16" i="3"/>
  <c r="G31" i="3" l="1"/>
  <c r="G48" i="3"/>
  <c r="D60" i="2" l="1"/>
  <c r="D30" i="2"/>
  <c r="F22" i="2"/>
  <c r="F21" i="2"/>
  <c r="F20" i="2"/>
  <c r="F19" i="2"/>
  <c r="F18" i="2"/>
  <c r="F17" i="2"/>
  <c r="F16" i="2"/>
  <c r="F15" i="2"/>
  <c r="G39" i="2"/>
  <c r="G30" i="2" l="1"/>
  <c r="G31" i="2" s="1"/>
  <c r="G40" i="2"/>
  <c r="G42" i="2"/>
  <c r="G46" i="2"/>
  <c r="G15" i="2"/>
  <c r="G16" i="2" s="1"/>
  <c r="G17" i="2" s="1"/>
  <c r="G18" i="2" s="1"/>
  <c r="G19" i="2" s="1"/>
  <c r="G20" i="2" s="1"/>
  <c r="G21" i="2" l="1"/>
  <c r="G22" i="2" s="1"/>
  <c r="G33" i="2"/>
  <c r="G14" i="5" l="1"/>
  <c r="G14" i="4"/>
  <c r="G14" i="8"/>
  <c r="G14" i="6"/>
  <c r="E8" i="1"/>
  <c r="G14" i="3"/>
  <c r="G44" i="2"/>
  <c r="G48" i="2" s="1"/>
  <c r="G35" i="2"/>
  <c r="D35" i="6" l="1"/>
  <c r="G35" i="6" s="1"/>
  <c r="D36" i="8"/>
  <c r="G36" i="8" s="1"/>
  <c r="D33" i="4"/>
  <c r="G33" i="4" s="1"/>
  <c r="D34" i="5"/>
  <c r="G34" i="5" s="1"/>
  <c r="G15" i="3"/>
  <c r="D32" i="3"/>
  <c r="G32" i="3" s="1"/>
  <c r="F8" i="1"/>
  <c r="G33" i="3" l="1"/>
  <c r="G42" i="3" s="1"/>
  <c r="G16" i="3"/>
  <c r="G17" i="3" s="1"/>
  <c r="G18" i="3" s="1"/>
  <c r="G19" i="3" s="1"/>
  <c r="G20" i="3" s="1"/>
  <c r="G21" i="3" s="1"/>
  <c r="G41" i="3"/>
  <c r="G35" i="3" l="1"/>
  <c r="G15" i="5" s="1"/>
  <c r="G44" i="3"/>
  <c r="G22" i="3"/>
  <c r="G23" i="3" s="1"/>
  <c r="G15" i="4" l="1"/>
  <c r="D34" i="4" s="1"/>
  <c r="G34" i="4" s="1"/>
  <c r="G35" i="4" s="1"/>
  <c r="G44" i="4" s="1"/>
  <c r="G15" i="8"/>
  <c r="G15" i="6"/>
  <c r="D36" i="6"/>
  <c r="G36" i="6" s="1"/>
  <c r="D37" i="8"/>
  <c r="G37" i="8" s="1"/>
  <c r="D35" i="5"/>
  <c r="G35" i="5" s="1"/>
  <c r="E9" i="1"/>
  <c r="F9" i="1" s="1"/>
  <c r="G37" i="3"/>
  <c r="G46" i="3"/>
  <c r="G50" i="3" s="1"/>
  <c r="G16" i="4" l="1"/>
  <c r="G43" i="4"/>
  <c r="G46" i="4" s="1"/>
  <c r="G17" i="4"/>
  <c r="G18" i="4" s="1"/>
  <c r="G19" i="4" s="1"/>
  <c r="G20" i="4" s="1"/>
  <c r="G21" i="4" s="1"/>
  <c r="G22" i="4" s="1"/>
  <c r="G23" i="4" l="1"/>
  <c r="G24" i="4" s="1"/>
  <c r="G37" i="4"/>
  <c r="E10" i="1" l="1"/>
  <c r="F10" i="1" s="1"/>
  <c r="G16" i="5"/>
  <c r="G16" i="8"/>
  <c r="G16" i="6"/>
  <c r="G48" i="4"/>
  <c r="G52" i="4" s="1"/>
  <c r="G39" i="4"/>
  <c r="D37" i="6" l="1"/>
  <c r="G37" i="6" s="1"/>
  <c r="D38" i="8"/>
  <c r="G38" i="8" s="1"/>
  <c r="D36" i="5"/>
  <c r="G36" i="5" s="1"/>
  <c r="G37" i="5" s="1"/>
  <c r="G46" i="5" s="1"/>
  <c r="G17" i="5"/>
  <c r="G45" i="5" l="1"/>
  <c r="G48" i="5" s="1"/>
  <c r="G18" i="5"/>
  <c r="G19" i="5" s="1"/>
  <c r="G20" i="5" s="1"/>
  <c r="G21" i="5" s="1"/>
  <c r="G22" i="5" s="1"/>
  <c r="G23" i="5" s="1"/>
  <c r="G39" i="5" l="1"/>
  <c r="G24" i="5"/>
  <c r="G25" i="5" s="1"/>
  <c r="E11" i="1" l="1"/>
  <c r="F11" i="1" s="1"/>
  <c r="G17" i="6"/>
  <c r="G18" i="6" s="1"/>
  <c r="G17" i="8"/>
  <c r="G41" i="5"/>
  <c r="G50" i="5"/>
  <c r="G54" i="5" s="1"/>
  <c r="D38" i="6" l="1"/>
  <c r="G38" i="6" s="1"/>
  <c r="D39" i="8"/>
  <c r="G39" i="8" s="1"/>
  <c r="G39" i="6" l="1"/>
  <c r="G48" i="6" s="1"/>
  <c r="G47" i="6"/>
  <c r="G19" i="6"/>
  <c r="G20" i="6" s="1"/>
  <c r="G21" i="6" s="1"/>
  <c r="G22" i="6" s="1"/>
  <c r="G23" i="6" s="1"/>
  <c r="G24" i="6" s="1"/>
  <c r="G50" i="6" l="1"/>
  <c r="G25" i="6"/>
  <c r="G26" i="6" s="1"/>
  <c r="G41" i="6"/>
  <c r="E12" i="1" l="1"/>
  <c r="G18" i="8"/>
  <c r="G52" i="6"/>
  <c r="G56" i="6" s="1"/>
  <c r="G43" i="6"/>
  <c r="D40" i="8" l="1"/>
  <c r="G40" i="8" s="1"/>
  <c r="G41" i="8" s="1"/>
  <c r="G50" i="8" s="1"/>
  <c r="G19" i="8"/>
  <c r="F12" i="1"/>
  <c r="G49" i="8" l="1"/>
  <c r="G52" i="8" s="1"/>
  <c r="G20" i="8"/>
  <c r="G21" i="8" s="1"/>
  <c r="G22" i="8" s="1"/>
  <c r="G23" i="8" s="1"/>
  <c r="G24" i="8" s="1"/>
  <c r="G25" i="8" s="1"/>
  <c r="G26" i="8" l="1"/>
  <c r="G27" i="8" s="1"/>
  <c r="G43" i="8"/>
  <c r="E13" i="1" l="1"/>
  <c r="G45" i="8"/>
  <c r="G54" i="8"/>
  <c r="G58" i="8" s="1"/>
  <c r="F13" i="1" l="1"/>
  <c r="E15" i="1"/>
  <c r="E22" i="1" l="1"/>
  <c r="E24" i="1"/>
  <c r="F15" i="1"/>
</calcChain>
</file>

<file path=xl/sharedStrings.xml><?xml version="1.0" encoding="utf-8"?>
<sst xmlns="http://schemas.openxmlformats.org/spreadsheetml/2006/main" count="429" uniqueCount="101">
  <si>
    <t>Net (Over)/Under-Recovery of Environmental Surcharge</t>
  </si>
  <si>
    <t>From:</t>
  </si>
  <si>
    <t>Amount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</si>
  <si>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</si>
  <si>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</si>
  <si>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</si>
  <si>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</si>
  <si>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</si>
  <si>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</si>
  <si>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</si>
  <si>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</si>
  <si>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</si>
  <si>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</si>
  <si>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</si>
  <si>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</si>
  <si>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</si>
  <si>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</si>
  <si>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</si>
  <si>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</si>
  <si>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</si>
  <si>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</si>
  <si>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</si>
  <si>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</si>
  <si>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</si>
  <si>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1b</t>
  </si>
  <si>
    <t>1c</t>
  </si>
  <si>
    <t>1d</t>
  </si>
  <si>
    <t>Total Previous (Over)/Under-Recovery</t>
  </si>
  <si>
    <t>Post</t>
  </si>
  <si>
    <t>Review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</si>
  <si>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</si>
  <si>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</si>
  <si>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</si>
  <si>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</si>
  <si>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</si>
  <si>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</si>
  <si>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</si>
  <si>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</si>
  <si>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</si>
  <si>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</si>
  <si>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</si>
  <si>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</si>
  <si>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</si>
  <si>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</si>
  <si>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8b</t>
  </si>
  <si>
    <t>8c</t>
  </si>
  <si>
    <t>8d</t>
  </si>
  <si>
    <t xml:space="preserve">Total Order amounts remaining - Over/(Under):      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</si>
  <si>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</si>
  <si>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</si>
  <si>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</si>
  <si>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</si>
  <si>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</si>
  <si>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</si>
  <si>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</si>
  <si>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</si>
  <si>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</si>
  <si>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 xml:space="preserve">Totals  </t>
  </si>
  <si>
    <t>1e</t>
  </si>
  <si>
    <t>8e</t>
  </si>
  <si>
    <t>Cumulative six month (Over)/Under-Recovery [Cumulative net of remaining Case amortizations (Ln 7&amp;8e)]</t>
  </si>
  <si>
    <t>Less Adjustment for Order amounts remaining to be amortized at end of review period June 2022</t>
  </si>
  <si>
    <t>Monthly recovery (per month for six months</t>
  </si>
  <si>
    <t xml:space="preserve">  Tab "A - 05-31-22", Line No. 9</t>
  </si>
  <si>
    <t>1f</t>
  </si>
  <si>
    <t>Less Adjustment for Order amounts remaining to be amortized at end of review period December 2022</t>
  </si>
  <si>
    <t>8f</t>
  </si>
  <si>
    <t>Cumulative six month (Over)/Under-Recovery [Cumulative net of remaining Case amortizations (Ln 7&amp;8f)]</t>
  </si>
  <si>
    <t xml:space="preserve">  Tab "B - 11-30-22", Line No. 9</t>
  </si>
  <si>
    <t>1g</t>
  </si>
  <si>
    <t>Less Adjustment for Order amounts remaining to be amortized at end of review period June 2023</t>
  </si>
  <si>
    <t>8g</t>
  </si>
  <si>
    <t>Cumulative six month (Over)/Under-Recovery [Cumulative net of remaining Case amortizations (Ln 7&amp;8g)]</t>
  </si>
  <si>
    <t xml:space="preserve">  Tab "C - 05-31-23", Line No. 9</t>
  </si>
  <si>
    <t>Less Adjustment for Order amounts remaining to be amortized at end of review period December 2023</t>
  </si>
  <si>
    <t xml:space="preserve">  Tab "D - 11-30-23", Line No. 9</t>
  </si>
  <si>
    <t>Less Adjustment for Order amounts remaining to be amortized at end of review period June 2024</t>
  </si>
  <si>
    <t xml:space="preserve">  Tab "E - 05-31-24", Line No. 9</t>
  </si>
  <si>
    <t xml:space="preserve">  Tab "F - 11-30-24", Line No. 9</t>
  </si>
  <si>
    <t>Less Adjustment for Order amounts remaining to be amortized at end of review period December 2024</t>
  </si>
  <si>
    <t>From Case No. 2022-00141 (Over)/Under-Recovery</t>
  </si>
  <si>
    <t>From Tab "A - 05-31-22" (Over)/Under-Recovery</t>
  </si>
  <si>
    <t>Case No. 2022-00141 Recovery</t>
  </si>
  <si>
    <t>Cumulative six month (Over)/Under-Recovery [Cumulative net of remaining Case amortizations (Ln 7&amp;8b)]</t>
  </si>
  <si>
    <t>From Tab "A - 05-31-22" Recovery</t>
  </si>
  <si>
    <t>Cumulative six month (Over)/Under-Recovery [Cumulative net of remaining Case amortizations (Ln 7&amp;8c)]</t>
  </si>
  <si>
    <t>From Tab "B - 11-30-22" (Over)/Under-Recovery</t>
  </si>
  <si>
    <t>From Tab "B - 11-30-22" Recovery</t>
  </si>
  <si>
    <t>Cumulative six month (Over)/Under-Recovery [Cumulative net of remaining Case amortizations (Ln 7&amp;8d)]</t>
  </si>
  <si>
    <t>From Tab "C - 05-31-23" (Over)/Under-Recovery</t>
  </si>
  <si>
    <t>From Case No. 2022-00141 Recovery</t>
  </si>
  <si>
    <t>From Tab "C - 05-31-23" Recovery</t>
  </si>
  <si>
    <t>From Tab "D - 11-30-23" (Over)/Under-Recovery</t>
  </si>
  <si>
    <t>From Tab "D - 11-30-23" Recovery</t>
  </si>
  <si>
    <t>From Tab "E - 05-31-24" (Over)/Under-Recovery</t>
  </si>
  <si>
    <t>From Tab "E - 05-31-24" Recovery</t>
  </si>
  <si>
    <t>DR1 Response2 - Blue Grass Surcharge Summary.xlsx</t>
  </si>
  <si>
    <t>Blue Grass Energy</t>
  </si>
  <si>
    <t>Blue Grass Energy - Calculation of (Over)/Under Recovery</t>
  </si>
  <si>
    <t>2022-00141</t>
  </si>
  <si>
    <t>DR1 Response 2 - Blue Grass Surcharge Summary.xlsx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</si>
</sst>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164" formatCode="[$-409]mmm\-yy;@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6" fontId="0" fillId="0" borderId="0" xfId="0" applyNumberFormat="1"/>
    <xf numFmtId="6" fontId="0" fillId="0" borderId="3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5" fontId="0" fillId="0" borderId="12" xfId="0" applyNumberFormat="1" applyFill="1" applyBorder="1"/>
    <xf numFmtId="0" fontId="0" fillId="0" borderId="6" xfId="0" applyBorder="1"/>
    <xf numFmtId="5" fontId="0" fillId="0" borderId="9" xfId="0" applyNumberFormat="1" applyBorder="1"/>
    <xf numFmtId="164" fontId="0" fillId="0" borderId="9" xfId="0" applyNumberFormat="1" applyBorder="1" applyAlignment="1">
      <alignment horizontal="right"/>
    </xf>
    <xf numFmtId="5" fontId="0" fillId="0" borderId="4" xfId="0" applyNumberFormat="1" applyBorder="1"/>
    <xf numFmtId="164" fontId="0" fillId="0" borderId="10" xfId="0" applyNumberFormat="1" applyBorder="1" applyAlignment="1">
      <alignment horizontal="right"/>
    </xf>
    <xf numFmtId="5" fontId="0" fillId="0" borderId="16" xfId="0" applyNumberFormat="1" applyBorder="1"/>
    <xf numFmtId="5" fontId="0" fillId="0" borderId="10" xfId="0" applyNumberFormat="1" applyBorder="1"/>
    <xf numFmtId="5" fontId="0" fillId="0" borderId="7" xfId="0" applyNumberFormat="1" applyBorder="1"/>
    <xf numFmtId="5" fontId="0" fillId="0" borderId="11" xfId="0" applyNumberForma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2" borderId="11" xfId="0" applyFill="1" applyBorder="1" applyAlignment="1">
      <alignment horizontal="left"/>
    </xf>
    <xf numFmtId="0" fontId="0" fillId="2" borderId="2" xfId="0" applyFill="1" applyBorder="1"/>
    <xf numFmtId="5" fontId="0" fillId="2" borderId="8" xfId="0" applyNumberFormat="1" applyFill="1" applyBorder="1"/>
    <xf numFmtId="5" fontId="0" fillId="0" borderId="10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/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3" xfId="0" applyBorder="1"/>
    <xf numFmtId="5" fontId="0" fillId="0" borderId="12" xfId="0" applyNumberFormat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5" xfId="0" applyBorder="1"/>
    <xf numFmtId="0" fontId="0" fillId="0" borderId="0" xfId="0" applyBorder="1"/>
    <xf numFmtId="5" fontId="0" fillId="0" borderId="17" xfId="0" applyNumberFormat="1" applyBorder="1"/>
    <xf numFmtId="5" fontId="0" fillId="0" borderId="8" xfId="0" applyNumberFormat="1" applyBorder="1"/>
    <xf numFmtId="5" fontId="0" fillId="0" borderId="18" xfId="0" applyNumberFormat="1" applyBorder="1"/>
    <xf numFmtId="0" fontId="0" fillId="0" borderId="2" xfId="0" applyBorder="1"/>
    <xf numFmtId="0" fontId="0" fillId="0" borderId="8" xfId="0" applyBorder="1"/>
    <xf numFmtId="5" fontId="0" fillId="0" borderId="9" xfId="0" applyNumberFormat="1" applyFill="1" applyBorder="1"/>
    <xf numFmtId="5" fontId="0" fillId="0" borderId="10" xfId="0" applyNumberFormat="1" applyFill="1" applyBorder="1"/>
    <xf numFmtId="5" fontId="0" fillId="0" borderId="11" xfId="0" applyNumberFormat="1" applyFill="1" applyBorder="1"/>
    <xf numFmtId="0" fontId="0" fillId="0" borderId="12" xfId="0" applyBorder="1" applyAlignment="1">
      <alignment horizontal="right"/>
    </xf>
    <xf numFmtId="5" fontId="0" fillId="0" borderId="7" xfId="0" applyNumberFormat="1" applyFill="1" applyBorder="1"/>
    <xf numFmtId="0" fontId="0" fillId="0" borderId="0" xfId="0" applyFill="1" applyBorder="1"/>
    <xf numFmtId="0" fontId="0" fillId="0" borderId="11" xfId="0" applyFill="1" applyBorder="1" applyAlignment="1">
      <alignment horizontal="center"/>
    </xf>
    <xf numFmtId="5" fontId="0" fillId="3" borderId="12" xfId="0" applyNumberFormat="1" applyFill="1" applyBorder="1"/>
    <xf numFmtId="5" fontId="0" fillId="3" borderId="9" xfId="0" applyNumberFormat="1" applyFill="1" applyBorder="1"/>
    <xf numFmtId="5" fontId="0" fillId="3" borderId="4" xfId="0" applyNumberFormat="1" applyFill="1" applyBorder="1"/>
    <xf numFmtId="5" fontId="0" fillId="3" borderId="10" xfId="0" applyNumberFormat="1" applyFill="1" applyBorder="1"/>
    <xf numFmtId="5" fontId="0" fillId="3" borderId="16" xfId="0" applyNumberFormat="1" applyFill="1" applyBorder="1"/>
    <xf numFmtId="5" fontId="0" fillId="3" borderId="11" xfId="0" applyNumberFormat="1" applyFill="1" applyBorder="1"/>
    <xf numFmtId="5" fontId="0" fillId="3" borderId="7" xfId="0" applyNumberFormat="1" applyFill="1" applyBorder="1"/>
    <xf numFmtId="6" fontId="0" fillId="0" borderId="0" xfId="0" applyNumberFormat="1" applyBorder="1"/>
    <xf numFmtId="0" fontId="0" fillId="0" borderId="12" xfId="0" applyBorder="1"/>
    <xf numFmtId="0" fontId="0" fillId="0" borderId="17" xfId="0" applyBorder="1"/>
    <xf numFmtId="0" fontId="0" fillId="0" borderId="4" xfId="0" applyBorder="1"/>
    <xf numFmtId="5" fontId="0" fillId="0" borderId="5" xfId="0" applyNumberFormat="1" applyBorder="1"/>
    <xf numFmtId="5" fontId="0" fillId="0" borderId="6" xfId="0" applyNumberFormat="1" applyBorder="1"/>
    <xf numFmtId="0" fontId="0" fillId="0" borderId="16" xfId="0" applyBorder="1"/>
    <xf numFmtId="5" fontId="0" fillId="0" borderId="0" xfId="0" applyNumberFormat="1" applyBorder="1"/>
    <xf numFmtId="0" fontId="0" fillId="0" borderId="7" xfId="0" applyBorder="1"/>
    <xf numFmtId="5" fontId="0" fillId="0" borderId="2" xfId="0" applyNumberFormat="1" applyBorder="1"/>
    <xf numFmtId="0" fontId="0" fillId="0" borderId="0" xfId="0" applyBorder="1" applyAlignment="1">
      <alignment horizontal="center"/>
    </xf>
    <xf numFmtId="5" fontId="0" fillId="0" borderId="16" xfId="0" applyNumberFormat="1" applyFill="1" applyBorder="1"/>
    <xf numFmtId="7" fontId="0" fillId="0" borderId="0" xfId="0" applyNumberFormat="1"/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D5" sqref="D5"/>
    </sheetView>
  </sheetViews>
  <sheetFormatPr defaultColWidth="15.625" defaultRowHeight="14.25" x14ac:dyDescent="0.2"/>
  <sheetData>
    <row r="1" spans="1:6" x14ac:dyDescent="0.2">
      <c r="A1" t="s">
        <v>100</v>
      </c>
    </row>
    <row r="3" spans="1:6" ht="15" x14ac:dyDescent="0.25">
      <c r="C3" s="77" t="s">
        <v>97</v>
      </c>
      <c r="D3" s="77"/>
      <c r="E3" s="77"/>
    </row>
    <row r="4" spans="1:6" ht="15" x14ac:dyDescent="0.25">
      <c r="B4" s="77" t="s">
        <v>0</v>
      </c>
      <c r="C4" s="77"/>
      <c r="D4" s="77"/>
      <c r="E4" s="77"/>
      <c r="F4" s="77"/>
    </row>
    <row r="6" spans="1:6" ht="15" thickBot="1" x14ac:dyDescent="0.25">
      <c r="E6" s="1" t="s">
        <v>2</v>
      </c>
    </row>
    <row r="7" spans="1:6" x14ac:dyDescent="0.2">
      <c r="B7" t="s">
        <v>1</v>
      </c>
    </row>
    <row r="8" spans="1:6" x14ac:dyDescent="0.2">
      <c r="B8" t="s">
        <v>63</v>
      </c>
      <c r="E8" s="3">
        <f>'A - 05-31-22'!G33</f>
        <v>-339739.55999999982</v>
      </c>
      <c r="F8" s="2" t="str">
        <f>IF(E8&gt;0,"Under-Recovery","Over-Recovery")</f>
        <v>Over-Recovery</v>
      </c>
    </row>
    <row r="9" spans="1:6" x14ac:dyDescent="0.2">
      <c r="B9" t="s">
        <v>68</v>
      </c>
      <c r="E9" s="3">
        <f>'B - 11-30-22'!G35</f>
        <v>312041.08000000007</v>
      </c>
      <c r="F9" s="2" t="str">
        <f t="shared" ref="F9:F13" si="0">IF(E9&gt;0,"Under-Recovery","Over-Recovery")</f>
        <v>Under-Recovery</v>
      </c>
    </row>
    <row r="10" spans="1:6" x14ac:dyDescent="0.2">
      <c r="B10" t="s">
        <v>73</v>
      </c>
      <c r="E10" s="3">
        <f>'C - 05-31-23'!G37</f>
        <v>-742726.17000000027</v>
      </c>
      <c r="F10" s="2" t="str">
        <f t="shared" si="0"/>
        <v>Over-Recovery</v>
      </c>
    </row>
    <row r="11" spans="1:6" x14ac:dyDescent="0.2">
      <c r="B11" t="s">
        <v>75</v>
      </c>
      <c r="E11" s="3">
        <f>'D - 11-30-23'!G39</f>
        <v>129558.75</v>
      </c>
      <c r="F11" s="2" t="str">
        <f t="shared" si="0"/>
        <v>Under-Recovery</v>
      </c>
    </row>
    <row r="12" spans="1:6" x14ac:dyDescent="0.2">
      <c r="B12" t="s">
        <v>77</v>
      </c>
      <c r="E12" s="64">
        <f>'E - 05-31-24'!G41</f>
        <v>639756.00000000012</v>
      </c>
      <c r="F12" s="2" t="str">
        <f t="shared" si="0"/>
        <v>Under-Recovery</v>
      </c>
    </row>
    <row r="13" spans="1:6" x14ac:dyDescent="0.2">
      <c r="B13" t="s">
        <v>78</v>
      </c>
      <c r="E13" s="64">
        <f>'F - 11-30-24'!G43</f>
        <v>-346402.18000000017</v>
      </c>
      <c r="F13" s="2" t="str">
        <f t="shared" si="0"/>
        <v>Over-Recovery</v>
      </c>
    </row>
    <row r="14" spans="1:6" x14ac:dyDescent="0.2">
      <c r="E14" s="3"/>
    </row>
    <row r="15" spans="1:6" ht="15" thickBot="1" x14ac:dyDescent="0.25">
      <c r="B15" t="s">
        <v>3</v>
      </c>
      <c r="E15" s="4">
        <f>SUM(E8:E13)</f>
        <v>-347512.08000000007</v>
      </c>
      <c r="F15" s="2" t="str">
        <f>IF(E15&gt;0,"Under-Recovery","Over-Recovery")</f>
        <v>Over-Recovery</v>
      </c>
    </row>
    <row r="16" spans="1:6" ht="15" thickTop="1" x14ac:dyDescent="0.2"/>
    <row r="20" spans="2:6" ht="15" x14ac:dyDescent="0.25">
      <c r="B20" s="77" t="s">
        <v>4</v>
      </c>
      <c r="C20" s="77"/>
      <c r="D20" s="77"/>
      <c r="E20" s="77"/>
      <c r="F20" s="77"/>
    </row>
    <row r="22" spans="2:6" x14ac:dyDescent="0.2">
      <c r="B22" t="s">
        <v>5</v>
      </c>
      <c r="E22" s="3">
        <f>ROUND(E15/6,0)</f>
        <v>-57919</v>
      </c>
    </row>
    <row r="23" spans="2:6" x14ac:dyDescent="0.2">
      <c r="E23" s="3"/>
    </row>
    <row r="24" spans="2:6" x14ac:dyDescent="0.2">
      <c r="B24" t="s">
        <v>6</v>
      </c>
      <c r="E24" s="3">
        <f>ROUND(E15/12,0)</f>
        <v>-28959</v>
      </c>
    </row>
    <row r="25" spans="2:6" x14ac:dyDescent="0.2">
      <c r="E25" s="3"/>
    </row>
  </sheetData>
  <mergeCells count="3">
    <mergeCell ref="B4:F4"/>
    <mergeCell ref="C3:E3"/>
    <mergeCell ref="B20:F2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0"/>
  <sheetViews>
    <sheetView workbookViewId="0">
      <selection activeCell="E30" sqref="E30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9" x14ac:dyDescent="0.2">
      <c r="A1" t="s">
        <v>96</v>
      </c>
    </row>
    <row r="4" spans="1:9" ht="14.25" customHeight="1" x14ac:dyDescent="0.2">
      <c r="B4" s="78" t="s">
        <v>98</v>
      </c>
      <c r="C4" s="79"/>
      <c r="D4" s="79"/>
      <c r="E4" s="79"/>
      <c r="F4" s="79"/>
      <c r="G4" s="80"/>
    </row>
    <row r="5" spans="1:9" ht="14.25" customHeight="1" x14ac:dyDescent="0.2">
      <c r="B5" s="81"/>
      <c r="C5" s="82"/>
      <c r="D5" s="82"/>
      <c r="E5" s="82"/>
      <c r="F5" s="82"/>
      <c r="G5" s="83"/>
    </row>
    <row r="7" spans="1:9" x14ac:dyDescent="0.2">
      <c r="B7" s="5"/>
      <c r="C7" s="5"/>
      <c r="D7" s="5"/>
      <c r="E7" s="6" t="s">
        <v>7</v>
      </c>
      <c r="F7" s="5"/>
      <c r="G7" s="5"/>
    </row>
    <row r="8" spans="1:9" x14ac:dyDescent="0.2">
      <c r="B8" s="7"/>
      <c r="C8" s="7"/>
      <c r="D8" s="8" t="s">
        <v>8</v>
      </c>
      <c r="E8" s="8" t="s">
        <v>9</v>
      </c>
      <c r="F8" s="7"/>
      <c r="G8" s="7"/>
    </row>
    <row r="9" spans="1:9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9" x14ac:dyDescent="0.2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</row>
    <row r="11" spans="1:9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9" x14ac:dyDescent="0.2">
      <c r="B12" s="6">
        <v>1</v>
      </c>
      <c r="C12" s="84" t="s">
        <v>22</v>
      </c>
      <c r="D12" s="85"/>
      <c r="E12" s="85"/>
      <c r="F12" s="85"/>
      <c r="G12" s="86"/>
    </row>
    <row r="13" spans="1:9" x14ac:dyDescent="0.2">
      <c r="B13" s="6" t="s">
        <v>23</v>
      </c>
      <c r="C13" s="12" t="s">
        <v>80</v>
      </c>
      <c r="D13" s="12"/>
      <c r="E13" s="12"/>
      <c r="F13" s="13"/>
      <c r="G13" s="14">
        <v>790195</v>
      </c>
      <c r="I13" s="76"/>
    </row>
    <row r="14" spans="1:9" x14ac:dyDescent="0.2">
      <c r="B14" s="9" t="s">
        <v>24</v>
      </c>
      <c r="C14" s="12" t="s">
        <v>27</v>
      </c>
      <c r="D14" s="12"/>
      <c r="E14" s="12"/>
      <c r="F14" s="15"/>
      <c r="G14" s="16">
        <f>G13</f>
        <v>790195</v>
      </c>
    </row>
    <row r="15" spans="1:9" x14ac:dyDescent="0.2">
      <c r="B15" s="8">
        <v>2</v>
      </c>
      <c r="C15" s="17">
        <v>44562</v>
      </c>
      <c r="D15" s="58">
        <f>1528222-1433</f>
        <v>1526789</v>
      </c>
      <c r="E15" s="59">
        <v>1838184.85</v>
      </c>
      <c r="F15" s="18">
        <f t="shared" ref="F15:F22" si="0">D15-E15</f>
        <v>-311395.85000000009</v>
      </c>
      <c r="G15" s="16">
        <f t="shared" ref="G15:G22" si="1">G14+F15</f>
        <v>478799.14999999991</v>
      </c>
    </row>
    <row r="16" spans="1:9" x14ac:dyDescent="0.2">
      <c r="B16" s="8">
        <v>3</v>
      </c>
      <c r="C16" s="19">
        <v>44593</v>
      </c>
      <c r="D16" s="60">
        <f>1238612-857</f>
        <v>1237755</v>
      </c>
      <c r="E16" s="61">
        <v>1628018.88</v>
      </c>
      <c r="F16" s="20">
        <f t="shared" si="0"/>
        <v>-390263.87999999989</v>
      </c>
      <c r="G16" s="21">
        <f t="shared" si="1"/>
        <v>88535.270000000019</v>
      </c>
    </row>
    <row r="17" spans="2:7" x14ac:dyDescent="0.2">
      <c r="B17" s="8">
        <v>4</v>
      </c>
      <c r="C17" s="19">
        <v>44621</v>
      </c>
      <c r="D17" s="60">
        <f>832985-1093</f>
        <v>831892</v>
      </c>
      <c r="E17" s="61">
        <v>1105182.24</v>
      </c>
      <c r="F17" s="20">
        <f t="shared" si="0"/>
        <v>-273290.23999999999</v>
      </c>
      <c r="G17" s="21">
        <f t="shared" si="1"/>
        <v>-184754.96999999997</v>
      </c>
    </row>
    <row r="18" spans="2:7" x14ac:dyDescent="0.2">
      <c r="B18" s="8">
        <v>5</v>
      </c>
      <c r="C18" s="19">
        <v>44652</v>
      </c>
      <c r="D18" s="60">
        <f>1013967-1224</f>
        <v>1012743</v>
      </c>
      <c r="E18" s="61">
        <v>806373.85</v>
      </c>
      <c r="F18" s="20">
        <f t="shared" si="0"/>
        <v>206369.15000000002</v>
      </c>
      <c r="G18" s="21">
        <f t="shared" si="1"/>
        <v>21614.180000000051</v>
      </c>
    </row>
    <row r="19" spans="2:7" x14ac:dyDescent="0.2">
      <c r="B19" s="8">
        <v>6</v>
      </c>
      <c r="C19" s="19">
        <v>44682</v>
      </c>
      <c r="D19" s="60">
        <f>1116952-1211</f>
        <v>1115741</v>
      </c>
      <c r="E19" s="61">
        <v>951092.85</v>
      </c>
      <c r="F19" s="20">
        <f t="shared" si="0"/>
        <v>164648.15000000002</v>
      </c>
      <c r="G19" s="21">
        <f t="shared" si="1"/>
        <v>186262.33000000007</v>
      </c>
    </row>
    <row r="20" spans="2:7" x14ac:dyDescent="0.2">
      <c r="B20" s="8">
        <v>7</v>
      </c>
      <c r="C20" s="19">
        <v>44713</v>
      </c>
      <c r="D20" s="60">
        <f>1521268-300</f>
        <v>1520968</v>
      </c>
      <c r="E20" s="61">
        <v>1256774.8899999999</v>
      </c>
      <c r="F20" s="22">
        <f t="shared" si="0"/>
        <v>264193.1100000001</v>
      </c>
      <c r="G20" s="23">
        <f t="shared" si="1"/>
        <v>450455.44000000018</v>
      </c>
    </row>
    <row r="21" spans="2:7" x14ac:dyDescent="0.2">
      <c r="B21" s="24" t="s">
        <v>28</v>
      </c>
      <c r="C21" s="17">
        <v>44743</v>
      </c>
      <c r="D21" s="58">
        <f>1742690-1218</f>
        <v>1741472</v>
      </c>
      <c r="E21" s="59">
        <v>1564171.16</v>
      </c>
      <c r="F21" s="18">
        <f t="shared" si="0"/>
        <v>177300.84000000008</v>
      </c>
      <c r="G21" s="16">
        <f t="shared" si="1"/>
        <v>627756.28000000026</v>
      </c>
    </row>
    <row r="22" spans="2:7" x14ac:dyDescent="0.2">
      <c r="B22" s="25" t="s">
        <v>29</v>
      </c>
      <c r="C22" s="26">
        <v>44774</v>
      </c>
      <c r="D22" s="62">
        <f>1330741-247</f>
        <v>1330494</v>
      </c>
      <c r="E22" s="63">
        <v>1610365.93</v>
      </c>
      <c r="F22" s="22">
        <f t="shared" si="0"/>
        <v>-279871.92999999993</v>
      </c>
      <c r="G22" s="23">
        <f t="shared" si="1"/>
        <v>347884.35000000033</v>
      </c>
    </row>
    <row r="23" spans="2:7" x14ac:dyDescent="0.2">
      <c r="B23" s="9"/>
      <c r="C23" s="27" t="s">
        <v>61</v>
      </c>
      <c r="D23" s="28"/>
      <c r="E23" s="28"/>
      <c r="F23" s="28"/>
      <c r="G23" s="29"/>
    </row>
    <row r="24" spans="2:7" x14ac:dyDescent="0.2">
      <c r="B24" s="6"/>
      <c r="C24" s="5"/>
      <c r="D24" s="5"/>
      <c r="E24" s="5"/>
      <c r="F24" s="5"/>
      <c r="G24" s="16"/>
    </row>
    <row r="25" spans="2:7" x14ac:dyDescent="0.2">
      <c r="B25" s="8"/>
      <c r="C25" s="7"/>
      <c r="D25" s="8" t="s">
        <v>30</v>
      </c>
      <c r="E25" s="8" t="s">
        <v>31</v>
      </c>
      <c r="F25" s="7"/>
      <c r="G25" s="21"/>
    </row>
    <row r="26" spans="2:7" x14ac:dyDescent="0.2">
      <c r="B26" s="8">
        <v>8</v>
      </c>
      <c r="C26" s="7"/>
      <c r="D26" s="8" t="s">
        <v>32</v>
      </c>
      <c r="E26" s="8" t="s">
        <v>33</v>
      </c>
      <c r="F26" s="7"/>
      <c r="G26" s="30" t="s">
        <v>30</v>
      </c>
    </row>
    <row r="27" spans="2:7" x14ac:dyDescent="0.2">
      <c r="B27" s="8"/>
      <c r="C27" s="7"/>
      <c r="D27" s="8" t="s">
        <v>34</v>
      </c>
      <c r="E27" s="8" t="s">
        <v>35</v>
      </c>
      <c r="F27" s="7"/>
      <c r="G27" s="30" t="s">
        <v>36</v>
      </c>
    </row>
    <row r="28" spans="2:7" x14ac:dyDescent="0.2">
      <c r="B28" s="8"/>
      <c r="C28" s="7"/>
      <c r="D28" s="8" t="s">
        <v>37</v>
      </c>
      <c r="E28" s="8" t="s">
        <v>38</v>
      </c>
      <c r="F28" s="7"/>
      <c r="G28" s="30" t="s">
        <v>39</v>
      </c>
    </row>
    <row r="29" spans="2:7" x14ac:dyDescent="0.2">
      <c r="B29" s="9"/>
      <c r="C29" s="7"/>
      <c r="D29" s="8" t="s">
        <v>40</v>
      </c>
      <c r="E29" s="8" t="s">
        <v>41</v>
      </c>
      <c r="F29" s="7"/>
      <c r="G29" s="30" t="s">
        <v>42</v>
      </c>
    </row>
    <row r="30" spans="2:7" x14ac:dyDescent="0.2">
      <c r="B30" s="6" t="s">
        <v>43</v>
      </c>
      <c r="C30" s="65" t="s">
        <v>82</v>
      </c>
      <c r="D30" s="39">
        <f>-G13</f>
        <v>-790195</v>
      </c>
      <c r="E30" s="39">
        <v>0</v>
      </c>
      <c r="F30" s="65"/>
      <c r="G30" s="39">
        <f>D30+E30</f>
        <v>-790195</v>
      </c>
    </row>
    <row r="31" spans="2:7" x14ac:dyDescent="0.2">
      <c r="B31" s="9" t="s">
        <v>44</v>
      </c>
      <c r="C31" s="33"/>
      <c r="D31" s="34"/>
      <c r="E31" s="34"/>
      <c r="F31" s="35" t="s">
        <v>47</v>
      </c>
      <c r="G31" s="23">
        <f>G30</f>
        <v>-790195</v>
      </c>
    </row>
    <row r="32" spans="2:7" x14ac:dyDescent="0.2">
      <c r="B32" s="36"/>
      <c r="G32" s="37"/>
    </row>
    <row r="33" spans="2:7" x14ac:dyDescent="0.2">
      <c r="B33" s="10">
        <v>9</v>
      </c>
      <c r="C33" s="38" t="s">
        <v>83</v>
      </c>
      <c r="D33" s="12"/>
      <c r="E33" s="12"/>
      <c r="F33" s="13"/>
      <c r="G33" s="39">
        <f>G20+G31</f>
        <v>-339739.55999999982</v>
      </c>
    </row>
    <row r="34" spans="2:7" x14ac:dyDescent="0.2">
      <c r="B34" s="36"/>
      <c r="G34" s="37"/>
    </row>
    <row r="35" spans="2:7" x14ac:dyDescent="0.2">
      <c r="B35" s="10">
        <v>10</v>
      </c>
      <c r="C35" s="38" t="s">
        <v>62</v>
      </c>
      <c r="D35" s="12"/>
      <c r="E35" s="12"/>
      <c r="F35" s="13"/>
      <c r="G35" s="39">
        <f>G33/6</f>
        <v>-56623.259999999973</v>
      </c>
    </row>
    <row r="37" spans="2:7" x14ac:dyDescent="0.2">
      <c r="B37" s="5"/>
      <c r="C37" s="40" t="s">
        <v>48</v>
      </c>
      <c r="D37" s="41"/>
      <c r="E37" s="41"/>
      <c r="F37" s="41"/>
      <c r="G37" s="42"/>
    </row>
    <row r="38" spans="2:7" x14ac:dyDescent="0.2">
      <c r="B38" s="5"/>
      <c r="C38" s="43"/>
      <c r="D38" s="43"/>
      <c r="E38" s="43"/>
      <c r="F38" s="43"/>
      <c r="G38" s="15"/>
    </row>
    <row r="39" spans="2:7" x14ac:dyDescent="0.2">
      <c r="B39" s="8">
        <v>11</v>
      </c>
      <c r="C39" s="44" t="s">
        <v>49</v>
      </c>
      <c r="D39" s="44"/>
      <c r="E39" s="44"/>
      <c r="F39" s="44"/>
      <c r="G39" s="45">
        <f>G14</f>
        <v>790195</v>
      </c>
    </row>
    <row r="40" spans="2:7" x14ac:dyDescent="0.2">
      <c r="B40" s="8">
        <v>12</v>
      </c>
      <c r="C40" s="44" t="s">
        <v>50</v>
      </c>
      <c r="D40" s="44"/>
      <c r="E40" s="44"/>
      <c r="F40" s="44"/>
      <c r="G40" s="46">
        <f>G31</f>
        <v>-790195</v>
      </c>
    </row>
    <row r="41" spans="2:7" x14ac:dyDescent="0.2">
      <c r="B41" s="8"/>
      <c r="C41" s="44"/>
      <c r="D41" s="44"/>
      <c r="E41" s="44"/>
      <c r="F41" s="44"/>
      <c r="G41" s="45"/>
    </row>
    <row r="42" spans="2:7" ht="15" thickBot="1" x14ac:dyDescent="0.25">
      <c r="B42" s="8">
        <v>13</v>
      </c>
      <c r="C42" s="44" t="s">
        <v>51</v>
      </c>
      <c r="D42" s="44"/>
      <c r="E42" s="44"/>
      <c r="F42" s="44"/>
      <c r="G42" s="47">
        <f>G39+G40</f>
        <v>0</v>
      </c>
    </row>
    <row r="43" spans="2:7" ht="15" thickTop="1" x14ac:dyDescent="0.2">
      <c r="B43" s="8"/>
      <c r="C43" s="44"/>
      <c r="D43" s="44"/>
      <c r="E43" s="44"/>
      <c r="F43" s="44"/>
      <c r="G43" s="45"/>
    </row>
    <row r="44" spans="2:7" x14ac:dyDescent="0.2">
      <c r="B44" s="8">
        <v>14</v>
      </c>
      <c r="C44" s="44" t="s">
        <v>52</v>
      </c>
      <c r="D44" s="44"/>
      <c r="E44" s="44"/>
      <c r="F44" s="44"/>
      <c r="G44" s="45">
        <f>G33</f>
        <v>-339739.55999999982</v>
      </c>
    </row>
    <row r="45" spans="2:7" x14ac:dyDescent="0.2">
      <c r="B45" s="8"/>
      <c r="C45" s="44"/>
      <c r="D45" s="44"/>
      <c r="E45" s="44"/>
      <c r="F45" s="44"/>
      <c r="G45" s="45"/>
    </row>
    <row r="46" spans="2:7" x14ac:dyDescent="0.2">
      <c r="B46" s="8">
        <v>15</v>
      </c>
      <c r="C46" s="44" t="s">
        <v>53</v>
      </c>
      <c r="D46" s="44"/>
      <c r="E46" s="44"/>
      <c r="F46" s="44"/>
      <c r="G46" s="46">
        <f>SUM(F15:F20)</f>
        <v>-339739.55999999982</v>
      </c>
    </row>
    <row r="47" spans="2:7" x14ac:dyDescent="0.2">
      <c r="B47" s="8"/>
      <c r="C47" s="44"/>
      <c r="D47" s="44"/>
      <c r="E47" s="44"/>
      <c r="F47" s="44"/>
      <c r="G47" s="45"/>
    </row>
    <row r="48" spans="2:7" ht="15" thickBot="1" x14ac:dyDescent="0.25">
      <c r="B48" s="8">
        <v>16</v>
      </c>
      <c r="C48" s="44" t="s">
        <v>54</v>
      </c>
      <c r="D48" s="44"/>
      <c r="E48" s="44"/>
      <c r="F48" s="44"/>
      <c r="G48" s="47">
        <f>G44-G46</f>
        <v>0</v>
      </c>
    </row>
    <row r="49" spans="2:7" ht="15" thickTop="1" x14ac:dyDescent="0.2">
      <c r="B49" s="32"/>
      <c r="C49" s="48"/>
      <c r="D49" s="48"/>
      <c r="E49" s="48"/>
      <c r="F49" s="48"/>
      <c r="G49" s="49"/>
    </row>
    <row r="51" spans="2:7" x14ac:dyDescent="0.2">
      <c r="B51" t="s">
        <v>55</v>
      </c>
    </row>
    <row r="52" spans="2:7" x14ac:dyDescent="0.2">
      <c r="B52" s="36"/>
      <c r="C52" s="5"/>
      <c r="D52" s="6" t="s">
        <v>56</v>
      </c>
      <c r="E52" s="31"/>
      <c r="F52" s="74"/>
      <c r="G52" s="74"/>
    </row>
    <row r="53" spans="2:7" x14ac:dyDescent="0.2">
      <c r="B53" s="36"/>
      <c r="C53" s="9" t="s">
        <v>17</v>
      </c>
      <c r="D53" s="9" t="s">
        <v>99</v>
      </c>
      <c r="E53" s="31"/>
      <c r="F53" s="74"/>
      <c r="G53" s="74"/>
    </row>
    <row r="54" spans="2:7" x14ac:dyDescent="0.2">
      <c r="C54" s="17">
        <v>44562</v>
      </c>
      <c r="D54" s="50">
        <v>0</v>
      </c>
      <c r="E54" s="75"/>
      <c r="F54" s="71"/>
      <c r="G54" s="71"/>
    </row>
    <row r="55" spans="2:7" x14ac:dyDescent="0.2">
      <c r="C55" s="19">
        <v>44593</v>
      </c>
      <c r="D55" s="51">
        <v>0</v>
      </c>
      <c r="E55" s="75"/>
      <c r="F55" s="71"/>
      <c r="G55" s="71"/>
    </row>
    <row r="56" spans="2:7" x14ac:dyDescent="0.2">
      <c r="C56" s="19">
        <v>44621</v>
      </c>
      <c r="D56" s="51">
        <v>0</v>
      </c>
      <c r="E56" s="75"/>
      <c r="F56" s="71"/>
      <c r="G56" s="71"/>
    </row>
    <row r="57" spans="2:7" x14ac:dyDescent="0.2">
      <c r="C57" s="19">
        <v>44652</v>
      </c>
      <c r="D57" s="51">
        <v>0</v>
      </c>
      <c r="E57" s="75"/>
      <c r="F57" s="71"/>
      <c r="G57" s="71"/>
    </row>
    <row r="58" spans="2:7" x14ac:dyDescent="0.2">
      <c r="C58" s="19">
        <v>44682</v>
      </c>
      <c r="D58" s="51">
        <v>0</v>
      </c>
      <c r="E58" s="75"/>
      <c r="F58" s="71"/>
      <c r="G58" s="71"/>
    </row>
    <row r="59" spans="2:7" x14ac:dyDescent="0.2">
      <c r="C59" s="19">
        <v>44713</v>
      </c>
      <c r="D59" s="52">
        <v>0</v>
      </c>
      <c r="E59" s="75"/>
      <c r="F59" s="71"/>
      <c r="G59" s="71"/>
    </row>
    <row r="60" spans="2:7" x14ac:dyDescent="0.2">
      <c r="C60" s="53" t="s">
        <v>57</v>
      </c>
      <c r="D60" s="39">
        <f>SUM(D54:D59)</f>
        <v>0</v>
      </c>
      <c r="E60" s="20"/>
      <c r="F60" s="71"/>
      <c r="G60" s="71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2"/>
  <sheetViews>
    <sheetView topLeftCell="A24" workbookViewId="0">
      <selection activeCell="E31" sqref="E31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</cols>
  <sheetData>
    <row r="1" spans="1:7" x14ac:dyDescent="0.2">
      <c r="A1" t="s">
        <v>96</v>
      </c>
    </row>
    <row r="4" spans="1:7" ht="14.25" customHeight="1" x14ac:dyDescent="0.2">
      <c r="B4" s="78" t="s">
        <v>98</v>
      </c>
      <c r="C4" s="79"/>
      <c r="D4" s="79"/>
      <c r="E4" s="79"/>
      <c r="F4" s="79"/>
      <c r="G4" s="80"/>
    </row>
    <row r="5" spans="1:7" x14ac:dyDescent="0.2">
      <c r="B5" s="81"/>
      <c r="C5" s="82"/>
      <c r="D5" s="82"/>
      <c r="E5" s="82"/>
      <c r="F5" s="82"/>
      <c r="G5" s="83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4" t="s">
        <v>22</v>
      </c>
      <c r="D12" s="85"/>
      <c r="E12" s="85"/>
      <c r="F12" s="85"/>
      <c r="G12" s="86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790195</v>
      </c>
    </row>
    <row r="14" spans="1:7" x14ac:dyDescent="0.2">
      <c r="B14" s="8" t="s">
        <v>24</v>
      </c>
      <c r="C14" s="12" t="s">
        <v>81</v>
      </c>
      <c r="D14" s="12"/>
      <c r="E14" s="12"/>
      <c r="F14" s="13"/>
      <c r="G14" s="57">
        <f>'A - 05-31-22'!G33</f>
        <v>-339739.55999999982</v>
      </c>
    </row>
    <row r="15" spans="1:7" x14ac:dyDescent="0.2">
      <c r="B15" s="9" t="s">
        <v>25</v>
      </c>
      <c r="C15" s="12" t="s">
        <v>27</v>
      </c>
      <c r="D15" s="12"/>
      <c r="E15" s="12"/>
      <c r="F15" s="15"/>
      <c r="G15" s="16">
        <f>G13+G14</f>
        <v>450455.44000000018</v>
      </c>
    </row>
    <row r="16" spans="1:7" x14ac:dyDescent="0.2">
      <c r="B16" s="8">
        <v>2</v>
      </c>
      <c r="C16" s="17">
        <v>44743</v>
      </c>
      <c r="D16" s="58">
        <f>1742690-1218</f>
        <v>1741472</v>
      </c>
      <c r="E16" s="59">
        <v>1564171.16</v>
      </c>
      <c r="F16" s="18">
        <f t="shared" ref="F16:F23" si="0">D16-E16</f>
        <v>177300.84000000008</v>
      </c>
      <c r="G16" s="16">
        <f t="shared" ref="G16:G23" si="1">G15+F16</f>
        <v>627756.28000000026</v>
      </c>
    </row>
    <row r="17" spans="2:7" x14ac:dyDescent="0.2">
      <c r="B17" s="8">
        <v>3</v>
      </c>
      <c r="C17" s="19">
        <v>44774</v>
      </c>
      <c r="D17" s="60">
        <f>1330741-247</f>
        <v>1330494</v>
      </c>
      <c r="E17" s="61">
        <v>1610365.93</v>
      </c>
      <c r="F17" s="20">
        <f t="shared" si="0"/>
        <v>-279871.92999999993</v>
      </c>
      <c r="G17" s="21">
        <f t="shared" si="1"/>
        <v>347884.35000000033</v>
      </c>
    </row>
    <row r="18" spans="2:7" x14ac:dyDescent="0.2">
      <c r="B18" s="8">
        <v>4</v>
      </c>
      <c r="C18" s="19">
        <v>44805</v>
      </c>
      <c r="D18" s="60">
        <f>938949-0</f>
        <v>938949</v>
      </c>
      <c r="E18" s="61">
        <v>1313563.54</v>
      </c>
      <c r="F18" s="20">
        <f t="shared" si="0"/>
        <v>-374614.54000000004</v>
      </c>
      <c r="G18" s="21">
        <f t="shared" si="1"/>
        <v>-26730.189999999711</v>
      </c>
    </row>
    <row r="19" spans="2:7" x14ac:dyDescent="0.2">
      <c r="B19" s="8">
        <v>5</v>
      </c>
      <c r="C19" s="19">
        <v>44835</v>
      </c>
      <c r="D19" s="60">
        <f>1036739-943</f>
        <v>1035796</v>
      </c>
      <c r="E19" s="61">
        <v>845980.3</v>
      </c>
      <c r="F19" s="20">
        <f t="shared" si="0"/>
        <v>189815.69999999995</v>
      </c>
      <c r="G19" s="21">
        <f t="shared" si="1"/>
        <v>163085.51000000024</v>
      </c>
    </row>
    <row r="20" spans="2:7" x14ac:dyDescent="0.2">
      <c r="B20" s="8">
        <v>6</v>
      </c>
      <c r="C20" s="19">
        <v>44866</v>
      </c>
      <c r="D20" s="60">
        <f>1332611-1054</f>
        <v>1331557</v>
      </c>
      <c r="E20" s="61">
        <v>1114509.56</v>
      </c>
      <c r="F20" s="20">
        <f t="shared" si="0"/>
        <v>217047.43999999994</v>
      </c>
      <c r="G20" s="21">
        <f t="shared" si="1"/>
        <v>380132.95000000019</v>
      </c>
    </row>
    <row r="21" spans="2:7" x14ac:dyDescent="0.2">
      <c r="B21" s="8">
        <v>7</v>
      </c>
      <c r="C21" s="19">
        <v>44896</v>
      </c>
      <c r="D21" s="60">
        <f>1961313-1114</f>
        <v>1960199</v>
      </c>
      <c r="E21" s="61">
        <v>1577835.43</v>
      </c>
      <c r="F21" s="22">
        <f t="shared" si="0"/>
        <v>382363.57000000007</v>
      </c>
      <c r="G21" s="23">
        <f t="shared" si="1"/>
        <v>762496.52000000025</v>
      </c>
    </row>
    <row r="22" spans="2:7" x14ac:dyDescent="0.2">
      <c r="B22" s="24" t="s">
        <v>28</v>
      </c>
      <c r="C22" s="17">
        <v>44927</v>
      </c>
      <c r="D22" s="58">
        <f>1560764-954</f>
        <v>1559810</v>
      </c>
      <c r="E22" s="59">
        <v>1894475.1</v>
      </c>
      <c r="F22" s="18">
        <f t="shared" si="0"/>
        <v>-334665.10000000009</v>
      </c>
      <c r="G22" s="16">
        <f t="shared" si="1"/>
        <v>427831.42000000016</v>
      </c>
    </row>
    <row r="23" spans="2:7" x14ac:dyDescent="0.2">
      <c r="B23" s="25" t="s">
        <v>29</v>
      </c>
      <c r="C23" s="26">
        <v>44958</v>
      </c>
      <c r="D23" s="62">
        <f>789373-639</f>
        <v>788734</v>
      </c>
      <c r="E23" s="63">
        <v>1531492.04</v>
      </c>
      <c r="F23" s="22">
        <f t="shared" si="0"/>
        <v>-742758.04</v>
      </c>
      <c r="G23" s="23">
        <f t="shared" si="1"/>
        <v>-314926.61999999988</v>
      </c>
    </row>
    <row r="24" spans="2:7" x14ac:dyDescent="0.2">
      <c r="B24" s="9"/>
      <c r="C24" s="27" t="s">
        <v>65</v>
      </c>
      <c r="D24" s="28"/>
      <c r="E24" s="28"/>
      <c r="F24" s="28"/>
      <c r="G24" s="29"/>
    </row>
    <row r="25" spans="2:7" x14ac:dyDescent="0.2">
      <c r="B25" s="6"/>
      <c r="C25" s="5"/>
      <c r="D25" s="5"/>
      <c r="E25" s="5"/>
      <c r="F25" s="5"/>
      <c r="G25" s="16"/>
    </row>
    <row r="26" spans="2:7" x14ac:dyDescent="0.2">
      <c r="B26" s="8"/>
      <c r="C26" s="7"/>
      <c r="D26" s="8" t="s">
        <v>30</v>
      </c>
      <c r="E26" s="8" t="s">
        <v>31</v>
      </c>
      <c r="F26" s="7"/>
      <c r="G26" s="21"/>
    </row>
    <row r="27" spans="2:7" x14ac:dyDescent="0.2">
      <c r="B27" s="8">
        <v>8</v>
      </c>
      <c r="C27" s="7"/>
      <c r="D27" s="8" t="s">
        <v>32</v>
      </c>
      <c r="E27" s="8" t="s">
        <v>33</v>
      </c>
      <c r="F27" s="7"/>
      <c r="G27" s="30" t="s">
        <v>30</v>
      </c>
    </row>
    <row r="28" spans="2:7" x14ac:dyDescent="0.2">
      <c r="B28" s="8"/>
      <c r="C28" s="7"/>
      <c r="D28" s="8" t="s">
        <v>34</v>
      </c>
      <c r="E28" s="8" t="s">
        <v>35</v>
      </c>
      <c r="F28" s="7"/>
      <c r="G28" s="30" t="s">
        <v>36</v>
      </c>
    </row>
    <row r="29" spans="2:7" x14ac:dyDescent="0.2">
      <c r="B29" s="8"/>
      <c r="C29" s="7"/>
      <c r="D29" s="8" t="s">
        <v>37</v>
      </c>
      <c r="E29" s="8" t="s">
        <v>38</v>
      </c>
      <c r="F29" s="7"/>
      <c r="G29" s="30" t="s">
        <v>39</v>
      </c>
    </row>
    <row r="30" spans="2:7" x14ac:dyDescent="0.2">
      <c r="B30" s="9"/>
      <c r="C30" s="7"/>
      <c r="D30" s="8" t="s">
        <v>40</v>
      </c>
      <c r="E30" s="8" t="s">
        <v>41</v>
      </c>
      <c r="F30" s="7"/>
      <c r="G30" s="30" t="s">
        <v>42</v>
      </c>
    </row>
    <row r="31" spans="2:7" x14ac:dyDescent="0.2">
      <c r="B31" s="24" t="s">
        <v>43</v>
      </c>
      <c r="C31" s="5" t="s">
        <v>82</v>
      </c>
      <c r="D31" s="16">
        <f>-G13</f>
        <v>-790195</v>
      </c>
      <c r="E31" s="16">
        <v>0</v>
      </c>
      <c r="F31" s="5"/>
      <c r="G31" s="16">
        <f>D31+E31</f>
        <v>-790195</v>
      </c>
    </row>
    <row r="32" spans="2:7" x14ac:dyDescent="0.2">
      <c r="B32" s="31" t="s">
        <v>44</v>
      </c>
      <c r="C32" s="32" t="s">
        <v>84</v>
      </c>
      <c r="D32" s="23">
        <f>-G14</f>
        <v>339739.55999999982</v>
      </c>
      <c r="E32" s="23">
        <v>0</v>
      </c>
      <c r="F32" s="32"/>
      <c r="G32" s="23">
        <f>D32+E32</f>
        <v>339739.55999999982</v>
      </c>
    </row>
    <row r="33" spans="2:7" x14ac:dyDescent="0.2">
      <c r="B33" s="9" t="s">
        <v>45</v>
      </c>
      <c r="C33" s="33"/>
      <c r="D33" s="34"/>
      <c r="E33" s="34"/>
      <c r="F33" s="35" t="s">
        <v>47</v>
      </c>
      <c r="G33" s="23">
        <f>G31+G32</f>
        <v>-450455.44000000018</v>
      </c>
    </row>
    <row r="34" spans="2:7" x14ac:dyDescent="0.2">
      <c r="B34" s="36"/>
      <c r="G34" s="37"/>
    </row>
    <row r="35" spans="2:7" x14ac:dyDescent="0.2">
      <c r="B35" s="10">
        <v>9</v>
      </c>
      <c r="C35" s="38" t="s">
        <v>85</v>
      </c>
      <c r="D35" s="12"/>
      <c r="E35" s="12"/>
      <c r="F35" s="13"/>
      <c r="G35" s="39">
        <f>G21+G33</f>
        <v>312041.08000000007</v>
      </c>
    </row>
    <row r="36" spans="2:7" x14ac:dyDescent="0.2">
      <c r="B36" s="36"/>
      <c r="G36" s="37"/>
    </row>
    <row r="37" spans="2:7" x14ac:dyDescent="0.2">
      <c r="B37" s="10">
        <v>10</v>
      </c>
      <c r="C37" s="38" t="s">
        <v>62</v>
      </c>
      <c r="D37" s="12"/>
      <c r="E37" s="12"/>
      <c r="F37" s="13"/>
      <c r="G37" s="39">
        <f>G35/6</f>
        <v>52006.846666666679</v>
      </c>
    </row>
    <row r="39" spans="2:7" x14ac:dyDescent="0.2">
      <c r="B39" s="5"/>
      <c r="C39" s="40" t="s">
        <v>48</v>
      </c>
      <c r="D39" s="41"/>
      <c r="E39" s="41"/>
      <c r="F39" s="41"/>
      <c r="G39" s="42"/>
    </row>
    <row r="40" spans="2:7" x14ac:dyDescent="0.2">
      <c r="B40" s="5"/>
      <c r="C40" s="43"/>
      <c r="D40" s="43"/>
      <c r="E40" s="43"/>
      <c r="F40" s="43"/>
      <c r="G40" s="15"/>
    </row>
    <row r="41" spans="2:7" x14ac:dyDescent="0.2">
      <c r="B41" s="8">
        <v>11</v>
      </c>
      <c r="C41" s="44" t="s">
        <v>49</v>
      </c>
      <c r="D41" s="44"/>
      <c r="E41" s="44"/>
      <c r="F41" s="44"/>
      <c r="G41" s="45">
        <f>G15</f>
        <v>450455.44000000018</v>
      </c>
    </row>
    <row r="42" spans="2:7" x14ac:dyDescent="0.2">
      <c r="B42" s="8">
        <v>12</v>
      </c>
      <c r="C42" s="44" t="s">
        <v>50</v>
      </c>
      <c r="D42" s="44"/>
      <c r="E42" s="44"/>
      <c r="F42" s="44"/>
      <c r="G42" s="46">
        <f>G33</f>
        <v>-450455.44000000018</v>
      </c>
    </row>
    <row r="43" spans="2:7" x14ac:dyDescent="0.2">
      <c r="B43" s="8"/>
      <c r="C43" s="44"/>
      <c r="D43" s="44"/>
      <c r="E43" s="44"/>
      <c r="F43" s="44"/>
      <c r="G43" s="45"/>
    </row>
    <row r="44" spans="2:7" ht="15" thickBot="1" x14ac:dyDescent="0.25">
      <c r="B44" s="8">
        <v>13</v>
      </c>
      <c r="C44" s="44" t="s">
        <v>51</v>
      </c>
      <c r="D44" s="44"/>
      <c r="E44" s="44"/>
      <c r="F44" s="44"/>
      <c r="G44" s="47">
        <f>G41+G42</f>
        <v>0</v>
      </c>
    </row>
    <row r="45" spans="2:7" ht="15" thickTop="1" x14ac:dyDescent="0.2">
      <c r="B45" s="8"/>
      <c r="C45" s="44"/>
      <c r="D45" s="44"/>
      <c r="E45" s="44"/>
      <c r="F45" s="44"/>
      <c r="G45" s="45"/>
    </row>
    <row r="46" spans="2:7" x14ac:dyDescent="0.2">
      <c r="B46" s="8">
        <v>14</v>
      </c>
      <c r="C46" s="44" t="s">
        <v>52</v>
      </c>
      <c r="D46" s="44"/>
      <c r="E46" s="44"/>
      <c r="F46" s="44"/>
      <c r="G46" s="45">
        <f>G35</f>
        <v>312041.08000000007</v>
      </c>
    </row>
    <row r="47" spans="2:7" x14ac:dyDescent="0.2">
      <c r="B47" s="8"/>
      <c r="C47" s="44"/>
      <c r="D47" s="44"/>
      <c r="E47" s="44"/>
      <c r="F47" s="44"/>
      <c r="G47" s="45"/>
    </row>
    <row r="48" spans="2:7" x14ac:dyDescent="0.2">
      <c r="B48" s="8">
        <v>15</v>
      </c>
      <c r="C48" s="44" t="s">
        <v>53</v>
      </c>
      <c r="D48" s="44"/>
      <c r="E48" s="44"/>
      <c r="F48" s="44"/>
      <c r="G48" s="46">
        <f>SUM(F16:F21)</f>
        <v>312041.08000000007</v>
      </c>
    </row>
    <row r="49" spans="2:7" x14ac:dyDescent="0.2">
      <c r="B49" s="8"/>
      <c r="C49" s="44"/>
      <c r="D49" s="44"/>
      <c r="E49" s="44"/>
      <c r="F49" s="44"/>
      <c r="G49" s="45"/>
    </row>
    <row r="50" spans="2:7" ht="15" thickBot="1" x14ac:dyDescent="0.25">
      <c r="B50" s="8">
        <v>16</v>
      </c>
      <c r="C50" s="44" t="s">
        <v>54</v>
      </c>
      <c r="D50" s="44"/>
      <c r="E50" s="44"/>
      <c r="F50" s="44"/>
      <c r="G50" s="47">
        <f>G46-G48</f>
        <v>0</v>
      </c>
    </row>
    <row r="51" spans="2:7" ht="15" thickTop="1" x14ac:dyDescent="0.2">
      <c r="B51" s="32"/>
      <c r="C51" s="48"/>
      <c r="D51" s="48"/>
      <c r="E51" s="48"/>
      <c r="F51" s="48"/>
      <c r="G51" s="49"/>
    </row>
    <row r="53" spans="2:7" x14ac:dyDescent="0.2">
      <c r="B53" t="s">
        <v>55</v>
      </c>
    </row>
    <row r="54" spans="2:7" x14ac:dyDescent="0.2">
      <c r="B54" s="36"/>
      <c r="C54" s="5"/>
      <c r="D54" s="6" t="s">
        <v>56</v>
      </c>
      <c r="E54" s="31"/>
      <c r="F54" s="74"/>
      <c r="G54" s="74"/>
    </row>
    <row r="55" spans="2:7" x14ac:dyDescent="0.2">
      <c r="B55" s="36"/>
      <c r="C55" s="9" t="s">
        <v>17</v>
      </c>
      <c r="D55" s="9" t="s">
        <v>99</v>
      </c>
      <c r="E55" s="31"/>
      <c r="F55" s="74"/>
      <c r="G55" s="74"/>
    </row>
    <row r="56" spans="2:7" x14ac:dyDescent="0.2">
      <c r="C56" s="17">
        <v>44743</v>
      </c>
      <c r="D56" s="50">
        <v>0</v>
      </c>
      <c r="E56" s="75"/>
      <c r="F56" s="71"/>
      <c r="G56" s="71"/>
    </row>
    <row r="57" spans="2:7" x14ac:dyDescent="0.2">
      <c r="C57" s="19">
        <v>44774</v>
      </c>
      <c r="D57" s="51">
        <v>0</v>
      </c>
      <c r="E57" s="75"/>
      <c r="F57" s="71"/>
      <c r="G57" s="71"/>
    </row>
    <row r="58" spans="2:7" x14ac:dyDescent="0.2">
      <c r="C58" s="19">
        <v>44805</v>
      </c>
      <c r="D58" s="51">
        <v>0</v>
      </c>
      <c r="E58" s="75"/>
      <c r="F58" s="71"/>
      <c r="G58" s="71"/>
    </row>
    <row r="59" spans="2:7" x14ac:dyDescent="0.2">
      <c r="C59" s="19">
        <v>44835</v>
      </c>
      <c r="D59" s="51">
        <v>0</v>
      </c>
      <c r="E59" s="75"/>
      <c r="F59" s="71"/>
      <c r="G59" s="71"/>
    </row>
    <row r="60" spans="2:7" x14ac:dyDescent="0.2">
      <c r="C60" s="19">
        <v>44866</v>
      </c>
      <c r="D60" s="51">
        <v>0</v>
      </c>
      <c r="E60" s="75"/>
      <c r="F60" s="71"/>
      <c r="G60" s="71"/>
    </row>
    <row r="61" spans="2:7" x14ac:dyDescent="0.2">
      <c r="C61" s="19">
        <v>44896</v>
      </c>
      <c r="D61" s="52">
        <v>0</v>
      </c>
      <c r="E61" s="75"/>
      <c r="F61" s="71"/>
      <c r="G61" s="71"/>
    </row>
    <row r="62" spans="2:7" x14ac:dyDescent="0.2">
      <c r="C62" s="53" t="s">
        <v>57</v>
      </c>
      <c r="D62" s="39">
        <f>SUM(D56:D61)</f>
        <v>0</v>
      </c>
      <c r="E62" s="20"/>
      <c r="F62" s="71"/>
      <c r="G62" s="71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5"/>
  <sheetViews>
    <sheetView topLeftCell="A21" workbookViewId="0">
      <selection activeCell="E32" sqref="E32"/>
    </sheetView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">
        <v>96</v>
      </c>
    </row>
    <row r="4" spans="1:7" ht="14.25" customHeight="1" x14ac:dyDescent="0.2">
      <c r="B4" s="78" t="s">
        <v>98</v>
      </c>
      <c r="C4" s="79"/>
      <c r="D4" s="79"/>
      <c r="E4" s="79"/>
      <c r="F4" s="79"/>
      <c r="G4" s="80"/>
    </row>
    <row r="5" spans="1:7" x14ac:dyDescent="0.2">
      <c r="B5" s="81"/>
      <c r="C5" s="82"/>
      <c r="D5" s="82"/>
      <c r="E5" s="82"/>
      <c r="F5" s="82"/>
      <c r="G5" s="83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4" t="s">
        <v>22</v>
      </c>
      <c r="D12" s="85"/>
      <c r="E12" s="85"/>
      <c r="F12" s="85"/>
      <c r="G12" s="86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790195</v>
      </c>
    </row>
    <row r="14" spans="1:7" x14ac:dyDescent="0.2">
      <c r="B14" s="8" t="s">
        <v>24</v>
      </c>
      <c r="C14" s="12" t="s">
        <v>81</v>
      </c>
      <c r="D14" s="12"/>
      <c r="E14" s="12"/>
      <c r="F14" s="13"/>
      <c r="G14" s="57">
        <f>'A - 05-31-22'!G33</f>
        <v>-339739.55999999982</v>
      </c>
    </row>
    <row r="15" spans="1:7" x14ac:dyDescent="0.2">
      <c r="B15" s="8" t="s">
        <v>25</v>
      </c>
      <c r="C15" s="12" t="s">
        <v>86</v>
      </c>
      <c r="D15" s="12"/>
      <c r="E15" s="12"/>
      <c r="F15" s="13"/>
      <c r="G15" s="57">
        <f>'B - 11-30-22'!G35</f>
        <v>312041.08000000007</v>
      </c>
    </row>
    <row r="16" spans="1:7" x14ac:dyDescent="0.2">
      <c r="B16" s="9" t="s">
        <v>26</v>
      </c>
      <c r="C16" s="12" t="s">
        <v>27</v>
      </c>
      <c r="D16" s="12"/>
      <c r="E16" s="12"/>
      <c r="F16" s="15"/>
      <c r="G16" s="16">
        <f>G13+G14+G15</f>
        <v>762496.52000000025</v>
      </c>
    </row>
    <row r="17" spans="2:7" x14ac:dyDescent="0.2">
      <c r="B17" s="8">
        <v>2</v>
      </c>
      <c r="C17" s="17">
        <v>44927</v>
      </c>
      <c r="D17" s="58">
        <f>1560764-954</f>
        <v>1559810</v>
      </c>
      <c r="E17" s="59">
        <v>1894475.1</v>
      </c>
      <c r="F17" s="18">
        <f t="shared" ref="F17:F24" si="0">D17-E17</f>
        <v>-334665.10000000009</v>
      </c>
      <c r="G17" s="16">
        <f t="shared" ref="G17:G24" si="1">G16+F17</f>
        <v>427831.42000000016</v>
      </c>
    </row>
    <row r="18" spans="2:7" x14ac:dyDescent="0.2">
      <c r="B18" s="8">
        <v>3</v>
      </c>
      <c r="C18" s="19">
        <v>44958</v>
      </c>
      <c r="D18" s="60">
        <f>789373-639</f>
        <v>788734</v>
      </c>
      <c r="E18" s="61">
        <v>1531492.04</v>
      </c>
      <c r="F18" s="20">
        <f t="shared" si="0"/>
        <v>-742758.04</v>
      </c>
      <c r="G18" s="21">
        <f t="shared" si="1"/>
        <v>-314926.61999999988</v>
      </c>
    </row>
    <row r="19" spans="2:7" x14ac:dyDescent="0.2">
      <c r="B19" s="8">
        <v>4</v>
      </c>
      <c r="C19" s="19">
        <v>44986</v>
      </c>
      <c r="D19" s="60">
        <f>988322-820</f>
        <v>987502</v>
      </c>
      <c r="E19" s="61">
        <v>811193.78</v>
      </c>
      <c r="F19" s="20">
        <f t="shared" si="0"/>
        <v>176308.21999999997</v>
      </c>
      <c r="G19" s="21">
        <f t="shared" si="1"/>
        <v>-138618.39999999991</v>
      </c>
    </row>
    <row r="20" spans="2:7" x14ac:dyDescent="0.2">
      <c r="B20" s="8">
        <v>5</v>
      </c>
      <c r="C20" s="19">
        <v>45017</v>
      </c>
      <c r="D20" s="60">
        <f>1056086-1138</f>
        <v>1054948</v>
      </c>
      <c r="E20" s="61">
        <v>898944.67</v>
      </c>
      <c r="F20" s="20">
        <f t="shared" si="0"/>
        <v>156003.32999999996</v>
      </c>
      <c r="G20" s="21">
        <f t="shared" si="1"/>
        <v>17384.930000000051</v>
      </c>
    </row>
    <row r="21" spans="2:7" x14ac:dyDescent="0.2">
      <c r="B21" s="8">
        <v>6</v>
      </c>
      <c r="C21" s="19">
        <v>45047</v>
      </c>
      <c r="D21" s="60">
        <f>1099346-1116</f>
        <v>1098230</v>
      </c>
      <c r="E21" s="61">
        <v>1131709.24</v>
      </c>
      <c r="F21" s="20">
        <f t="shared" si="0"/>
        <v>-33479.239999999991</v>
      </c>
      <c r="G21" s="21">
        <f t="shared" si="1"/>
        <v>-16094.309999999939</v>
      </c>
    </row>
    <row r="22" spans="2:7" x14ac:dyDescent="0.2">
      <c r="B22" s="8">
        <v>7</v>
      </c>
      <c r="C22" s="19">
        <v>45078</v>
      </c>
      <c r="D22" s="60">
        <f>1253408-1326</f>
        <v>1252082</v>
      </c>
      <c r="E22" s="61">
        <v>1216217.3400000001</v>
      </c>
      <c r="F22" s="22">
        <f t="shared" si="0"/>
        <v>35864.659999999916</v>
      </c>
      <c r="G22" s="23">
        <f t="shared" si="1"/>
        <v>19770.349999999977</v>
      </c>
    </row>
    <row r="23" spans="2:7" x14ac:dyDescent="0.2">
      <c r="B23" s="24" t="s">
        <v>28</v>
      </c>
      <c r="C23" s="17">
        <v>45108</v>
      </c>
      <c r="D23" s="58">
        <f>1639912-1381</f>
        <v>1638531</v>
      </c>
      <c r="E23" s="59">
        <v>1515226.4</v>
      </c>
      <c r="F23" s="18">
        <f t="shared" si="0"/>
        <v>123304.60000000009</v>
      </c>
      <c r="G23" s="16">
        <f t="shared" si="1"/>
        <v>143074.95000000007</v>
      </c>
    </row>
    <row r="24" spans="2:7" x14ac:dyDescent="0.2">
      <c r="B24" s="25" t="s">
        <v>29</v>
      </c>
      <c r="C24" s="26">
        <v>45139</v>
      </c>
      <c r="D24" s="62">
        <f>1704409-0</f>
        <v>1704409</v>
      </c>
      <c r="E24" s="63">
        <v>1672045.18</v>
      </c>
      <c r="F24" s="22">
        <f t="shared" si="0"/>
        <v>32363.820000000065</v>
      </c>
      <c r="G24" s="23">
        <f t="shared" si="1"/>
        <v>175438.77000000014</v>
      </c>
    </row>
    <row r="25" spans="2:7" x14ac:dyDescent="0.2">
      <c r="B25" s="9"/>
      <c r="C25" s="27" t="s">
        <v>70</v>
      </c>
      <c r="D25" s="28"/>
      <c r="E25" s="28"/>
      <c r="F25" s="28"/>
      <c r="G25" s="29"/>
    </row>
    <row r="26" spans="2:7" x14ac:dyDescent="0.2">
      <c r="B26" s="6"/>
      <c r="C26" s="5"/>
      <c r="D26" s="5"/>
      <c r="E26" s="5"/>
      <c r="F26" s="5"/>
      <c r="G26" s="16"/>
    </row>
    <row r="27" spans="2:7" x14ac:dyDescent="0.2">
      <c r="B27" s="8"/>
      <c r="C27" s="7"/>
      <c r="D27" s="8" t="s">
        <v>30</v>
      </c>
      <c r="E27" s="8" t="s">
        <v>31</v>
      </c>
      <c r="F27" s="7"/>
      <c r="G27" s="21"/>
    </row>
    <row r="28" spans="2:7" x14ac:dyDescent="0.2">
      <c r="B28" s="8">
        <v>8</v>
      </c>
      <c r="C28" s="7"/>
      <c r="D28" s="8" t="s">
        <v>32</v>
      </c>
      <c r="E28" s="8" t="s">
        <v>33</v>
      </c>
      <c r="F28" s="7"/>
      <c r="G28" s="30" t="s">
        <v>30</v>
      </c>
    </row>
    <row r="29" spans="2:7" x14ac:dyDescent="0.2">
      <c r="B29" s="8"/>
      <c r="C29" s="7"/>
      <c r="D29" s="8" t="s">
        <v>34</v>
      </c>
      <c r="E29" s="8" t="s">
        <v>35</v>
      </c>
      <c r="F29" s="7"/>
      <c r="G29" s="30" t="s">
        <v>36</v>
      </c>
    </row>
    <row r="30" spans="2:7" x14ac:dyDescent="0.2">
      <c r="B30" s="8"/>
      <c r="C30" s="7"/>
      <c r="D30" s="8" t="s">
        <v>37</v>
      </c>
      <c r="E30" s="8" t="s">
        <v>38</v>
      </c>
      <c r="F30" s="7"/>
      <c r="G30" s="30" t="s">
        <v>39</v>
      </c>
    </row>
    <row r="31" spans="2:7" x14ac:dyDescent="0.2">
      <c r="B31" s="9"/>
      <c r="C31" s="7"/>
      <c r="D31" s="8" t="s">
        <v>40</v>
      </c>
      <c r="E31" s="8" t="s">
        <v>41</v>
      </c>
      <c r="F31" s="7"/>
      <c r="G31" s="30" t="s">
        <v>42</v>
      </c>
    </row>
    <row r="32" spans="2:7" x14ac:dyDescent="0.2">
      <c r="B32" s="24" t="s">
        <v>43</v>
      </c>
      <c r="C32" s="5" t="s">
        <v>82</v>
      </c>
      <c r="D32" s="16">
        <f>-G13</f>
        <v>-790195</v>
      </c>
      <c r="E32" s="16">
        <v>0</v>
      </c>
      <c r="F32" s="5"/>
      <c r="G32" s="16">
        <f t="shared" ref="G32:G34" si="2">D32+E32</f>
        <v>-790195</v>
      </c>
    </row>
    <row r="33" spans="2:7" x14ac:dyDescent="0.2">
      <c r="B33" s="31" t="s">
        <v>44</v>
      </c>
      <c r="C33" s="66" t="s">
        <v>84</v>
      </c>
      <c r="D33" s="21">
        <f>-G14</f>
        <v>339739.55999999982</v>
      </c>
      <c r="E33" s="21">
        <v>0</v>
      </c>
      <c r="F33" s="7"/>
      <c r="G33" s="21">
        <f t="shared" si="2"/>
        <v>339739.55999999982</v>
      </c>
    </row>
    <row r="34" spans="2:7" x14ac:dyDescent="0.2">
      <c r="B34" s="31" t="s">
        <v>45</v>
      </c>
      <c r="C34" s="49" t="s">
        <v>87</v>
      </c>
      <c r="D34" s="23">
        <f>-G15</f>
        <v>-312041.08000000007</v>
      </c>
      <c r="E34" s="23">
        <v>0</v>
      </c>
      <c r="F34" s="32"/>
      <c r="G34" s="23">
        <f t="shared" si="2"/>
        <v>-312041.08000000007</v>
      </c>
    </row>
    <row r="35" spans="2:7" x14ac:dyDescent="0.2">
      <c r="B35" s="9" t="s">
        <v>46</v>
      </c>
      <c r="C35" s="33"/>
      <c r="D35" s="34"/>
      <c r="E35" s="34"/>
      <c r="F35" s="35" t="s">
        <v>47</v>
      </c>
      <c r="G35" s="23">
        <f>G32+G33+G34</f>
        <v>-762496.52000000025</v>
      </c>
    </row>
    <row r="36" spans="2:7" x14ac:dyDescent="0.2">
      <c r="B36" s="36"/>
      <c r="G36" s="37"/>
    </row>
    <row r="37" spans="2:7" x14ac:dyDescent="0.2">
      <c r="B37" s="10">
        <v>9</v>
      </c>
      <c r="C37" s="38" t="s">
        <v>88</v>
      </c>
      <c r="D37" s="12"/>
      <c r="E37" s="12"/>
      <c r="F37" s="13"/>
      <c r="G37" s="39">
        <f>G22+G35</f>
        <v>-742726.17000000027</v>
      </c>
    </row>
    <row r="38" spans="2:7" x14ac:dyDescent="0.2">
      <c r="B38" s="36"/>
      <c r="G38" s="37"/>
    </row>
    <row r="39" spans="2:7" x14ac:dyDescent="0.2">
      <c r="B39" s="10">
        <v>10</v>
      </c>
      <c r="C39" s="38" t="s">
        <v>62</v>
      </c>
      <c r="D39" s="12"/>
      <c r="E39" s="12"/>
      <c r="F39" s="13"/>
      <c r="G39" s="39">
        <f>G37/6</f>
        <v>-123787.69500000005</v>
      </c>
    </row>
    <row r="41" spans="2:7" x14ac:dyDescent="0.2">
      <c r="B41" s="5"/>
      <c r="C41" s="40" t="s">
        <v>48</v>
      </c>
      <c r="D41" s="41"/>
      <c r="E41" s="41"/>
      <c r="F41" s="41"/>
      <c r="G41" s="42"/>
    </row>
    <row r="42" spans="2:7" x14ac:dyDescent="0.2">
      <c r="B42" s="5"/>
      <c r="C42" s="43"/>
      <c r="D42" s="43"/>
      <c r="E42" s="43"/>
      <c r="F42" s="43"/>
      <c r="G42" s="15"/>
    </row>
    <row r="43" spans="2:7" x14ac:dyDescent="0.2">
      <c r="B43" s="8">
        <v>11</v>
      </c>
      <c r="C43" s="44" t="s">
        <v>49</v>
      </c>
      <c r="D43" s="44"/>
      <c r="E43" s="44"/>
      <c r="F43" s="44"/>
      <c r="G43" s="45">
        <f>G16</f>
        <v>762496.52000000025</v>
      </c>
    </row>
    <row r="44" spans="2:7" x14ac:dyDescent="0.2">
      <c r="B44" s="8">
        <v>12</v>
      </c>
      <c r="C44" s="44" t="s">
        <v>50</v>
      </c>
      <c r="D44" s="44"/>
      <c r="E44" s="44"/>
      <c r="F44" s="44"/>
      <c r="G44" s="46">
        <f>G35</f>
        <v>-762496.52000000025</v>
      </c>
    </row>
    <row r="45" spans="2:7" x14ac:dyDescent="0.2">
      <c r="B45" s="8"/>
      <c r="C45" s="44"/>
      <c r="D45" s="44"/>
      <c r="E45" s="44"/>
      <c r="F45" s="44"/>
      <c r="G45" s="45"/>
    </row>
    <row r="46" spans="2:7" ht="15" thickBot="1" x14ac:dyDescent="0.25">
      <c r="B46" s="8">
        <v>13</v>
      </c>
      <c r="C46" s="44" t="s">
        <v>51</v>
      </c>
      <c r="D46" s="44"/>
      <c r="E46" s="44"/>
      <c r="F46" s="44"/>
      <c r="G46" s="47">
        <f>G43+G44</f>
        <v>0</v>
      </c>
    </row>
    <row r="47" spans="2:7" ht="15" thickTop="1" x14ac:dyDescent="0.2">
      <c r="B47" s="8"/>
      <c r="C47" s="44"/>
      <c r="D47" s="44"/>
      <c r="E47" s="44"/>
      <c r="F47" s="44"/>
      <c r="G47" s="45"/>
    </row>
    <row r="48" spans="2:7" x14ac:dyDescent="0.2">
      <c r="B48" s="8">
        <v>14</v>
      </c>
      <c r="C48" s="44" t="s">
        <v>52</v>
      </c>
      <c r="D48" s="44"/>
      <c r="E48" s="44"/>
      <c r="F48" s="44"/>
      <c r="G48" s="45">
        <f>G37</f>
        <v>-742726.17000000027</v>
      </c>
    </row>
    <row r="49" spans="2:7" x14ac:dyDescent="0.2">
      <c r="B49" s="8"/>
      <c r="C49" s="44"/>
      <c r="D49" s="44"/>
      <c r="E49" s="44"/>
      <c r="F49" s="44"/>
      <c r="G49" s="45"/>
    </row>
    <row r="50" spans="2:7" x14ac:dyDescent="0.2">
      <c r="B50" s="8">
        <v>15</v>
      </c>
      <c r="C50" s="44" t="s">
        <v>53</v>
      </c>
      <c r="D50" s="44"/>
      <c r="E50" s="44"/>
      <c r="F50" s="44"/>
      <c r="G50" s="46">
        <f>SUM(F17:F22)</f>
        <v>-742726.17000000027</v>
      </c>
    </row>
    <row r="51" spans="2:7" x14ac:dyDescent="0.2">
      <c r="B51" s="8"/>
      <c r="C51" s="44"/>
      <c r="D51" s="44"/>
      <c r="E51" s="44"/>
      <c r="F51" s="44"/>
      <c r="G51" s="45"/>
    </row>
    <row r="52" spans="2:7" ht="15" thickBot="1" x14ac:dyDescent="0.25">
      <c r="B52" s="8">
        <v>16</v>
      </c>
      <c r="C52" s="44" t="s">
        <v>54</v>
      </c>
      <c r="D52" s="44"/>
      <c r="E52" s="44"/>
      <c r="F52" s="44"/>
      <c r="G52" s="47">
        <f>G48-G50</f>
        <v>0</v>
      </c>
    </row>
    <row r="53" spans="2:7" ht="15" thickTop="1" x14ac:dyDescent="0.2">
      <c r="B53" s="32"/>
      <c r="C53" s="48"/>
      <c r="D53" s="48"/>
      <c r="E53" s="48"/>
      <c r="F53" s="48"/>
      <c r="G53" s="49"/>
    </row>
    <row r="55" spans="2:7" x14ac:dyDescent="0.2">
      <c r="B55" t="s">
        <v>55</v>
      </c>
    </row>
    <row r="56" spans="2:7" x14ac:dyDescent="0.2">
      <c r="B56" s="36"/>
      <c r="C56" s="5"/>
      <c r="D56" s="6" t="s">
        <v>56</v>
      </c>
      <c r="E56" s="31"/>
      <c r="F56" s="74"/>
      <c r="G56" s="74"/>
    </row>
    <row r="57" spans="2:7" x14ac:dyDescent="0.2">
      <c r="B57" s="36"/>
      <c r="C57" s="9" t="s">
        <v>17</v>
      </c>
      <c r="D57" s="9" t="s">
        <v>99</v>
      </c>
      <c r="E57" s="31"/>
      <c r="F57" s="74"/>
      <c r="G57" s="74"/>
    </row>
    <row r="58" spans="2:7" x14ac:dyDescent="0.2">
      <c r="C58" s="17">
        <v>44927</v>
      </c>
      <c r="D58" s="50">
        <v>0</v>
      </c>
      <c r="E58" s="75"/>
      <c r="F58" s="71"/>
      <c r="G58" s="71"/>
    </row>
    <row r="59" spans="2:7" x14ac:dyDescent="0.2">
      <c r="C59" s="19">
        <v>44958</v>
      </c>
      <c r="D59" s="51">
        <v>0</v>
      </c>
      <c r="E59" s="75"/>
      <c r="F59" s="71"/>
      <c r="G59" s="71"/>
    </row>
    <row r="60" spans="2:7" x14ac:dyDescent="0.2">
      <c r="C60" s="19">
        <v>44986</v>
      </c>
      <c r="D60" s="51">
        <v>0</v>
      </c>
      <c r="E60" s="75"/>
      <c r="F60" s="71"/>
      <c r="G60" s="71"/>
    </row>
    <row r="61" spans="2:7" x14ac:dyDescent="0.2">
      <c r="C61" s="19">
        <v>45017</v>
      </c>
      <c r="D61" s="51">
        <v>0</v>
      </c>
      <c r="E61" s="75"/>
      <c r="F61" s="71"/>
      <c r="G61" s="71"/>
    </row>
    <row r="62" spans="2:7" x14ac:dyDescent="0.2">
      <c r="C62" s="19">
        <v>45047</v>
      </c>
      <c r="D62" s="51">
        <v>0</v>
      </c>
      <c r="E62" s="75"/>
      <c r="F62" s="71"/>
      <c r="G62" s="71"/>
    </row>
    <row r="63" spans="2:7" x14ac:dyDescent="0.2">
      <c r="C63" s="19">
        <v>45078</v>
      </c>
      <c r="D63" s="52">
        <v>0</v>
      </c>
      <c r="E63" s="75"/>
      <c r="F63" s="71"/>
      <c r="G63" s="71"/>
    </row>
    <row r="64" spans="2:7" x14ac:dyDescent="0.2">
      <c r="C64" s="53" t="s">
        <v>57</v>
      </c>
      <c r="D64" s="39">
        <f>SUM(D58:D63)</f>
        <v>0</v>
      </c>
      <c r="E64" s="20"/>
      <c r="F64" s="71"/>
      <c r="G64" s="71"/>
    </row>
    <row r="65" spans="5:7" x14ac:dyDescent="0.2">
      <c r="E65" s="44"/>
      <c r="F65" s="44"/>
      <c r="G65" s="44"/>
    </row>
  </sheetData>
  <mergeCells count="2">
    <mergeCell ref="B4:G5"/>
    <mergeCell ref="C12:G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6"/>
  <sheetViews>
    <sheetView workbookViewId="0">
      <selection activeCell="E34" sqref="E34"/>
    </sheetView>
  </sheetViews>
  <sheetFormatPr defaultColWidth="12.625" defaultRowHeight="14.25" x14ac:dyDescent="0.2"/>
  <cols>
    <col min="2" max="2" width="8.625" customWidth="1"/>
    <col min="3" max="3" width="31.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">
        <v>96</v>
      </c>
    </row>
    <row r="4" spans="1:7" ht="14.25" customHeight="1" x14ac:dyDescent="0.2">
      <c r="A4" s="55"/>
      <c r="B4" s="78" t="s">
        <v>98</v>
      </c>
      <c r="C4" s="79"/>
      <c r="D4" s="79"/>
      <c r="E4" s="79"/>
      <c r="F4" s="79"/>
      <c r="G4" s="80"/>
    </row>
    <row r="5" spans="1:7" x14ac:dyDescent="0.2">
      <c r="A5" s="55"/>
      <c r="B5" s="81"/>
      <c r="C5" s="82"/>
      <c r="D5" s="82"/>
      <c r="E5" s="82"/>
      <c r="F5" s="82"/>
      <c r="G5" s="83"/>
    </row>
    <row r="6" spans="1:7" x14ac:dyDescent="0.2">
      <c r="A6" s="55"/>
    </row>
    <row r="7" spans="1:7" x14ac:dyDescent="0.2">
      <c r="A7" s="55"/>
      <c r="B7" s="5"/>
      <c r="C7" s="5"/>
      <c r="D7" s="5"/>
      <c r="E7" s="6" t="s">
        <v>7</v>
      </c>
      <c r="F7" s="5"/>
      <c r="G7" s="5"/>
    </row>
    <row r="8" spans="1:7" x14ac:dyDescent="0.2">
      <c r="A8" s="55"/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A9" s="55"/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A10" s="55"/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A11" s="55"/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A12" s="55"/>
      <c r="B12" s="6">
        <v>1</v>
      </c>
      <c r="C12" s="84" t="s">
        <v>22</v>
      </c>
      <c r="D12" s="85"/>
      <c r="E12" s="85"/>
      <c r="F12" s="85"/>
      <c r="G12" s="86"/>
    </row>
    <row r="13" spans="1:7" x14ac:dyDescent="0.2">
      <c r="A13" s="55"/>
      <c r="B13" s="6" t="s">
        <v>23</v>
      </c>
      <c r="C13" s="12" t="s">
        <v>80</v>
      </c>
      <c r="D13" s="12"/>
      <c r="E13" s="12"/>
      <c r="F13" s="13"/>
      <c r="G13" s="14">
        <v>790195</v>
      </c>
    </row>
    <row r="14" spans="1:7" x14ac:dyDescent="0.2">
      <c r="A14" s="55"/>
      <c r="B14" s="8" t="s">
        <v>24</v>
      </c>
      <c r="C14" s="12" t="s">
        <v>81</v>
      </c>
      <c r="D14" s="12"/>
      <c r="E14" s="12"/>
      <c r="F14" s="13"/>
      <c r="G14" s="57">
        <f>'A - 05-31-22'!G33</f>
        <v>-339739.55999999982</v>
      </c>
    </row>
    <row r="15" spans="1:7" x14ac:dyDescent="0.2">
      <c r="A15" s="55"/>
      <c r="B15" s="8" t="s">
        <v>25</v>
      </c>
      <c r="C15" s="12" t="s">
        <v>86</v>
      </c>
      <c r="D15" s="12"/>
      <c r="E15" s="12"/>
      <c r="F15" s="13"/>
      <c r="G15" s="57">
        <f>'B - 11-30-22'!G35</f>
        <v>312041.08000000007</v>
      </c>
    </row>
    <row r="16" spans="1:7" x14ac:dyDescent="0.2">
      <c r="A16" s="55"/>
      <c r="B16" s="8" t="s">
        <v>26</v>
      </c>
      <c r="C16" s="12" t="s">
        <v>89</v>
      </c>
      <c r="D16" s="12"/>
      <c r="E16" s="12"/>
      <c r="F16" s="15"/>
      <c r="G16" s="58">
        <f>'C - 05-31-23'!G37</f>
        <v>-742726.17000000027</v>
      </c>
    </row>
    <row r="17" spans="1:7" x14ac:dyDescent="0.2">
      <c r="A17" s="55"/>
      <c r="B17" s="9" t="s">
        <v>58</v>
      </c>
      <c r="C17" s="12" t="s">
        <v>27</v>
      </c>
      <c r="D17" s="12"/>
      <c r="E17" s="12"/>
      <c r="F17" s="15"/>
      <c r="G17" s="16">
        <f>G13+G14+G15+G16</f>
        <v>19770.349999999977</v>
      </c>
    </row>
    <row r="18" spans="1:7" x14ac:dyDescent="0.2">
      <c r="A18" s="55"/>
      <c r="B18" s="8">
        <v>2</v>
      </c>
      <c r="C18" s="17">
        <v>45108</v>
      </c>
      <c r="D18" s="58">
        <f>1639912-1381</f>
        <v>1638531</v>
      </c>
      <c r="E18" s="59">
        <v>1515226.4</v>
      </c>
      <c r="F18" s="18">
        <f t="shared" ref="F18:F25" si="0">D18-E18</f>
        <v>123304.60000000009</v>
      </c>
      <c r="G18" s="16">
        <f t="shared" ref="G18:G25" si="1">G17+F18</f>
        <v>143074.95000000007</v>
      </c>
    </row>
    <row r="19" spans="1:7" x14ac:dyDescent="0.2">
      <c r="A19" s="55"/>
      <c r="B19" s="8">
        <v>3</v>
      </c>
      <c r="C19" s="19">
        <v>45139</v>
      </c>
      <c r="D19" s="60">
        <f>1704409-0</f>
        <v>1704409</v>
      </c>
      <c r="E19" s="61">
        <v>1672045.18</v>
      </c>
      <c r="F19" s="20">
        <f t="shared" si="0"/>
        <v>32363.820000000065</v>
      </c>
      <c r="G19" s="21">
        <f t="shared" si="1"/>
        <v>175438.77000000014</v>
      </c>
    </row>
    <row r="20" spans="1:7" x14ac:dyDescent="0.2">
      <c r="A20" s="55"/>
      <c r="B20" s="8">
        <v>4</v>
      </c>
      <c r="C20" s="19">
        <v>45170</v>
      </c>
      <c r="D20" s="60">
        <f>1136143-0</f>
        <v>1136143</v>
      </c>
      <c r="E20" s="61">
        <v>1559652.56</v>
      </c>
      <c r="F20" s="20">
        <f t="shared" si="0"/>
        <v>-423509.56000000006</v>
      </c>
      <c r="G20" s="21">
        <f t="shared" si="1"/>
        <v>-248070.78999999992</v>
      </c>
    </row>
    <row r="21" spans="1:7" x14ac:dyDescent="0.2">
      <c r="A21" s="55"/>
      <c r="B21" s="8">
        <v>5</v>
      </c>
      <c r="C21" s="19">
        <v>45200</v>
      </c>
      <c r="D21" s="60">
        <f>1021980-1071</f>
        <v>1020909</v>
      </c>
      <c r="E21" s="61">
        <v>1055655.56</v>
      </c>
      <c r="F21" s="20">
        <f t="shared" si="0"/>
        <v>-34746.560000000056</v>
      </c>
      <c r="G21" s="21">
        <f t="shared" si="1"/>
        <v>-282817.34999999998</v>
      </c>
    </row>
    <row r="22" spans="1:7" x14ac:dyDescent="0.2">
      <c r="A22" s="55"/>
      <c r="B22" s="8">
        <v>6</v>
      </c>
      <c r="C22" s="19">
        <v>45231</v>
      </c>
      <c r="D22" s="60">
        <f>1449872-1283</f>
        <v>1448589</v>
      </c>
      <c r="E22" s="61">
        <v>1066926.1200000001</v>
      </c>
      <c r="F22" s="20">
        <f t="shared" si="0"/>
        <v>381662.87999999989</v>
      </c>
      <c r="G22" s="21">
        <f t="shared" si="1"/>
        <v>98845.529999999912</v>
      </c>
    </row>
    <row r="23" spans="1:7" x14ac:dyDescent="0.2">
      <c r="A23" s="55"/>
      <c r="B23" s="8">
        <v>7</v>
      </c>
      <c r="C23" s="19">
        <v>45261</v>
      </c>
      <c r="D23" s="60">
        <f>1624880-1322</f>
        <v>1623558</v>
      </c>
      <c r="E23" s="61">
        <v>1573074.43</v>
      </c>
      <c r="F23" s="22">
        <f t="shared" si="0"/>
        <v>50483.570000000065</v>
      </c>
      <c r="G23" s="23">
        <f t="shared" si="1"/>
        <v>149329.09999999998</v>
      </c>
    </row>
    <row r="24" spans="1:7" x14ac:dyDescent="0.2">
      <c r="A24" s="55"/>
      <c r="B24" s="24" t="s">
        <v>28</v>
      </c>
      <c r="C24" s="17">
        <v>45292</v>
      </c>
      <c r="D24" s="58">
        <f>2036693-1231</f>
        <v>2035462</v>
      </c>
      <c r="E24" s="59">
        <v>1902337.45</v>
      </c>
      <c r="F24" s="18">
        <f t="shared" si="0"/>
        <v>133124.55000000005</v>
      </c>
      <c r="G24" s="16">
        <f t="shared" si="1"/>
        <v>282453.65000000002</v>
      </c>
    </row>
    <row r="25" spans="1:7" x14ac:dyDescent="0.2">
      <c r="A25" s="55"/>
      <c r="B25" s="25" t="s">
        <v>29</v>
      </c>
      <c r="C25" s="26">
        <v>45323</v>
      </c>
      <c r="D25" s="62">
        <f>1456807-1147</f>
        <v>1455660</v>
      </c>
      <c r="E25" s="63">
        <v>1677526.52</v>
      </c>
      <c r="F25" s="22">
        <f t="shared" si="0"/>
        <v>-221866.52000000002</v>
      </c>
      <c r="G25" s="23">
        <f t="shared" si="1"/>
        <v>60587.130000000005</v>
      </c>
    </row>
    <row r="26" spans="1:7" x14ac:dyDescent="0.2">
      <c r="A26" s="55"/>
      <c r="B26" s="9"/>
      <c r="C26" s="27" t="s">
        <v>74</v>
      </c>
      <c r="D26" s="28"/>
      <c r="E26" s="28"/>
      <c r="F26" s="28"/>
      <c r="G26" s="29"/>
    </row>
    <row r="27" spans="1:7" x14ac:dyDescent="0.2">
      <c r="A27" s="55"/>
      <c r="B27" s="6"/>
      <c r="C27" s="5"/>
      <c r="D27" s="5"/>
      <c r="E27" s="5"/>
      <c r="F27" s="5"/>
      <c r="G27" s="16"/>
    </row>
    <row r="28" spans="1:7" x14ac:dyDescent="0.2">
      <c r="A28" s="55"/>
      <c r="B28" s="8"/>
      <c r="C28" s="7"/>
      <c r="D28" s="8" t="s">
        <v>30</v>
      </c>
      <c r="E28" s="8" t="s">
        <v>31</v>
      </c>
      <c r="F28" s="7"/>
      <c r="G28" s="21"/>
    </row>
    <row r="29" spans="1:7" x14ac:dyDescent="0.2">
      <c r="A29" s="55"/>
      <c r="B29" s="8">
        <v>8</v>
      </c>
      <c r="C29" s="7"/>
      <c r="D29" s="8" t="s">
        <v>32</v>
      </c>
      <c r="E29" s="8" t="s">
        <v>33</v>
      </c>
      <c r="F29" s="7"/>
      <c r="G29" s="30" t="s">
        <v>30</v>
      </c>
    </row>
    <row r="30" spans="1:7" x14ac:dyDescent="0.2">
      <c r="A30" s="55"/>
      <c r="B30" s="8"/>
      <c r="C30" s="7"/>
      <c r="D30" s="8" t="s">
        <v>34</v>
      </c>
      <c r="E30" s="8" t="s">
        <v>35</v>
      </c>
      <c r="F30" s="7"/>
      <c r="G30" s="30" t="s">
        <v>36</v>
      </c>
    </row>
    <row r="31" spans="1:7" x14ac:dyDescent="0.2">
      <c r="A31" s="55"/>
      <c r="B31" s="8"/>
      <c r="C31" s="7"/>
      <c r="D31" s="8" t="s">
        <v>37</v>
      </c>
      <c r="E31" s="8" t="s">
        <v>38</v>
      </c>
      <c r="F31" s="7"/>
      <c r="G31" s="30" t="s">
        <v>39</v>
      </c>
    </row>
    <row r="32" spans="1:7" x14ac:dyDescent="0.2">
      <c r="A32" s="55"/>
      <c r="B32" s="9"/>
      <c r="C32" s="7"/>
      <c r="D32" s="8" t="s">
        <v>40</v>
      </c>
      <c r="E32" s="8" t="s">
        <v>41</v>
      </c>
      <c r="F32" s="7"/>
      <c r="G32" s="30" t="s">
        <v>42</v>
      </c>
    </row>
    <row r="33" spans="1:7" x14ac:dyDescent="0.2">
      <c r="A33" s="55"/>
      <c r="B33" s="24" t="s">
        <v>43</v>
      </c>
      <c r="C33" s="67" t="s">
        <v>90</v>
      </c>
      <c r="D33" s="68">
        <f>-G13</f>
        <v>-790195</v>
      </c>
      <c r="E33" s="68">
        <v>0</v>
      </c>
      <c r="F33" s="15"/>
      <c r="G33" s="69">
        <f t="shared" ref="G33:G36" si="2">D33+E33</f>
        <v>-790195</v>
      </c>
    </row>
    <row r="34" spans="1:7" x14ac:dyDescent="0.2">
      <c r="A34" s="55"/>
      <c r="B34" s="31" t="s">
        <v>44</v>
      </c>
      <c r="C34" s="70" t="s">
        <v>84</v>
      </c>
      <c r="D34" s="71">
        <f>-G14</f>
        <v>339739.55999999982</v>
      </c>
      <c r="E34" s="71">
        <v>0</v>
      </c>
      <c r="F34" s="66"/>
      <c r="G34" s="45">
        <f t="shared" si="2"/>
        <v>339739.55999999982</v>
      </c>
    </row>
    <row r="35" spans="1:7" x14ac:dyDescent="0.2">
      <c r="A35" s="55"/>
      <c r="B35" s="31" t="s">
        <v>45</v>
      </c>
      <c r="C35" s="70" t="s">
        <v>87</v>
      </c>
      <c r="D35" s="71">
        <f>-G15</f>
        <v>-312041.08000000007</v>
      </c>
      <c r="E35" s="71">
        <v>0</v>
      </c>
      <c r="F35" s="66"/>
      <c r="G35" s="45">
        <f t="shared" si="2"/>
        <v>-312041.08000000007</v>
      </c>
    </row>
    <row r="36" spans="1:7" x14ac:dyDescent="0.2">
      <c r="A36" s="55"/>
      <c r="B36" s="31" t="s">
        <v>46</v>
      </c>
      <c r="C36" s="72" t="s">
        <v>91</v>
      </c>
      <c r="D36" s="73">
        <f>-G16</f>
        <v>742726.17000000027</v>
      </c>
      <c r="E36" s="73">
        <v>0</v>
      </c>
      <c r="F36" s="49"/>
      <c r="G36" s="46">
        <f t="shared" si="2"/>
        <v>742726.17000000027</v>
      </c>
    </row>
    <row r="37" spans="1:7" x14ac:dyDescent="0.2">
      <c r="A37" s="55"/>
      <c r="B37" s="9" t="s">
        <v>59</v>
      </c>
      <c r="C37" s="33"/>
      <c r="D37" s="34"/>
      <c r="E37" s="34"/>
      <c r="F37" s="35" t="s">
        <v>47</v>
      </c>
      <c r="G37" s="23">
        <f>G33+G34+G35+G36</f>
        <v>-19770.349999999977</v>
      </c>
    </row>
    <row r="38" spans="1:7" x14ac:dyDescent="0.2">
      <c r="A38" s="55"/>
      <c r="B38" s="36"/>
      <c r="G38" s="37"/>
    </row>
    <row r="39" spans="1:7" x14ac:dyDescent="0.2">
      <c r="A39" s="55"/>
      <c r="B39" s="10">
        <v>9</v>
      </c>
      <c r="C39" s="38" t="s">
        <v>60</v>
      </c>
      <c r="D39" s="12"/>
      <c r="E39" s="12"/>
      <c r="F39" s="13"/>
      <c r="G39" s="39">
        <f>G23+G37</f>
        <v>129558.75</v>
      </c>
    </row>
    <row r="40" spans="1:7" x14ac:dyDescent="0.2">
      <c r="A40" s="55"/>
      <c r="B40" s="36"/>
      <c r="G40" s="37"/>
    </row>
    <row r="41" spans="1:7" x14ac:dyDescent="0.2">
      <c r="A41" s="55"/>
      <c r="B41" s="10">
        <v>10</v>
      </c>
      <c r="C41" s="38" t="s">
        <v>62</v>
      </c>
      <c r="D41" s="12"/>
      <c r="E41" s="12"/>
      <c r="F41" s="13"/>
      <c r="G41" s="39">
        <f>G39/6</f>
        <v>21593.125</v>
      </c>
    </row>
    <row r="42" spans="1:7" x14ac:dyDescent="0.2">
      <c r="A42" s="55"/>
    </row>
    <row r="43" spans="1:7" x14ac:dyDescent="0.2">
      <c r="A43" s="55"/>
      <c r="B43" s="5"/>
      <c r="C43" s="40" t="s">
        <v>48</v>
      </c>
      <c r="D43" s="41"/>
      <c r="E43" s="41"/>
      <c r="F43" s="41"/>
      <c r="G43" s="42"/>
    </row>
    <row r="44" spans="1:7" x14ac:dyDescent="0.2">
      <c r="A44" s="55"/>
      <c r="B44" s="5"/>
      <c r="C44" s="43"/>
      <c r="D44" s="43"/>
      <c r="E44" s="43"/>
      <c r="F44" s="43"/>
      <c r="G44" s="15"/>
    </row>
    <row r="45" spans="1:7" x14ac:dyDescent="0.2">
      <c r="A45" s="55"/>
      <c r="B45" s="8">
        <v>11</v>
      </c>
      <c r="C45" s="44" t="s">
        <v>49</v>
      </c>
      <c r="D45" s="44"/>
      <c r="E45" s="44"/>
      <c r="F45" s="44"/>
      <c r="G45" s="45">
        <f>G17</f>
        <v>19770.349999999977</v>
      </c>
    </row>
    <row r="46" spans="1:7" x14ac:dyDescent="0.2">
      <c r="A46" s="55"/>
      <c r="B46" s="8">
        <v>12</v>
      </c>
      <c r="C46" s="44" t="s">
        <v>50</v>
      </c>
      <c r="D46" s="44"/>
      <c r="E46" s="44"/>
      <c r="F46" s="44"/>
      <c r="G46" s="46">
        <f>G37</f>
        <v>-19770.349999999977</v>
      </c>
    </row>
    <row r="47" spans="1:7" x14ac:dyDescent="0.2">
      <c r="A47" s="55"/>
      <c r="B47" s="8"/>
      <c r="C47" s="44"/>
      <c r="D47" s="44"/>
      <c r="E47" s="44"/>
      <c r="F47" s="44"/>
      <c r="G47" s="45"/>
    </row>
    <row r="48" spans="1:7" ht="15" thickBot="1" x14ac:dyDescent="0.25">
      <c r="A48" s="55"/>
      <c r="B48" s="8">
        <v>13</v>
      </c>
      <c r="C48" s="44" t="s">
        <v>51</v>
      </c>
      <c r="D48" s="44"/>
      <c r="E48" s="44"/>
      <c r="F48" s="44"/>
      <c r="G48" s="47">
        <f>G45+G46</f>
        <v>0</v>
      </c>
    </row>
    <row r="49" spans="1:7" ht="15" thickTop="1" x14ac:dyDescent="0.2">
      <c r="A49" s="55"/>
      <c r="B49" s="8"/>
      <c r="C49" s="44"/>
      <c r="D49" s="44"/>
      <c r="E49" s="44"/>
      <c r="F49" s="44"/>
      <c r="G49" s="45"/>
    </row>
    <row r="50" spans="1:7" x14ac:dyDescent="0.2">
      <c r="A50" s="55"/>
      <c r="B50" s="8">
        <v>14</v>
      </c>
      <c r="C50" s="44" t="s">
        <v>52</v>
      </c>
      <c r="D50" s="44"/>
      <c r="E50" s="44"/>
      <c r="F50" s="44"/>
      <c r="G50" s="45">
        <f>G39</f>
        <v>129558.75</v>
      </c>
    </row>
    <row r="51" spans="1:7" x14ac:dyDescent="0.2">
      <c r="A51" s="55"/>
      <c r="B51" s="8"/>
      <c r="C51" s="44"/>
      <c r="D51" s="44"/>
      <c r="E51" s="44"/>
      <c r="F51" s="44"/>
      <c r="G51" s="45"/>
    </row>
    <row r="52" spans="1:7" x14ac:dyDescent="0.2">
      <c r="A52" s="55"/>
      <c r="B52" s="8">
        <v>15</v>
      </c>
      <c r="C52" s="44" t="s">
        <v>53</v>
      </c>
      <c r="D52" s="44"/>
      <c r="E52" s="44"/>
      <c r="F52" s="44"/>
      <c r="G52" s="46">
        <f>SUM(F18:F23)</f>
        <v>129558.75</v>
      </c>
    </row>
    <row r="53" spans="1:7" x14ac:dyDescent="0.2">
      <c r="A53" s="55"/>
      <c r="B53" s="8"/>
      <c r="C53" s="44"/>
      <c r="D53" s="44"/>
      <c r="E53" s="44"/>
      <c r="F53" s="44"/>
      <c r="G53" s="45"/>
    </row>
    <row r="54" spans="1:7" ht="15" thickBot="1" x14ac:dyDescent="0.25">
      <c r="A54" s="55"/>
      <c r="B54" s="8">
        <v>16</v>
      </c>
      <c r="C54" s="44" t="s">
        <v>54</v>
      </c>
      <c r="D54" s="44"/>
      <c r="E54" s="44"/>
      <c r="F54" s="44"/>
      <c r="G54" s="47">
        <f>G50-G52</f>
        <v>0</v>
      </c>
    </row>
    <row r="55" spans="1:7" ht="15" thickTop="1" x14ac:dyDescent="0.2">
      <c r="A55" s="55"/>
      <c r="B55" s="32"/>
      <c r="C55" s="48"/>
      <c r="D55" s="48"/>
      <c r="E55" s="48"/>
      <c r="F55" s="48"/>
      <c r="G55" s="49"/>
    </row>
    <row r="56" spans="1:7" x14ac:dyDescent="0.2">
      <c r="A56" s="55"/>
    </row>
    <row r="57" spans="1:7" x14ac:dyDescent="0.2">
      <c r="A57" s="55"/>
      <c r="B57" t="s">
        <v>55</v>
      </c>
    </row>
    <row r="58" spans="1:7" x14ac:dyDescent="0.2">
      <c r="A58" s="55"/>
      <c r="B58" s="36"/>
      <c r="C58" s="5"/>
      <c r="D58" s="6" t="s">
        <v>56</v>
      </c>
      <c r="E58" s="31"/>
      <c r="F58" s="74"/>
      <c r="G58" s="74"/>
    </row>
    <row r="59" spans="1:7" x14ac:dyDescent="0.2">
      <c r="B59" s="36"/>
      <c r="C59" s="9" t="s">
        <v>17</v>
      </c>
      <c r="D59" s="9" t="s">
        <v>99</v>
      </c>
      <c r="E59" s="31"/>
      <c r="F59" s="74"/>
      <c r="G59" s="74"/>
    </row>
    <row r="60" spans="1:7" x14ac:dyDescent="0.2">
      <c r="C60" s="17">
        <v>45108</v>
      </c>
      <c r="D60" s="50">
        <v>0</v>
      </c>
      <c r="E60" s="75"/>
      <c r="F60" s="71"/>
      <c r="G60" s="71"/>
    </row>
    <row r="61" spans="1:7" x14ac:dyDescent="0.2">
      <c r="C61" s="19">
        <v>45139</v>
      </c>
      <c r="D61" s="51">
        <v>0</v>
      </c>
      <c r="E61" s="75"/>
      <c r="F61" s="71"/>
      <c r="G61" s="71"/>
    </row>
    <row r="62" spans="1:7" x14ac:dyDescent="0.2">
      <c r="C62" s="19">
        <v>45170</v>
      </c>
      <c r="D62" s="51">
        <v>0</v>
      </c>
      <c r="E62" s="75"/>
      <c r="F62" s="71"/>
      <c r="G62" s="71"/>
    </row>
    <row r="63" spans="1:7" x14ac:dyDescent="0.2">
      <c r="C63" s="19">
        <v>45200</v>
      </c>
      <c r="D63" s="51">
        <v>0</v>
      </c>
      <c r="E63" s="75"/>
      <c r="F63" s="71"/>
      <c r="G63" s="71"/>
    </row>
    <row r="64" spans="1:7" x14ac:dyDescent="0.2">
      <c r="C64" s="19">
        <v>45231</v>
      </c>
      <c r="D64" s="51">
        <v>0</v>
      </c>
      <c r="E64" s="75"/>
      <c r="F64" s="71"/>
      <c r="G64" s="71"/>
    </row>
    <row r="65" spans="3:7" x14ac:dyDescent="0.2">
      <c r="C65" s="19">
        <v>45261</v>
      </c>
      <c r="D65" s="52">
        <v>0</v>
      </c>
      <c r="E65" s="75"/>
      <c r="F65" s="71"/>
      <c r="G65" s="71"/>
    </row>
    <row r="66" spans="3:7" x14ac:dyDescent="0.2">
      <c r="C66" s="53" t="s">
        <v>57</v>
      </c>
      <c r="D66" s="39">
        <f>SUM(D60:D65)</f>
        <v>0</v>
      </c>
      <c r="E66" s="20"/>
      <c r="F66" s="71"/>
      <c r="G66" s="71"/>
    </row>
  </sheetData>
  <mergeCells count="2">
    <mergeCell ref="B4:G5"/>
    <mergeCell ref="C12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7"/>
  <sheetViews>
    <sheetView topLeftCell="A29" workbookViewId="0">
      <selection activeCell="E35" sqref="E35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">
        <v>96</v>
      </c>
    </row>
    <row r="4" spans="1:7" ht="14.25" customHeight="1" x14ac:dyDescent="0.2">
      <c r="B4" s="78" t="s">
        <v>98</v>
      </c>
      <c r="C4" s="79"/>
      <c r="D4" s="79"/>
      <c r="E4" s="79"/>
      <c r="F4" s="79"/>
      <c r="G4" s="80"/>
    </row>
    <row r="5" spans="1:7" x14ac:dyDescent="0.2">
      <c r="B5" s="81"/>
      <c r="C5" s="82"/>
      <c r="D5" s="82"/>
      <c r="E5" s="82"/>
      <c r="F5" s="82"/>
      <c r="G5" s="83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4" t="s">
        <v>22</v>
      </c>
      <c r="D12" s="85"/>
      <c r="E12" s="85"/>
      <c r="F12" s="85"/>
      <c r="G12" s="86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790195</v>
      </c>
    </row>
    <row r="14" spans="1:7" x14ac:dyDescent="0.2">
      <c r="B14" s="8" t="s">
        <v>24</v>
      </c>
      <c r="C14" s="12" t="s">
        <v>81</v>
      </c>
      <c r="D14" s="12"/>
      <c r="E14" s="12"/>
      <c r="F14" s="13"/>
      <c r="G14" s="57">
        <f>'A - 05-31-22'!G33</f>
        <v>-339739.55999999982</v>
      </c>
    </row>
    <row r="15" spans="1:7" x14ac:dyDescent="0.2">
      <c r="B15" s="8" t="s">
        <v>25</v>
      </c>
      <c r="C15" s="12" t="s">
        <v>86</v>
      </c>
      <c r="D15" s="12"/>
      <c r="E15" s="12"/>
      <c r="F15" s="13"/>
      <c r="G15" s="57">
        <f>'B - 11-30-22'!G35</f>
        <v>312041.08000000007</v>
      </c>
    </row>
    <row r="16" spans="1:7" x14ac:dyDescent="0.2">
      <c r="B16" s="8" t="s">
        <v>26</v>
      </c>
      <c r="C16" s="12" t="s">
        <v>89</v>
      </c>
      <c r="D16" s="12"/>
      <c r="E16" s="12"/>
      <c r="F16" s="15"/>
      <c r="G16" s="58">
        <f>'C - 05-31-23'!G37</f>
        <v>-742726.17000000027</v>
      </c>
    </row>
    <row r="17" spans="2:7" x14ac:dyDescent="0.2">
      <c r="B17" s="8" t="s">
        <v>58</v>
      </c>
      <c r="C17" s="12" t="s">
        <v>92</v>
      </c>
      <c r="D17" s="12"/>
      <c r="E17" s="12"/>
      <c r="F17" s="15"/>
      <c r="G17" s="58">
        <f>'D - 11-30-23'!G39</f>
        <v>129558.75</v>
      </c>
    </row>
    <row r="18" spans="2:7" x14ac:dyDescent="0.2">
      <c r="B18" s="9" t="s">
        <v>64</v>
      </c>
      <c r="C18" s="12" t="s">
        <v>27</v>
      </c>
      <c r="D18" s="12"/>
      <c r="E18" s="12"/>
      <c r="F18" s="15"/>
      <c r="G18" s="16">
        <f>G13+G14+G15+G16+G17</f>
        <v>149329.09999999998</v>
      </c>
    </row>
    <row r="19" spans="2:7" x14ac:dyDescent="0.2">
      <c r="B19" s="8">
        <v>2</v>
      </c>
      <c r="C19" s="17">
        <v>45292</v>
      </c>
      <c r="D19" s="58">
        <f>2036693-1231</f>
        <v>2035462</v>
      </c>
      <c r="E19" s="59">
        <v>1902337.45</v>
      </c>
      <c r="F19" s="18">
        <f t="shared" ref="F19:F26" si="0">D19-E19</f>
        <v>133124.55000000005</v>
      </c>
      <c r="G19" s="16">
        <f t="shared" ref="G19:G26" si="1">G18+F19</f>
        <v>282453.65000000002</v>
      </c>
    </row>
    <row r="20" spans="2:7" x14ac:dyDescent="0.2">
      <c r="B20" s="8">
        <v>3</v>
      </c>
      <c r="C20" s="19">
        <v>45323</v>
      </c>
      <c r="D20" s="60">
        <f>1456807-1147</f>
        <v>1455660</v>
      </c>
      <c r="E20" s="61">
        <v>1677526.52</v>
      </c>
      <c r="F20" s="20">
        <f t="shared" si="0"/>
        <v>-221866.52000000002</v>
      </c>
      <c r="G20" s="21">
        <f t="shared" si="1"/>
        <v>60587.130000000005</v>
      </c>
    </row>
    <row r="21" spans="2:7" x14ac:dyDescent="0.2">
      <c r="B21" s="8">
        <v>4</v>
      </c>
      <c r="C21" s="19">
        <v>45352</v>
      </c>
      <c r="D21" s="60">
        <f>869239-817</f>
        <v>868422</v>
      </c>
      <c r="E21" s="61">
        <v>1225343.78</v>
      </c>
      <c r="F21" s="20">
        <f t="shared" si="0"/>
        <v>-356921.78</v>
      </c>
      <c r="G21" s="21">
        <f t="shared" si="1"/>
        <v>-296334.65000000002</v>
      </c>
    </row>
    <row r="22" spans="2:7" x14ac:dyDescent="0.2">
      <c r="B22" s="8">
        <v>5</v>
      </c>
      <c r="C22" s="19">
        <v>45383</v>
      </c>
      <c r="D22" s="60">
        <f>891286-1118</f>
        <v>890168</v>
      </c>
      <c r="E22" s="61">
        <v>862586.93</v>
      </c>
      <c r="F22" s="20">
        <f t="shared" si="0"/>
        <v>27581.069999999949</v>
      </c>
      <c r="G22" s="21">
        <f t="shared" si="1"/>
        <v>-268753.58000000007</v>
      </c>
    </row>
    <row r="23" spans="2:7" x14ac:dyDescent="0.2">
      <c r="B23" s="8">
        <v>6</v>
      </c>
      <c r="C23" s="19">
        <v>45413</v>
      </c>
      <c r="D23" s="60">
        <f>1285341-1362</f>
        <v>1283979</v>
      </c>
      <c r="E23" s="61">
        <v>1120052.17</v>
      </c>
      <c r="F23" s="20">
        <f t="shared" si="0"/>
        <v>163926.83000000007</v>
      </c>
      <c r="G23" s="21">
        <f t="shared" si="1"/>
        <v>-104826.75</v>
      </c>
    </row>
    <row r="24" spans="2:7" x14ac:dyDescent="0.2">
      <c r="B24" s="8">
        <v>7</v>
      </c>
      <c r="C24" s="19">
        <v>45444</v>
      </c>
      <c r="D24" s="60">
        <f>1810757-1656</f>
        <v>1809101</v>
      </c>
      <c r="E24" s="61">
        <v>1441985.15</v>
      </c>
      <c r="F24" s="22">
        <f t="shared" si="0"/>
        <v>367115.85000000009</v>
      </c>
      <c r="G24" s="23">
        <f t="shared" si="1"/>
        <v>262289.10000000009</v>
      </c>
    </row>
    <row r="25" spans="2:7" x14ac:dyDescent="0.2">
      <c r="B25" s="24" t="s">
        <v>28</v>
      </c>
      <c r="C25" s="17">
        <v>45474</v>
      </c>
      <c r="D25" s="58">
        <f>1737724-0</f>
        <v>1737724</v>
      </c>
      <c r="E25" s="59">
        <v>2079833.59</v>
      </c>
      <c r="F25" s="18">
        <f t="shared" si="0"/>
        <v>-342109.59000000008</v>
      </c>
      <c r="G25" s="16">
        <f t="shared" si="1"/>
        <v>-79820.489999999991</v>
      </c>
    </row>
    <row r="26" spans="2:7" x14ac:dyDescent="0.2">
      <c r="B26" s="25" t="s">
        <v>29</v>
      </c>
      <c r="C26" s="26">
        <v>45505</v>
      </c>
      <c r="D26" s="62">
        <f>1539351-0</f>
        <v>1539351</v>
      </c>
      <c r="E26" s="63">
        <v>1962368.59</v>
      </c>
      <c r="F26" s="22">
        <f t="shared" si="0"/>
        <v>-423017.59000000008</v>
      </c>
      <c r="G26" s="23">
        <f t="shared" si="1"/>
        <v>-502838.08000000007</v>
      </c>
    </row>
    <row r="27" spans="2:7" x14ac:dyDescent="0.2">
      <c r="B27" s="9"/>
      <c r="C27" s="27" t="s">
        <v>76</v>
      </c>
      <c r="D27" s="28"/>
      <c r="E27" s="28"/>
      <c r="F27" s="28"/>
      <c r="G27" s="29"/>
    </row>
    <row r="28" spans="2:7" x14ac:dyDescent="0.2">
      <c r="B28" s="6"/>
      <c r="C28" s="5"/>
      <c r="D28" s="5"/>
      <c r="E28" s="5"/>
      <c r="F28" s="5"/>
      <c r="G28" s="16"/>
    </row>
    <row r="29" spans="2:7" x14ac:dyDescent="0.2">
      <c r="B29" s="8"/>
      <c r="C29" s="7"/>
      <c r="D29" s="8" t="s">
        <v>30</v>
      </c>
      <c r="E29" s="8" t="s">
        <v>31</v>
      </c>
      <c r="F29" s="7"/>
      <c r="G29" s="21"/>
    </row>
    <row r="30" spans="2:7" x14ac:dyDescent="0.2">
      <c r="B30" s="8">
        <v>8</v>
      </c>
      <c r="C30" s="7"/>
      <c r="D30" s="8" t="s">
        <v>32</v>
      </c>
      <c r="E30" s="8" t="s">
        <v>33</v>
      </c>
      <c r="F30" s="7"/>
      <c r="G30" s="30" t="s">
        <v>30</v>
      </c>
    </row>
    <row r="31" spans="2:7" x14ac:dyDescent="0.2">
      <c r="B31" s="8"/>
      <c r="C31" s="7"/>
      <c r="D31" s="8" t="s">
        <v>34</v>
      </c>
      <c r="E31" s="8" t="s">
        <v>35</v>
      </c>
      <c r="F31" s="7"/>
      <c r="G31" s="30" t="s">
        <v>36</v>
      </c>
    </row>
    <row r="32" spans="2:7" x14ac:dyDescent="0.2">
      <c r="B32" s="8"/>
      <c r="C32" s="7"/>
      <c r="D32" s="8" t="s">
        <v>37</v>
      </c>
      <c r="E32" s="8" t="s">
        <v>38</v>
      </c>
      <c r="F32" s="7"/>
      <c r="G32" s="30" t="s">
        <v>39</v>
      </c>
    </row>
    <row r="33" spans="2:7" x14ac:dyDescent="0.2">
      <c r="B33" s="9"/>
      <c r="C33" s="7"/>
      <c r="D33" s="8" t="s">
        <v>40</v>
      </c>
      <c r="E33" s="8" t="s">
        <v>41</v>
      </c>
      <c r="F33" s="7"/>
      <c r="G33" s="30" t="s">
        <v>42</v>
      </c>
    </row>
    <row r="34" spans="2:7" x14ac:dyDescent="0.2">
      <c r="B34" s="24" t="s">
        <v>43</v>
      </c>
      <c r="C34" s="5" t="s">
        <v>90</v>
      </c>
      <c r="D34" s="16">
        <f>-G13</f>
        <v>-790195</v>
      </c>
      <c r="E34" s="16">
        <f>D68</f>
        <v>526796</v>
      </c>
      <c r="F34" s="5"/>
      <c r="G34" s="16">
        <f t="shared" ref="G34:G38" si="2">D34+E34</f>
        <v>-263399</v>
      </c>
    </row>
    <row r="35" spans="2:7" x14ac:dyDescent="0.2">
      <c r="B35" s="31" t="s">
        <v>44</v>
      </c>
      <c r="C35" s="7" t="s">
        <v>84</v>
      </c>
      <c r="D35" s="21">
        <f>-G14</f>
        <v>339739.55999999982</v>
      </c>
      <c r="E35" s="21">
        <v>0</v>
      </c>
      <c r="F35" s="7"/>
      <c r="G35" s="21">
        <f t="shared" si="2"/>
        <v>339739.55999999982</v>
      </c>
    </row>
    <row r="36" spans="2:7" x14ac:dyDescent="0.2">
      <c r="B36" s="31" t="s">
        <v>45</v>
      </c>
      <c r="C36" s="7" t="s">
        <v>87</v>
      </c>
      <c r="D36" s="21">
        <f>-G15</f>
        <v>-312041.08000000007</v>
      </c>
      <c r="E36" s="21">
        <v>0</v>
      </c>
      <c r="F36" s="7"/>
      <c r="G36" s="21">
        <f t="shared" si="2"/>
        <v>-312041.08000000007</v>
      </c>
    </row>
    <row r="37" spans="2:7" x14ac:dyDescent="0.2">
      <c r="B37" s="31" t="s">
        <v>46</v>
      </c>
      <c r="C37" s="7" t="s">
        <v>91</v>
      </c>
      <c r="D37" s="21">
        <f>-G16</f>
        <v>742726.17000000027</v>
      </c>
      <c r="E37" s="21">
        <v>0</v>
      </c>
      <c r="F37" s="7"/>
      <c r="G37" s="21">
        <f t="shared" si="2"/>
        <v>742726.17000000027</v>
      </c>
    </row>
    <row r="38" spans="2:7" x14ac:dyDescent="0.2">
      <c r="B38" s="31" t="s">
        <v>59</v>
      </c>
      <c r="C38" s="32" t="s">
        <v>93</v>
      </c>
      <c r="D38" s="23">
        <f>-G17</f>
        <v>-129558.75</v>
      </c>
      <c r="E38" s="23">
        <v>0</v>
      </c>
      <c r="F38" s="32"/>
      <c r="G38" s="23">
        <f t="shared" si="2"/>
        <v>-129558.75</v>
      </c>
    </row>
    <row r="39" spans="2:7" x14ac:dyDescent="0.2">
      <c r="B39" s="9" t="s">
        <v>66</v>
      </c>
      <c r="C39" s="33"/>
      <c r="D39" s="34"/>
      <c r="E39" s="34"/>
      <c r="F39" s="35" t="s">
        <v>47</v>
      </c>
      <c r="G39" s="23">
        <f>G34+G35+G36+G37+G38</f>
        <v>377466.9</v>
      </c>
    </row>
    <row r="40" spans="2:7" x14ac:dyDescent="0.2">
      <c r="B40" s="36"/>
      <c r="G40" s="37"/>
    </row>
    <row r="41" spans="2:7" x14ac:dyDescent="0.2">
      <c r="B41" s="10">
        <v>9</v>
      </c>
      <c r="C41" s="38" t="s">
        <v>67</v>
      </c>
      <c r="D41" s="12"/>
      <c r="E41" s="12"/>
      <c r="F41" s="13"/>
      <c r="G41" s="39">
        <f>G24+G39</f>
        <v>639756.00000000012</v>
      </c>
    </row>
    <row r="42" spans="2:7" x14ac:dyDescent="0.2">
      <c r="B42" s="36"/>
      <c r="G42" s="37"/>
    </row>
    <row r="43" spans="2:7" x14ac:dyDescent="0.2">
      <c r="B43" s="10">
        <v>10</v>
      </c>
      <c r="C43" s="38" t="s">
        <v>62</v>
      </c>
      <c r="D43" s="12"/>
      <c r="E43" s="12"/>
      <c r="F43" s="13"/>
      <c r="G43" s="39">
        <f>G41/6</f>
        <v>106626.00000000001</v>
      </c>
    </row>
    <row r="45" spans="2:7" x14ac:dyDescent="0.2">
      <c r="B45" s="5"/>
      <c r="C45" s="40" t="s">
        <v>48</v>
      </c>
      <c r="D45" s="41"/>
      <c r="E45" s="41"/>
      <c r="F45" s="41"/>
      <c r="G45" s="42"/>
    </row>
    <row r="46" spans="2:7" x14ac:dyDescent="0.2">
      <c r="B46" s="5"/>
      <c r="C46" s="43"/>
      <c r="D46" s="43"/>
      <c r="E46" s="43"/>
      <c r="F46" s="43"/>
      <c r="G46" s="15"/>
    </row>
    <row r="47" spans="2:7" x14ac:dyDescent="0.2">
      <c r="B47" s="8">
        <v>11</v>
      </c>
      <c r="C47" s="44" t="s">
        <v>49</v>
      </c>
      <c r="D47" s="44"/>
      <c r="E47" s="44"/>
      <c r="F47" s="44"/>
      <c r="G47" s="45">
        <f>G18</f>
        <v>149329.09999999998</v>
      </c>
    </row>
    <row r="48" spans="2:7" x14ac:dyDescent="0.2">
      <c r="B48" s="8">
        <v>12</v>
      </c>
      <c r="C48" s="44" t="s">
        <v>50</v>
      </c>
      <c r="D48" s="44"/>
      <c r="E48" s="44"/>
      <c r="F48" s="44"/>
      <c r="G48" s="46">
        <f>G39</f>
        <v>377466.9</v>
      </c>
    </row>
    <row r="49" spans="2:7" x14ac:dyDescent="0.2">
      <c r="B49" s="8"/>
      <c r="C49" s="44"/>
      <c r="D49" s="44"/>
      <c r="E49" s="44"/>
      <c r="F49" s="44"/>
      <c r="G49" s="45"/>
    </row>
    <row r="50" spans="2:7" ht="15" thickBot="1" x14ac:dyDescent="0.25">
      <c r="B50" s="8">
        <v>13</v>
      </c>
      <c r="C50" s="44" t="s">
        <v>51</v>
      </c>
      <c r="D50" s="44"/>
      <c r="E50" s="44"/>
      <c r="F50" s="44"/>
      <c r="G50" s="47">
        <f>G47+G48</f>
        <v>526796</v>
      </c>
    </row>
    <row r="51" spans="2:7" ht="15" thickTop="1" x14ac:dyDescent="0.2">
      <c r="B51" s="8"/>
      <c r="C51" s="44"/>
      <c r="D51" s="44"/>
      <c r="E51" s="44"/>
      <c r="F51" s="44"/>
      <c r="G51" s="45"/>
    </row>
    <row r="52" spans="2:7" x14ac:dyDescent="0.2">
      <c r="B52" s="8">
        <v>14</v>
      </c>
      <c r="C52" s="44" t="s">
        <v>52</v>
      </c>
      <c r="D52" s="44"/>
      <c r="E52" s="44"/>
      <c r="F52" s="44"/>
      <c r="G52" s="45">
        <f>G41</f>
        <v>639756.00000000012</v>
      </c>
    </row>
    <row r="53" spans="2:7" x14ac:dyDescent="0.2">
      <c r="B53" s="8"/>
      <c r="C53" s="44"/>
      <c r="D53" s="44"/>
      <c r="E53" s="44"/>
      <c r="F53" s="44"/>
      <c r="G53" s="45"/>
    </row>
    <row r="54" spans="2:7" x14ac:dyDescent="0.2">
      <c r="B54" s="8">
        <v>15</v>
      </c>
      <c r="C54" s="44" t="s">
        <v>53</v>
      </c>
      <c r="D54" s="44"/>
      <c r="E54" s="44"/>
      <c r="F54" s="44"/>
      <c r="G54" s="46">
        <f>SUM(F19:F24)</f>
        <v>112960.00000000012</v>
      </c>
    </row>
    <row r="55" spans="2:7" x14ac:dyDescent="0.2">
      <c r="B55" s="8"/>
      <c r="C55" s="44"/>
      <c r="D55" s="44"/>
      <c r="E55" s="44"/>
      <c r="F55" s="44"/>
      <c r="G55" s="45"/>
    </row>
    <row r="56" spans="2:7" ht="15" thickBot="1" x14ac:dyDescent="0.25">
      <c r="B56" s="8">
        <v>16</v>
      </c>
      <c r="C56" s="44" t="s">
        <v>54</v>
      </c>
      <c r="D56" s="44"/>
      <c r="E56" s="44"/>
      <c r="F56" s="44"/>
      <c r="G56" s="47">
        <f>G52-G54</f>
        <v>526796</v>
      </c>
    </row>
    <row r="57" spans="2:7" ht="15" thickTop="1" x14ac:dyDescent="0.2">
      <c r="B57" s="32"/>
      <c r="C57" s="48"/>
      <c r="D57" s="48"/>
      <c r="E57" s="48"/>
      <c r="F57" s="48"/>
      <c r="G57" s="49"/>
    </row>
    <row r="59" spans="2:7" x14ac:dyDescent="0.2">
      <c r="B59" t="s">
        <v>55</v>
      </c>
    </row>
    <row r="60" spans="2:7" x14ac:dyDescent="0.2">
      <c r="B60" s="36"/>
      <c r="C60" s="5"/>
      <c r="D60" s="6" t="s">
        <v>56</v>
      </c>
      <c r="E60" s="31"/>
      <c r="F60" s="74"/>
      <c r="G60" s="74"/>
    </row>
    <row r="61" spans="2:7" x14ac:dyDescent="0.2">
      <c r="B61" s="36"/>
      <c r="C61" s="9" t="s">
        <v>17</v>
      </c>
      <c r="D61" s="9" t="s">
        <v>99</v>
      </c>
      <c r="E61" s="31"/>
      <c r="F61" s="74"/>
      <c r="G61" s="74"/>
    </row>
    <row r="62" spans="2:7" x14ac:dyDescent="0.2">
      <c r="C62" s="17">
        <v>45292</v>
      </c>
      <c r="D62" s="50">
        <v>0</v>
      </c>
      <c r="E62" s="75"/>
      <c r="F62" s="71"/>
      <c r="G62" s="71"/>
    </row>
    <row r="63" spans="2:7" x14ac:dyDescent="0.2">
      <c r="C63" s="19">
        <v>45323</v>
      </c>
      <c r="D63" s="51">
        <v>0</v>
      </c>
      <c r="E63" s="75"/>
      <c r="F63" s="71"/>
      <c r="G63" s="71"/>
    </row>
    <row r="64" spans="2:7" x14ac:dyDescent="0.2">
      <c r="C64" s="19">
        <v>45352</v>
      </c>
      <c r="D64" s="51">
        <v>131699</v>
      </c>
      <c r="E64" s="75"/>
      <c r="F64" s="71"/>
      <c r="G64" s="71"/>
    </row>
    <row r="65" spans="2:7" x14ac:dyDescent="0.2">
      <c r="C65" s="19">
        <v>45413</v>
      </c>
      <c r="D65" s="51">
        <v>131699</v>
      </c>
      <c r="E65" s="75"/>
      <c r="F65" s="71"/>
      <c r="G65" s="71"/>
    </row>
    <row r="66" spans="2:7" x14ac:dyDescent="0.2">
      <c r="C66" s="19">
        <v>45413</v>
      </c>
      <c r="D66" s="51">
        <v>131699</v>
      </c>
      <c r="E66" s="75"/>
      <c r="F66" s="71"/>
      <c r="G66" s="71"/>
    </row>
    <row r="67" spans="2:7" x14ac:dyDescent="0.2">
      <c r="C67" s="19">
        <v>45444</v>
      </c>
      <c r="D67" s="52">
        <v>131699</v>
      </c>
      <c r="E67" s="75"/>
      <c r="F67" s="71"/>
      <c r="G67" s="71"/>
    </row>
    <row r="68" spans="2:7" x14ac:dyDescent="0.2">
      <c r="C68" s="53" t="s">
        <v>57</v>
      </c>
      <c r="D68" s="39">
        <f>SUM(D62:D67)</f>
        <v>526796</v>
      </c>
      <c r="E68" s="20"/>
      <c r="F68" s="71"/>
      <c r="G68" s="71"/>
    </row>
    <row r="70" spans="2:7" x14ac:dyDescent="0.2">
      <c r="B70" s="55"/>
      <c r="C70" s="55"/>
      <c r="D70" s="55"/>
      <c r="E70" s="55"/>
      <c r="F70" s="55"/>
      <c r="G70" s="55"/>
    </row>
    <row r="71" spans="2:7" x14ac:dyDescent="0.2">
      <c r="B71" s="55"/>
      <c r="C71" s="55"/>
      <c r="D71" s="55"/>
      <c r="E71" s="55"/>
      <c r="F71" s="55"/>
      <c r="G71" s="55"/>
    </row>
    <row r="72" spans="2:7" x14ac:dyDescent="0.2">
      <c r="B72" s="55"/>
      <c r="C72" s="55"/>
      <c r="D72" s="55"/>
      <c r="E72" s="55"/>
      <c r="F72" s="55"/>
      <c r="G72" s="55"/>
    </row>
    <row r="73" spans="2:7" x14ac:dyDescent="0.2">
      <c r="B73" s="55"/>
      <c r="C73" s="55"/>
      <c r="D73" s="55"/>
      <c r="E73" s="55"/>
      <c r="F73" s="55"/>
      <c r="G73" s="55"/>
    </row>
    <row r="74" spans="2:7" x14ac:dyDescent="0.2">
      <c r="B74" s="55"/>
      <c r="C74" s="55"/>
      <c r="D74" s="55"/>
      <c r="E74" s="55"/>
      <c r="F74" s="55"/>
      <c r="G74" s="55"/>
    </row>
    <row r="75" spans="2:7" x14ac:dyDescent="0.2">
      <c r="B75" s="55"/>
      <c r="C75" s="55"/>
      <c r="D75" s="55"/>
      <c r="E75" s="55"/>
      <c r="F75" s="55"/>
      <c r="G75" s="55"/>
    </row>
    <row r="76" spans="2:7" x14ac:dyDescent="0.2">
      <c r="B76" s="55"/>
      <c r="C76" s="55"/>
      <c r="D76" s="55"/>
      <c r="E76" s="55"/>
      <c r="F76" s="55"/>
      <c r="G76" s="55"/>
    </row>
    <row r="77" spans="2:7" x14ac:dyDescent="0.2">
      <c r="B77" s="55"/>
      <c r="C77" s="55"/>
      <c r="D77" s="55"/>
      <c r="E77" s="55"/>
      <c r="F77" s="55"/>
      <c r="G77" s="55"/>
    </row>
  </sheetData>
  <mergeCells count="2">
    <mergeCell ref="B4:G5"/>
    <mergeCell ref="C12:G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0"/>
  <sheetViews>
    <sheetView topLeftCell="A34" workbookViewId="0">
      <selection activeCell="E38" sqref="E38"/>
    </sheetView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">
        <v>96</v>
      </c>
    </row>
    <row r="4" spans="1:7" ht="14.25" customHeight="1" x14ac:dyDescent="0.2">
      <c r="B4" s="78" t="s">
        <v>98</v>
      </c>
      <c r="C4" s="79"/>
      <c r="D4" s="79"/>
      <c r="E4" s="79"/>
      <c r="F4" s="79"/>
      <c r="G4" s="80"/>
    </row>
    <row r="5" spans="1:7" ht="14.25" customHeight="1" x14ac:dyDescent="0.2">
      <c r="B5" s="81"/>
      <c r="C5" s="82"/>
      <c r="D5" s="82"/>
      <c r="E5" s="82"/>
      <c r="F5" s="82"/>
      <c r="G5" s="83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4" t="s">
        <v>22</v>
      </c>
      <c r="D12" s="85"/>
      <c r="E12" s="85"/>
      <c r="F12" s="85"/>
      <c r="G12" s="86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263399</v>
      </c>
    </row>
    <row r="14" spans="1:7" x14ac:dyDescent="0.2">
      <c r="B14" s="8" t="s">
        <v>24</v>
      </c>
      <c r="C14" s="12" t="s">
        <v>81</v>
      </c>
      <c r="D14" s="12"/>
      <c r="E14" s="12"/>
      <c r="F14" s="13"/>
      <c r="G14" s="57">
        <f>'A - 05-31-22'!G33</f>
        <v>-339739.55999999982</v>
      </c>
    </row>
    <row r="15" spans="1:7" x14ac:dyDescent="0.2">
      <c r="B15" s="8" t="s">
        <v>25</v>
      </c>
      <c r="C15" s="12" t="s">
        <v>86</v>
      </c>
      <c r="D15" s="12"/>
      <c r="E15" s="12"/>
      <c r="F15" s="13"/>
      <c r="G15" s="57">
        <f>'B - 11-30-22'!G35</f>
        <v>312041.08000000007</v>
      </c>
    </row>
    <row r="16" spans="1:7" x14ac:dyDescent="0.2">
      <c r="B16" s="8" t="s">
        <v>26</v>
      </c>
      <c r="C16" s="12" t="s">
        <v>89</v>
      </c>
      <c r="D16" s="12"/>
      <c r="E16" s="12"/>
      <c r="F16" s="15"/>
      <c r="G16" s="58">
        <f>'C - 05-31-23'!G37</f>
        <v>-742726.17000000027</v>
      </c>
    </row>
    <row r="17" spans="2:7" x14ac:dyDescent="0.2">
      <c r="B17" s="8" t="s">
        <v>58</v>
      </c>
      <c r="C17" s="12" t="s">
        <v>92</v>
      </c>
      <c r="D17" s="12"/>
      <c r="E17" s="12"/>
      <c r="F17" s="15"/>
      <c r="G17" s="58">
        <f>'D - 11-30-23'!G39</f>
        <v>129558.75</v>
      </c>
    </row>
    <row r="18" spans="2:7" x14ac:dyDescent="0.2">
      <c r="B18" s="8" t="s">
        <v>64</v>
      </c>
      <c r="C18" s="12" t="s">
        <v>94</v>
      </c>
      <c r="D18" s="12"/>
      <c r="E18" s="12"/>
      <c r="F18" s="15"/>
      <c r="G18" s="58">
        <f>'E - 05-31-24'!G41</f>
        <v>639756.00000000012</v>
      </c>
    </row>
    <row r="19" spans="2:7" x14ac:dyDescent="0.2">
      <c r="B19" s="9" t="s">
        <v>69</v>
      </c>
      <c r="C19" s="12" t="s">
        <v>27</v>
      </c>
      <c r="D19" s="12"/>
      <c r="E19" s="12"/>
      <c r="F19" s="15"/>
      <c r="G19" s="16">
        <f>G13+G14+G15+G16+G17+G18</f>
        <v>262289.10000000009</v>
      </c>
    </row>
    <row r="20" spans="2:7" x14ac:dyDescent="0.2">
      <c r="B20" s="8">
        <v>2</v>
      </c>
      <c r="C20" s="17">
        <v>45474</v>
      </c>
      <c r="D20" s="58">
        <v>1737724</v>
      </c>
      <c r="E20" s="59">
        <v>2079833.59</v>
      </c>
      <c r="F20" s="18">
        <f t="shared" ref="F20:F27" si="0">D20-E20</f>
        <v>-342109.59000000008</v>
      </c>
      <c r="G20" s="16">
        <f t="shared" ref="G20:G27" si="1">G19+F20</f>
        <v>-79820.489999999991</v>
      </c>
    </row>
    <row r="21" spans="2:7" x14ac:dyDescent="0.2">
      <c r="B21" s="8">
        <v>3</v>
      </c>
      <c r="C21" s="19">
        <v>45505</v>
      </c>
      <c r="D21" s="60">
        <v>1539351</v>
      </c>
      <c r="E21" s="61">
        <v>1962368.59</v>
      </c>
      <c r="F21" s="20">
        <f t="shared" si="0"/>
        <v>-423017.59000000008</v>
      </c>
      <c r="G21" s="21">
        <f t="shared" si="1"/>
        <v>-502838.08000000007</v>
      </c>
    </row>
    <row r="22" spans="2:7" x14ac:dyDescent="0.2">
      <c r="B22" s="8">
        <v>4</v>
      </c>
      <c r="C22" s="19">
        <v>45536</v>
      </c>
      <c r="D22" s="60">
        <v>1503400</v>
      </c>
      <c r="E22" s="61">
        <v>1629354.08</v>
      </c>
      <c r="F22" s="20">
        <f t="shared" si="0"/>
        <v>-125954.08000000007</v>
      </c>
      <c r="G22" s="21">
        <f t="shared" si="1"/>
        <v>-628792.16000000015</v>
      </c>
    </row>
    <row r="23" spans="2:7" x14ac:dyDescent="0.2">
      <c r="B23" s="8">
        <v>5</v>
      </c>
      <c r="C23" s="19">
        <v>45566</v>
      </c>
      <c r="D23" s="60">
        <v>1167465</v>
      </c>
      <c r="E23" s="61">
        <v>1497595.86</v>
      </c>
      <c r="F23" s="20">
        <f t="shared" si="0"/>
        <v>-330130.8600000001</v>
      </c>
      <c r="G23" s="21">
        <f t="shared" si="1"/>
        <v>-958923.02000000025</v>
      </c>
    </row>
    <row r="24" spans="2:7" x14ac:dyDescent="0.2">
      <c r="B24" s="8">
        <v>6</v>
      </c>
      <c r="C24" s="19">
        <v>45597</v>
      </c>
      <c r="D24" s="60">
        <v>1494189</v>
      </c>
      <c r="E24" s="61">
        <v>1360854.66</v>
      </c>
      <c r="F24" s="20">
        <f t="shared" si="0"/>
        <v>133334.34000000008</v>
      </c>
      <c r="G24" s="21">
        <f t="shared" si="1"/>
        <v>-825588.68000000017</v>
      </c>
    </row>
    <row r="25" spans="2:7" x14ac:dyDescent="0.2">
      <c r="B25" s="8">
        <v>7</v>
      </c>
      <c r="C25" s="19">
        <v>45627</v>
      </c>
      <c r="D25" s="60">
        <v>2248737</v>
      </c>
      <c r="E25" s="61">
        <v>1770660.4</v>
      </c>
      <c r="F25" s="22">
        <f t="shared" si="0"/>
        <v>478076.60000000009</v>
      </c>
      <c r="G25" s="23">
        <f t="shared" si="1"/>
        <v>-347512.08000000007</v>
      </c>
    </row>
    <row r="26" spans="2:7" x14ac:dyDescent="0.2">
      <c r="B26" s="24" t="s">
        <v>28</v>
      </c>
      <c r="C26" s="17">
        <v>45658</v>
      </c>
      <c r="D26" s="58">
        <v>2842218</v>
      </c>
      <c r="E26" s="59">
        <v>2496138.04</v>
      </c>
      <c r="F26" s="18">
        <f t="shared" si="0"/>
        <v>346079.95999999996</v>
      </c>
      <c r="G26" s="16">
        <f t="shared" si="1"/>
        <v>-1432.1200000001118</v>
      </c>
    </row>
    <row r="27" spans="2:7" x14ac:dyDescent="0.2">
      <c r="B27" s="25" t="s">
        <v>29</v>
      </c>
      <c r="C27" s="26">
        <v>45689</v>
      </c>
      <c r="D27" s="62">
        <f>2022075-1143</f>
        <v>2020932</v>
      </c>
      <c r="E27" s="54">
        <v>0</v>
      </c>
      <c r="F27" s="22">
        <f t="shared" si="0"/>
        <v>2020932</v>
      </c>
      <c r="G27" s="23">
        <f t="shared" si="1"/>
        <v>2019499.88</v>
      </c>
    </row>
    <row r="28" spans="2:7" x14ac:dyDescent="0.2">
      <c r="B28" s="9"/>
      <c r="C28" s="27" t="s">
        <v>79</v>
      </c>
      <c r="D28" s="28"/>
      <c r="E28" s="28"/>
      <c r="F28" s="28"/>
      <c r="G28" s="29"/>
    </row>
    <row r="29" spans="2:7" x14ac:dyDescent="0.2">
      <c r="B29" s="6"/>
      <c r="C29" s="5"/>
      <c r="D29" s="5"/>
      <c r="E29" s="5"/>
      <c r="F29" s="5"/>
      <c r="G29" s="16"/>
    </row>
    <row r="30" spans="2:7" x14ac:dyDescent="0.2">
      <c r="B30" s="8"/>
      <c r="C30" s="7"/>
      <c r="D30" s="8" t="s">
        <v>30</v>
      </c>
      <c r="E30" s="8" t="s">
        <v>31</v>
      </c>
      <c r="F30" s="7"/>
      <c r="G30" s="21"/>
    </row>
    <row r="31" spans="2:7" x14ac:dyDescent="0.2">
      <c r="B31" s="8">
        <v>8</v>
      </c>
      <c r="C31" s="7"/>
      <c r="D31" s="8" t="s">
        <v>32</v>
      </c>
      <c r="E31" s="8" t="s">
        <v>33</v>
      </c>
      <c r="F31" s="7"/>
      <c r="G31" s="30" t="s">
        <v>30</v>
      </c>
    </row>
    <row r="32" spans="2:7" x14ac:dyDescent="0.2">
      <c r="B32" s="8"/>
      <c r="C32" s="7"/>
      <c r="D32" s="8" t="s">
        <v>34</v>
      </c>
      <c r="E32" s="8" t="s">
        <v>35</v>
      </c>
      <c r="F32" s="7"/>
      <c r="G32" s="30" t="s">
        <v>36</v>
      </c>
    </row>
    <row r="33" spans="2:7" x14ac:dyDescent="0.2">
      <c r="B33" s="8"/>
      <c r="C33" s="7"/>
      <c r="D33" s="8" t="s">
        <v>37</v>
      </c>
      <c r="E33" s="8" t="s">
        <v>38</v>
      </c>
      <c r="F33" s="7"/>
      <c r="G33" s="30" t="s">
        <v>39</v>
      </c>
    </row>
    <row r="34" spans="2:7" x14ac:dyDescent="0.2">
      <c r="B34" s="9"/>
      <c r="C34" s="7"/>
      <c r="D34" s="8" t="s">
        <v>40</v>
      </c>
      <c r="E34" s="8" t="s">
        <v>41</v>
      </c>
      <c r="F34" s="7"/>
      <c r="G34" s="30" t="s">
        <v>42</v>
      </c>
    </row>
    <row r="35" spans="2:7" x14ac:dyDescent="0.2">
      <c r="B35" s="24" t="s">
        <v>43</v>
      </c>
      <c r="C35" s="5" t="s">
        <v>90</v>
      </c>
      <c r="D35" s="16">
        <f t="shared" ref="D35:D40" si="2">-G13</f>
        <v>-263399</v>
      </c>
      <c r="E35" s="16">
        <f>D70</f>
        <v>263399</v>
      </c>
      <c r="F35" s="5"/>
      <c r="G35" s="16">
        <f t="shared" ref="G35:G40" si="3">D35+E35</f>
        <v>0</v>
      </c>
    </row>
    <row r="36" spans="2:7" x14ac:dyDescent="0.2">
      <c r="B36" s="31" t="s">
        <v>44</v>
      </c>
      <c r="C36" s="7" t="s">
        <v>84</v>
      </c>
      <c r="D36" s="21">
        <f t="shared" si="2"/>
        <v>339739.55999999982</v>
      </c>
      <c r="E36" s="21">
        <v>0</v>
      </c>
      <c r="F36" s="7"/>
      <c r="G36" s="21">
        <f t="shared" si="3"/>
        <v>339739.55999999982</v>
      </c>
    </row>
    <row r="37" spans="2:7" x14ac:dyDescent="0.2">
      <c r="B37" s="31" t="s">
        <v>45</v>
      </c>
      <c r="C37" s="7" t="s">
        <v>87</v>
      </c>
      <c r="D37" s="21">
        <f t="shared" si="2"/>
        <v>-312041.08000000007</v>
      </c>
      <c r="E37" s="21">
        <v>0</v>
      </c>
      <c r="F37" s="7"/>
      <c r="G37" s="21">
        <f t="shared" si="3"/>
        <v>-312041.08000000007</v>
      </c>
    </row>
    <row r="38" spans="2:7" x14ac:dyDescent="0.2">
      <c r="B38" s="31" t="s">
        <v>46</v>
      </c>
      <c r="C38" s="7" t="s">
        <v>91</v>
      </c>
      <c r="D38" s="21">
        <f t="shared" si="2"/>
        <v>742726.17000000027</v>
      </c>
      <c r="E38" s="21">
        <v>0</v>
      </c>
      <c r="F38" s="7"/>
      <c r="G38" s="21">
        <f t="shared" si="3"/>
        <v>742726.17000000027</v>
      </c>
    </row>
    <row r="39" spans="2:7" x14ac:dyDescent="0.2">
      <c r="B39" s="31" t="s">
        <v>59</v>
      </c>
      <c r="C39" s="7" t="s">
        <v>93</v>
      </c>
      <c r="D39" s="21">
        <f t="shared" si="2"/>
        <v>-129558.75</v>
      </c>
      <c r="E39" s="21">
        <v>0</v>
      </c>
      <c r="F39" s="7"/>
      <c r="G39" s="21">
        <f t="shared" si="3"/>
        <v>-129558.75</v>
      </c>
    </row>
    <row r="40" spans="2:7" x14ac:dyDescent="0.2">
      <c r="B40" s="31" t="s">
        <v>66</v>
      </c>
      <c r="C40" s="32" t="s">
        <v>95</v>
      </c>
      <c r="D40" s="23">
        <f t="shared" si="2"/>
        <v>-639756.00000000012</v>
      </c>
      <c r="E40" s="23">
        <v>0</v>
      </c>
      <c r="F40" s="32"/>
      <c r="G40" s="23">
        <f t="shared" si="3"/>
        <v>-639756.00000000012</v>
      </c>
    </row>
    <row r="41" spans="2:7" x14ac:dyDescent="0.2">
      <c r="B41" s="9" t="s">
        <v>71</v>
      </c>
      <c r="C41" s="33"/>
      <c r="D41" s="34"/>
      <c r="E41" s="34"/>
      <c r="F41" s="35" t="s">
        <v>47</v>
      </c>
      <c r="G41" s="23">
        <f>G35+G36+G37+G38+G39+G40</f>
        <v>1109.8999999999069</v>
      </c>
    </row>
    <row r="42" spans="2:7" x14ac:dyDescent="0.2">
      <c r="B42" s="36"/>
      <c r="G42" s="37"/>
    </row>
    <row r="43" spans="2:7" x14ac:dyDescent="0.2">
      <c r="B43" s="10">
        <v>9</v>
      </c>
      <c r="C43" s="38" t="s">
        <v>72</v>
      </c>
      <c r="D43" s="12"/>
      <c r="E43" s="12"/>
      <c r="F43" s="13"/>
      <c r="G43" s="39">
        <f>G25+G41</f>
        <v>-346402.18000000017</v>
      </c>
    </row>
    <row r="44" spans="2:7" x14ac:dyDescent="0.2">
      <c r="B44" s="36"/>
      <c r="G44" s="37"/>
    </row>
    <row r="45" spans="2:7" x14ac:dyDescent="0.2">
      <c r="B45" s="10">
        <v>10</v>
      </c>
      <c r="C45" s="38" t="s">
        <v>62</v>
      </c>
      <c r="D45" s="12"/>
      <c r="E45" s="12"/>
      <c r="F45" s="13"/>
      <c r="G45" s="39">
        <f>G43/6</f>
        <v>-57733.696666666692</v>
      </c>
    </row>
    <row r="47" spans="2:7" x14ac:dyDescent="0.2">
      <c r="B47" s="5"/>
      <c r="C47" s="40" t="s">
        <v>48</v>
      </c>
      <c r="D47" s="41"/>
      <c r="E47" s="41"/>
      <c r="F47" s="41"/>
      <c r="G47" s="42"/>
    </row>
    <row r="48" spans="2:7" x14ac:dyDescent="0.2">
      <c r="B48" s="5"/>
      <c r="C48" s="43"/>
      <c r="D48" s="43"/>
      <c r="E48" s="43"/>
      <c r="F48" s="43"/>
      <c r="G48" s="15"/>
    </row>
    <row r="49" spans="2:7" x14ac:dyDescent="0.2">
      <c r="B49" s="8">
        <v>11</v>
      </c>
      <c r="C49" s="44" t="s">
        <v>49</v>
      </c>
      <c r="D49" s="44"/>
      <c r="E49" s="44"/>
      <c r="F49" s="44"/>
      <c r="G49" s="45">
        <f>G19</f>
        <v>262289.10000000009</v>
      </c>
    </row>
    <row r="50" spans="2:7" x14ac:dyDescent="0.2">
      <c r="B50" s="8">
        <v>12</v>
      </c>
      <c r="C50" s="44" t="s">
        <v>50</v>
      </c>
      <c r="D50" s="44"/>
      <c r="E50" s="44"/>
      <c r="F50" s="44"/>
      <c r="G50" s="46">
        <f>G41</f>
        <v>1109.8999999999069</v>
      </c>
    </row>
    <row r="51" spans="2:7" x14ac:dyDescent="0.2">
      <c r="B51" s="8"/>
      <c r="C51" s="44"/>
      <c r="D51" s="44"/>
      <c r="E51" s="44"/>
      <c r="F51" s="44"/>
      <c r="G51" s="45"/>
    </row>
    <row r="52" spans="2:7" ht="15" thickBot="1" x14ac:dyDescent="0.25">
      <c r="B52" s="8">
        <v>13</v>
      </c>
      <c r="C52" s="44" t="s">
        <v>51</v>
      </c>
      <c r="D52" s="44"/>
      <c r="E52" s="44"/>
      <c r="F52" s="44"/>
      <c r="G52" s="47">
        <f>G49+G50</f>
        <v>263399</v>
      </c>
    </row>
    <row r="53" spans="2:7" ht="15" thickTop="1" x14ac:dyDescent="0.2">
      <c r="B53" s="8"/>
      <c r="C53" s="44"/>
      <c r="D53" s="44"/>
      <c r="E53" s="44"/>
      <c r="F53" s="44"/>
      <c r="G53" s="45"/>
    </row>
    <row r="54" spans="2:7" x14ac:dyDescent="0.2">
      <c r="B54" s="8">
        <v>14</v>
      </c>
      <c r="C54" s="44" t="s">
        <v>52</v>
      </c>
      <c r="D54" s="44"/>
      <c r="E54" s="44"/>
      <c r="F54" s="44"/>
      <c r="G54" s="45">
        <f>G43</f>
        <v>-346402.18000000017</v>
      </c>
    </row>
    <row r="55" spans="2:7" x14ac:dyDescent="0.2">
      <c r="B55" s="8"/>
      <c r="C55" s="44"/>
      <c r="D55" s="44"/>
      <c r="E55" s="44"/>
      <c r="F55" s="44"/>
      <c r="G55" s="45"/>
    </row>
    <row r="56" spans="2:7" x14ac:dyDescent="0.2">
      <c r="B56" s="8">
        <v>15</v>
      </c>
      <c r="C56" s="44" t="s">
        <v>53</v>
      </c>
      <c r="D56" s="44"/>
      <c r="E56" s="44"/>
      <c r="F56" s="44"/>
      <c r="G56" s="46">
        <f>SUM(F20:F25)</f>
        <v>-609801.18000000017</v>
      </c>
    </row>
    <row r="57" spans="2:7" x14ac:dyDescent="0.2">
      <c r="B57" s="8"/>
      <c r="C57" s="44"/>
      <c r="D57" s="44"/>
      <c r="E57" s="44"/>
      <c r="F57" s="44"/>
      <c r="G57" s="45"/>
    </row>
    <row r="58" spans="2:7" ht="15" thickBot="1" x14ac:dyDescent="0.25">
      <c r="B58" s="8">
        <v>16</v>
      </c>
      <c r="C58" s="44" t="s">
        <v>54</v>
      </c>
      <c r="D58" s="44"/>
      <c r="E58" s="44"/>
      <c r="F58" s="44"/>
      <c r="G58" s="47">
        <f>G54-G56</f>
        <v>263399</v>
      </c>
    </row>
    <row r="59" spans="2:7" ht="15" thickTop="1" x14ac:dyDescent="0.2">
      <c r="B59" s="32"/>
      <c r="C59" s="48"/>
      <c r="D59" s="48"/>
      <c r="E59" s="48"/>
      <c r="F59" s="48"/>
      <c r="G59" s="49"/>
    </row>
    <row r="61" spans="2:7" x14ac:dyDescent="0.2">
      <c r="B61" t="s">
        <v>55</v>
      </c>
    </row>
    <row r="62" spans="2:7" x14ac:dyDescent="0.2">
      <c r="B62" s="36"/>
      <c r="C62" s="5"/>
      <c r="D62" s="6" t="s">
        <v>56</v>
      </c>
      <c r="E62" s="31"/>
      <c r="F62" s="74"/>
      <c r="G62" s="74"/>
    </row>
    <row r="63" spans="2:7" x14ac:dyDescent="0.2">
      <c r="B63" s="36"/>
      <c r="C63" s="9" t="s">
        <v>17</v>
      </c>
      <c r="D63" s="9" t="s">
        <v>99</v>
      </c>
      <c r="E63" s="31"/>
      <c r="F63" s="74"/>
      <c r="G63" s="74"/>
    </row>
    <row r="64" spans="2:7" x14ac:dyDescent="0.2">
      <c r="C64" s="17">
        <v>45474</v>
      </c>
      <c r="D64" s="50">
        <v>131699</v>
      </c>
      <c r="E64" s="75"/>
      <c r="F64" s="71"/>
      <c r="G64" s="71"/>
    </row>
    <row r="65" spans="3:7" x14ac:dyDescent="0.2">
      <c r="C65" s="19">
        <v>45505</v>
      </c>
      <c r="D65" s="51">
        <v>131700</v>
      </c>
      <c r="E65" s="75"/>
      <c r="F65" s="71"/>
      <c r="G65" s="71"/>
    </row>
    <row r="66" spans="3:7" x14ac:dyDescent="0.2">
      <c r="C66" s="19">
        <v>45536</v>
      </c>
      <c r="D66" s="51">
        <v>0</v>
      </c>
      <c r="E66" s="75"/>
      <c r="F66" s="71"/>
      <c r="G66" s="71"/>
    </row>
    <row r="67" spans="3:7" x14ac:dyDescent="0.2">
      <c r="C67" s="19">
        <v>45566</v>
      </c>
      <c r="D67" s="51">
        <v>0</v>
      </c>
      <c r="E67" s="75"/>
      <c r="F67" s="71"/>
      <c r="G67" s="71"/>
    </row>
    <row r="68" spans="3:7" x14ac:dyDescent="0.2">
      <c r="C68" s="19">
        <v>45597</v>
      </c>
      <c r="D68" s="51">
        <v>0</v>
      </c>
      <c r="E68" s="75"/>
      <c r="F68" s="71"/>
      <c r="G68" s="71"/>
    </row>
    <row r="69" spans="3:7" x14ac:dyDescent="0.2">
      <c r="C69" s="19">
        <v>45627</v>
      </c>
      <c r="D69" s="52">
        <v>0</v>
      </c>
      <c r="E69" s="75"/>
      <c r="F69" s="71"/>
      <c r="G69" s="71"/>
    </row>
    <row r="70" spans="3:7" x14ac:dyDescent="0.2">
      <c r="C70" s="53" t="s">
        <v>57</v>
      </c>
      <c r="D70" s="39">
        <f>SUM(D64:D69)</f>
        <v>263399</v>
      </c>
      <c r="E70" s="20"/>
      <c r="F70" s="71"/>
      <c r="G70" s="71"/>
    </row>
  </sheetData>
  <mergeCells count="2">
    <mergeCell ref="B4:G5"/>
    <mergeCell ref="C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A - 05-31-22</vt:lpstr>
      <vt:lpstr>B - 11-30-22</vt:lpstr>
      <vt:lpstr>C - 05-31-23</vt:lpstr>
      <vt:lpstr>D - 11-30-23</vt:lpstr>
      <vt:lpstr>E - 05-31-24</vt:lpstr>
      <vt:lpstr>F - 11-30-24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Jacob Watson</cp:lastModifiedBy>
  <dcterms:created xsi:type="dcterms:W3CDTF">2022-06-13T11:58:16Z</dcterms:created>
  <dcterms:modified xsi:type="dcterms:W3CDTF">2025-03-31T01:14:03Z</dcterms:modified>
</cp:coreProperties>
</file>