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EB294CB3-5CF6-49F6-886C-D44DC563F6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D70" i="8"/>
  <c r="E34" i="6"/>
  <c r="D68" i="6"/>
  <c r="D66" i="5"/>
  <c r="D64" i="4"/>
  <c r="D62" i="3"/>
  <c r="D60" i="2"/>
  <c r="E27" i="8" l="1"/>
  <c r="D27" i="8"/>
  <c r="D26" i="8" l="1"/>
  <c r="E25" i="8"/>
  <c r="D25" i="8"/>
  <c r="D24" i="8"/>
  <c r="D23" i="8"/>
  <c r="D22" i="8"/>
  <c r="D21" i="8"/>
  <c r="D20" i="8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D19" i="5"/>
  <c r="D18" i="5"/>
  <c r="D24" i="4" l="1"/>
  <c r="D23" i="4"/>
  <c r="D22" i="4"/>
  <c r="D21" i="4"/>
  <c r="D20" i="4"/>
  <c r="D19" i="4"/>
  <c r="D18" i="4"/>
  <c r="D17" i="4"/>
  <c r="D23" i="3" l="1"/>
  <c r="D22" i="3"/>
  <c r="D21" i="3"/>
  <c r="D20" i="3"/>
  <c r="D19" i="3"/>
  <c r="E18" i="3"/>
  <c r="D18" i="3"/>
  <c r="D17" i="3"/>
  <c r="D16" i="3"/>
  <c r="D22" i="2" l="1"/>
  <c r="D21" i="2"/>
  <c r="D20" i="2"/>
  <c r="D19" i="2"/>
  <c r="D18" i="2"/>
  <c r="E17" i="2"/>
  <c r="D17" i="2"/>
  <c r="D16" i="2"/>
  <c r="D15" i="2"/>
  <c r="G14" i="2" l="1"/>
  <c r="D35" i="8" l="1"/>
  <c r="G35" i="8" s="1"/>
  <c r="F27" i="8"/>
  <c r="F26" i="8"/>
  <c r="F25" i="8"/>
  <c r="F24" i="8"/>
  <c r="F23" i="8"/>
  <c r="F22" i="8"/>
  <c r="F21" i="8"/>
  <c r="F20" i="8"/>
  <c r="A1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4"/>
  <c r="G14" i="8"/>
  <c r="G14" i="6"/>
  <c r="E8" i="1"/>
  <c r="G14" i="3"/>
  <c r="G44" i="2"/>
  <c r="G48" i="2" s="1"/>
  <c r="G35" i="2"/>
  <c r="D35" i="6" l="1"/>
  <c r="G35" i="6" s="1"/>
  <c r="D36" i="8"/>
  <c r="G36" i="8" s="1"/>
  <c r="D33" i="4"/>
  <c r="G33" i="4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A1" i="6"/>
  <c r="A1" i="5"/>
  <c r="A1" i="4"/>
  <c r="A1" i="3"/>
  <c r="A1" i="2"/>
  <c r="G44" i="3" l="1"/>
  <c r="G15" i="5"/>
  <c r="G15" i="8"/>
  <c r="G15" i="4"/>
  <c r="G15" i="6"/>
  <c r="G22" i="3"/>
  <c r="G23" i="3" s="1"/>
  <c r="D36" i="6" l="1"/>
  <c r="G36" i="6" s="1"/>
  <c r="D34" i="4"/>
  <c r="G34" i="4" s="1"/>
  <c r="G35" i="4" s="1"/>
  <c r="G44" i="4" s="1"/>
  <c r="G16" i="4"/>
  <c r="D37" i="8"/>
  <c r="G37" i="8" s="1"/>
  <c r="D35" i="5"/>
  <c r="G35" i="5" s="1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5"/>
  <c r="G16" i="8"/>
  <c r="G16" i="6"/>
  <c r="G48" i="4"/>
  <c r="G52" i="4" s="1"/>
  <c r="G39" i="4"/>
  <c r="D37" i="6" l="1"/>
  <c r="G37" i="6" s="1"/>
  <c r="D38" i="8"/>
  <c r="G38" i="8" s="1"/>
  <c r="D36" i="5"/>
  <c r="G36" i="5" s="1"/>
  <c r="G37" i="5" s="1"/>
  <c r="G46" i="5" s="1"/>
  <c r="G17" i="5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6"/>
  <c r="G17" i="8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19" i="6"/>
  <c r="G20" i="6" s="1"/>
  <c r="G21" i="6" s="1"/>
  <c r="G22" i="6" s="1"/>
  <c r="G23" i="6" s="1"/>
  <c r="G24" i="6" s="1"/>
  <c r="G50" i="6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E22" i="1" l="1"/>
  <c r="E24" i="1"/>
  <c r="F15" i="1"/>
</calcChain>
</file>

<file path=xl/sharedStrings.xml><?xml version="1.0" encoding="utf-8"?>
<sst xmlns="http://schemas.openxmlformats.org/spreadsheetml/2006/main" count="423" uniqueCount="101">
  <si>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</si>
  <si>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</si>
  <si>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</si>
  <si>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</si>
  <si>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</si>
  <si>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</si>
  <si>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</si>
  <si>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</si>
  <si>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</si>
  <si>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</si>
  <si>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</si>
  <si>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</si>
  <si>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</si>
  <si>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</si>
  <si>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</si>
  <si>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</si>
  <si>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</si>
  <si>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</si>
  <si>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</si>
  <si>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</si>
  <si>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</si>
  <si>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</si>
  <si>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</si>
  <si>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</si>
  <si>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</si>
  <si>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</si>
  <si>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</si>
  <si>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</si>
  <si>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</si>
  <si>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</si>
  <si>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</si>
  <si>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</si>
  <si>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</si>
  <si>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</si>
  <si>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</si>
  <si>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</si>
  <si>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</si>
  <si>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</si>
  <si>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</si>
  <si>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</si>
  <si>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</si>
  <si>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</si>
  <si>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</si>
  <si>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</si>
  <si>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</si>
  <si>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</si>
  <si>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</si>
  <si>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</si>
  <si>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</si>
  <si>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</si>
  <si>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</si>
  <si>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</si>
  <si>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</si>
  <si>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</si>
  <si>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</si>
  <si>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</si>
  <si>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</si>
  <si>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</si>
  <si>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</si>
  <si>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</si>
  <si>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</si>
  <si>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</si>
  <si>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</si>
  <si>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</si>
  <si>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</si>
  <si>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</si>
  <si>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</si>
  <si>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</si>
  <si>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</si>
  <si>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</si>
  <si>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</si>
  <si>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</si>
  <si>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</si>
  <si>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</si>
  <si>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</si>
  <si>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</si>
  <si>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</si>
  <si>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</si>
  <si>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</si>
  <si>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</si>
  <si>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</si>
  <si>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</si>
  <si>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</si>
  <si>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</si>
  <si>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</si>
  <si>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</si>
  <si>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</si>
  <si>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</si>
  <si>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</si>
  <si>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</si>
  <si>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</si>
  <si>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</si>
  <si>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</si>
  <si>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</si>
  <si>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</si>
  <si>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</si>
  <si>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Big Sandy</t>
  </si>
  <si>
    <t>Big Sandy - Calculation of (Over)/Under Recovery</t>
  </si>
  <si>
    <t>Big Sandy- Calculation of (Over)/Under Recovery</t>
  </si>
  <si>
    <t>DR1 Response2 - Big Sandy Surcharge Summary.xlsx</t>
  </si>
  <si>
    <t>2022-00144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</si>
</sst>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/>
  </sheetViews>
  <sheetFormatPr defaultColWidth="15.625" defaultRowHeight="14.25" x14ac:dyDescent="0.2"/>
  <sheetData>
    <row r="1" spans="1:6" x14ac:dyDescent="0.2">
      <c r="A1" t="s">
        <v>99</v>
      </c>
    </row>
    <row r="3" spans="1:6" ht="15" x14ac:dyDescent="0.25">
      <c r="C3" s="75" t="s">
        <v>96</v>
      </c>
      <c r="D3" s="75"/>
      <c r="E3" s="75"/>
    </row>
    <row r="4" spans="1:6" ht="15" x14ac:dyDescent="0.25">
      <c r="B4" s="75" t="s">
        <v>0</v>
      </c>
      <c r="C4" s="75"/>
      <c r="D4" s="75"/>
      <c r="E4" s="75"/>
      <c r="F4" s="75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40155.660000000033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31566.280000000028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-69831.87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-16082.310000000027</v>
      </c>
      <c r="F11" s="2" t="str">
        <f t="shared" si="0"/>
        <v>Over-Recovery</v>
      </c>
    </row>
    <row r="12" spans="1:6" x14ac:dyDescent="0.2">
      <c r="B12" t="s">
        <v>77</v>
      </c>
      <c r="E12" s="63">
        <f>'E - 05-31-24'!G41</f>
        <v>55743.110000000044</v>
      </c>
      <c r="F12" s="2" t="str">
        <f t="shared" si="0"/>
        <v>Under-Recovery</v>
      </c>
    </row>
    <row r="13" spans="1:6" x14ac:dyDescent="0.2">
      <c r="B13" t="s">
        <v>78</v>
      </c>
      <c r="E13" s="63">
        <f>'F - 11-30-24'!G43</f>
        <v>-113524.67000000004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-71973.799999999959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5" t="s">
        <v>4</v>
      </c>
      <c r="C20" s="75"/>
      <c r="D20" s="75"/>
      <c r="E20" s="75"/>
      <c r="F20" s="75"/>
    </row>
    <row r="22" spans="2:6" x14ac:dyDescent="0.2">
      <c r="B22" t="s">
        <v>5</v>
      </c>
      <c r="E22" s="3">
        <f>ROUND(E15/6,0)</f>
        <v>-11996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-5998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E30" sqref="E3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6" t="s">
        <v>97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208757</v>
      </c>
    </row>
    <row r="15" spans="1:7" x14ac:dyDescent="0.2">
      <c r="B15" s="8">
        <v>2</v>
      </c>
      <c r="C15" s="17">
        <v>44562</v>
      </c>
      <c r="D15" s="57">
        <f>281723-169</f>
        <v>281554</v>
      </c>
      <c r="E15" s="58">
        <v>284733.23</v>
      </c>
      <c r="F15" s="18">
        <f t="shared" ref="F15:F22" si="0">D15-E15</f>
        <v>-3179.2299999999814</v>
      </c>
      <c r="G15" s="16">
        <f t="shared" ref="G15:G22" si="1">G14+F15</f>
        <v>205577.77000000002</v>
      </c>
    </row>
    <row r="16" spans="1:7" x14ac:dyDescent="0.2">
      <c r="B16" s="8">
        <v>3</v>
      </c>
      <c r="C16" s="19">
        <v>44593</v>
      </c>
      <c r="D16" s="59">
        <f>220109-66</f>
        <v>220043</v>
      </c>
      <c r="E16" s="60">
        <v>199041.9</v>
      </c>
      <c r="F16" s="20">
        <f t="shared" si="0"/>
        <v>21001.100000000006</v>
      </c>
      <c r="G16" s="21">
        <f t="shared" si="1"/>
        <v>226578.87000000002</v>
      </c>
    </row>
    <row r="17" spans="2:7" x14ac:dyDescent="0.2">
      <c r="B17" s="8">
        <v>4</v>
      </c>
      <c r="C17" s="19">
        <v>44621</v>
      </c>
      <c r="D17" s="59">
        <f>150554-127</f>
        <v>150427</v>
      </c>
      <c r="E17" s="60">
        <f>140214.41</f>
        <v>140214.41</v>
      </c>
      <c r="F17" s="20">
        <f t="shared" si="0"/>
        <v>10212.589999999997</v>
      </c>
      <c r="G17" s="21">
        <f t="shared" si="1"/>
        <v>236791.46000000002</v>
      </c>
    </row>
    <row r="18" spans="2:7" x14ac:dyDescent="0.2">
      <c r="B18" s="8">
        <v>5</v>
      </c>
      <c r="C18" s="19">
        <v>44652</v>
      </c>
      <c r="D18" s="59">
        <f>161287-187</f>
        <v>161100</v>
      </c>
      <c r="E18" s="60">
        <v>176789.89</v>
      </c>
      <c r="F18" s="20">
        <f t="shared" si="0"/>
        <v>-15689.890000000014</v>
      </c>
      <c r="G18" s="21">
        <f t="shared" si="1"/>
        <v>221101.57</v>
      </c>
    </row>
    <row r="19" spans="2:7" x14ac:dyDescent="0.2">
      <c r="B19" s="8">
        <v>6</v>
      </c>
      <c r="C19" s="19">
        <v>44682</v>
      </c>
      <c r="D19" s="59">
        <f>176207-199</f>
        <v>176008</v>
      </c>
      <c r="E19" s="60">
        <v>182268.36</v>
      </c>
      <c r="F19" s="20">
        <f t="shared" si="0"/>
        <v>-6260.359999999986</v>
      </c>
      <c r="G19" s="21">
        <f t="shared" si="1"/>
        <v>214841.21000000002</v>
      </c>
    </row>
    <row r="20" spans="2:7" x14ac:dyDescent="0.2">
      <c r="B20" s="8">
        <v>7</v>
      </c>
      <c r="C20" s="19">
        <v>44713</v>
      </c>
      <c r="D20" s="59">
        <f>236138-22</f>
        <v>236116</v>
      </c>
      <c r="E20" s="60">
        <v>202044.55</v>
      </c>
      <c r="F20" s="22">
        <f t="shared" si="0"/>
        <v>34071.450000000012</v>
      </c>
      <c r="G20" s="23">
        <f t="shared" si="1"/>
        <v>248912.66000000003</v>
      </c>
    </row>
    <row r="21" spans="2:7" x14ac:dyDescent="0.2">
      <c r="B21" s="24" t="s">
        <v>28</v>
      </c>
      <c r="C21" s="17">
        <v>44743</v>
      </c>
      <c r="D21" s="57">
        <f>275638-215</f>
        <v>275423</v>
      </c>
      <c r="E21" s="58">
        <v>252364.79999999999</v>
      </c>
      <c r="F21" s="18">
        <f t="shared" si="0"/>
        <v>23058.200000000012</v>
      </c>
      <c r="G21" s="16">
        <f t="shared" si="1"/>
        <v>271970.86000000004</v>
      </c>
    </row>
    <row r="22" spans="2:7" x14ac:dyDescent="0.2">
      <c r="B22" s="25" t="s">
        <v>29</v>
      </c>
      <c r="C22" s="26">
        <v>44774</v>
      </c>
      <c r="D22" s="61">
        <f>214376-18</f>
        <v>214358</v>
      </c>
      <c r="E22" s="62">
        <v>231702.43</v>
      </c>
      <c r="F22" s="22">
        <f t="shared" si="0"/>
        <v>-17344.429999999993</v>
      </c>
      <c r="G22" s="23">
        <f t="shared" si="1"/>
        <v>254626.43000000005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4" t="s">
        <v>82</v>
      </c>
      <c r="D30" s="39">
        <f>-G13</f>
        <v>-208757</v>
      </c>
      <c r="E30" s="39">
        <f>D60</f>
        <v>0</v>
      </c>
      <c r="F30" s="64"/>
      <c r="G30" s="39">
        <f>D30+E30</f>
        <v>-208757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-208757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40155.660000000033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6692.6100000000051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208757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-208757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40155.660000000033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40155.660000000033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73"/>
      <c r="G52" s="73"/>
    </row>
    <row r="53" spans="2:7" x14ac:dyDescent="0.2">
      <c r="B53" s="36"/>
      <c r="C53" s="9" t="s">
        <v>17</v>
      </c>
      <c r="D53" s="9" t="s">
        <v>100</v>
      </c>
      <c r="E53" s="31"/>
      <c r="F53" s="73"/>
      <c r="G53" s="73"/>
    </row>
    <row r="54" spans="2:7" x14ac:dyDescent="0.2">
      <c r="C54" s="17">
        <v>44562</v>
      </c>
      <c r="D54" s="50">
        <v>0</v>
      </c>
      <c r="E54" s="74"/>
      <c r="F54" s="70"/>
      <c r="G54" s="70"/>
    </row>
    <row r="55" spans="2:7" x14ac:dyDescent="0.2">
      <c r="C55" s="19">
        <v>44593</v>
      </c>
      <c r="D55" s="51">
        <v>0</v>
      </c>
      <c r="E55" s="74"/>
      <c r="F55" s="70"/>
      <c r="G55" s="70"/>
    </row>
    <row r="56" spans="2:7" x14ac:dyDescent="0.2">
      <c r="C56" s="19">
        <v>44621</v>
      </c>
      <c r="D56" s="51">
        <v>0</v>
      </c>
      <c r="E56" s="74"/>
      <c r="F56" s="70"/>
      <c r="G56" s="70"/>
    </row>
    <row r="57" spans="2:7" x14ac:dyDescent="0.2">
      <c r="C57" s="19">
        <v>44652</v>
      </c>
      <c r="D57" s="51">
        <v>0</v>
      </c>
      <c r="E57" s="74"/>
      <c r="F57" s="70"/>
      <c r="G57" s="70"/>
    </row>
    <row r="58" spans="2:7" x14ac:dyDescent="0.2">
      <c r="C58" s="19">
        <v>44682</v>
      </c>
      <c r="D58" s="51">
        <v>0</v>
      </c>
      <c r="E58" s="74"/>
      <c r="F58" s="70"/>
      <c r="G58" s="70"/>
    </row>
    <row r="59" spans="2:7" x14ac:dyDescent="0.2">
      <c r="C59" s="19">
        <v>44713</v>
      </c>
      <c r="D59" s="52">
        <v>0</v>
      </c>
      <c r="E59" s="74"/>
      <c r="F59" s="70"/>
      <c r="G59" s="70"/>
    </row>
    <row r="60" spans="2:7" x14ac:dyDescent="0.2">
      <c r="C60" s="53" t="s">
        <v>57</v>
      </c>
      <c r="D60" s="39">
        <f>SUM(D54:D59)</f>
        <v>0</v>
      </c>
      <c r="E60" s="20"/>
      <c r="F60" s="70"/>
      <c r="G60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>
      <selection activeCell="E31" sqref="E3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6" t="s">
        <v>97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248912.66000000003</v>
      </c>
    </row>
    <row r="16" spans="1:7" x14ac:dyDescent="0.2">
      <c r="B16" s="8">
        <v>2</v>
      </c>
      <c r="C16" s="17">
        <v>44743</v>
      </c>
      <c r="D16" s="57">
        <f>275638-215</f>
        <v>275423</v>
      </c>
      <c r="E16" s="58">
        <v>252364.79999999999</v>
      </c>
      <c r="F16" s="18">
        <f t="shared" ref="F16:F23" si="0">D16-E16</f>
        <v>23058.200000000012</v>
      </c>
      <c r="G16" s="16">
        <f t="shared" ref="G16:G23" si="1">G15+F16</f>
        <v>271970.86000000004</v>
      </c>
    </row>
    <row r="17" spans="2:7" x14ac:dyDescent="0.2">
      <c r="B17" s="8">
        <v>3</v>
      </c>
      <c r="C17" s="19">
        <v>44774</v>
      </c>
      <c r="D17" s="59">
        <f>214376-18</f>
        <v>214358</v>
      </c>
      <c r="E17" s="60">
        <v>231702.43</v>
      </c>
      <c r="F17" s="20">
        <f t="shared" si="0"/>
        <v>-17344.429999999993</v>
      </c>
      <c r="G17" s="21">
        <f t="shared" si="1"/>
        <v>254626.43000000005</v>
      </c>
    </row>
    <row r="18" spans="2:7" x14ac:dyDescent="0.2">
      <c r="B18" s="8">
        <v>4</v>
      </c>
      <c r="C18" s="19">
        <v>44805</v>
      </c>
      <c r="D18" s="59">
        <f>142684-0</f>
        <v>142684</v>
      </c>
      <c r="E18" s="60">
        <f>139062.42</f>
        <v>139062.42000000001</v>
      </c>
      <c r="F18" s="20">
        <f t="shared" si="0"/>
        <v>3621.5799999999872</v>
      </c>
      <c r="G18" s="21">
        <f t="shared" si="1"/>
        <v>258248.01000000004</v>
      </c>
    </row>
    <row r="19" spans="2:7" x14ac:dyDescent="0.2">
      <c r="B19" s="8">
        <v>5</v>
      </c>
      <c r="C19" s="19">
        <v>44835</v>
      </c>
      <c r="D19" s="59">
        <f>180438-166</f>
        <v>180272</v>
      </c>
      <c r="E19" s="60">
        <v>183410.21</v>
      </c>
      <c r="F19" s="20">
        <f t="shared" si="0"/>
        <v>-3138.2099999999919</v>
      </c>
      <c r="G19" s="21">
        <f t="shared" si="1"/>
        <v>255109.80000000005</v>
      </c>
    </row>
    <row r="20" spans="2:7" x14ac:dyDescent="0.2">
      <c r="B20" s="8">
        <v>6</v>
      </c>
      <c r="C20" s="19">
        <v>44866</v>
      </c>
      <c r="D20" s="59">
        <f>233724-184</f>
        <v>233540</v>
      </c>
      <c r="E20" s="60">
        <v>234819.81</v>
      </c>
      <c r="F20" s="20">
        <f t="shared" si="0"/>
        <v>-1279.8099999999977</v>
      </c>
      <c r="G20" s="21">
        <f t="shared" si="1"/>
        <v>253829.99000000005</v>
      </c>
    </row>
    <row r="21" spans="2:7" x14ac:dyDescent="0.2">
      <c r="B21" s="8">
        <v>7</v>
      </c>
      <c r="C21" s="19">
        <v>44896</v>
      </c>
      <c r="D21" s="59">
        <f>336215-198</f>
        <v>336017</v>
      </c>
      <c r="E21" s="60">
        <v>309368.05</v>
      </c>
      <c r="F21" s="22">
        <f t="shared" si="0"/>
        <v>26648.950000000012</v>
      </c>
      <c r="G21" s="23">
        <f t="shared" si="1"/>
        <v>280478.94000000006</v>
      </c>
    </row>
    <row r="22" spans="2:7" x14ac:dyDescent="0.2">
      <c r="B22" s="24" t="s">
        <v>28</v>
      </c>
      <c r="C22" s="17">
        <v>44927</v>
      </c>
      <c r="D22" s="57">
        <f>261046-171</f>
        <v>260875</v>
      </c>
      <c r="E22" s="58">
        <v>236217.18</v>
      </c>
      <c r="F22" s="18">
        <f t="shared" si="0"/>
        <v>24657.820000000007</v>
      </c>
      <c r="G22" s="16">
        <f t="shared" si="1"/>
        <v>305136.76000000007</v>
      </c>
    </row>
    <row r="23" spans="2:7" x14ac:dyDescent="0.2">
      <c r="B23" s="25" t="s">
        <v>29</v>
      </c>
      <c r="C23" s="26">
        <v>44958</v>
      </c>
      <c r="D23" s="61">
        <f>134717-115</f>
        <v>134602</v>
      </c>
      <c r="E23" s="62">
        <v>145946.97</v>
      </c>
      <c r="F23" s="22">
        <f t="shared" si="0"/>
        <v>-11344.970000000001</v>
      </c>
      <c r="G23" s="23">
        <f t="shared" si="1"/>
        <v>293791.79000000004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-208757</v>
      </c>
      <c r="E31" s="16">
        <f>D62</f>
        <v>0</v>
      </c>
      <c r="F31" s="5"/>
      <c r="G31" s="16">
        <f>D31+E31</f>
        <v>-208757</v>
      </c>
    </row>
    <row r="32" spans="2:7" x14ac:dyDescent="0.2">
      <c r="B32" s="31" t="s">
        <v>44</v>
      </c>
      <c r="C32" s="32" t="s">
        <v>84</v>
      </c>
      <c r="D32" s="23">
        <f>-G14</f>
        <v>-40155.660000000033</v>
      </c>
      <c r="E32" s="23">
        <v>0</v>
      </c>
      <c r="F32" s="32"/>
      <c r="G32" s="23">
        <f>D32+E32</f>
        <v>-40155.660000000033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-248912.66000000003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31566.280000000028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5261.0466666666716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248912.66000000003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-248912.66000000003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31566.280000000028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31566.280000000028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73"/>
      <c r="G54" s="73"/>
    </row>
    <row r="55" spans="2:7" x14ac:dyDescent="0.2">
      <c r="B55" s="36"/>
      <c r="C55" s="9" t="s">
        <v>17</v>
      </c>
      <c r="D55" s="9" t="s">
        <v>100</v>
      </c>
      <c r="E55" s="31"/>
      <c r="F55" s="73"/>
      <c r="G55" s="73"/>
    </row>
    <row r="56" spans="2:7" x14ac:dyDescent="0.2">
      <c r="C56" s="17">
        <v>44743</v>
      </c>
      <c r="D56" s="50">
        <v>0</v>
      </c>
      <c r="E56" s="74"/>
      <c r="F56" s="70"/>
      <c r="G56" s="70"/>
    </row>
    <row r="57" spans="2:7" x14ac:dyDescent="0.2">
      <c r="C57" s="19">
        <v>44774</v>
      </c>
      <c r="D57" s="51">
        <v>0</v>
      </c>
      <c r="E57" s="74"/>
      <c r="F57" s="70"/>
      <c r="G57" s="70"/>
    </row>
    <row r="58" spans="2:7" x14ac:dyDescent="0.2">
      <c r="C58" s="19">
        <v>44805</v>
      </c>
      <c r="D58" s="51">
        <v>0</v>
      </c>
      <c r="E58" s="74"/>
      <c r="F58" s="70"/>
      <c r="G58" s="70"/>
    </row>
    <row r="59" spans="2:7" x14ac:dyDescent="0.2">
      <c r="C59" s="19">
        <v>44835</v>
      </c>
      <c r="D59" s="51">
        <v>0</v>
      </c>
      <c r="E59" s="74"/>
      <c r="F59" s="70"/>
      <c r="G59" s="70"/>
    </row>
    <row r="60" spans="2:7" x14ac:dyDescent="0.2">
      <c r="C60" s="19">
        <v>44866</v>
      </c>
      <c r="D60" s="51">
        <v>0</v>
      </c>
      <c r="E60" s="74"/>
      <c r="F60" s="70"/>
      <c r="G60" s="70"/>
    </row>
    <row r="61" spans="2:7" x14ac:dyDescent="0.2">
      <c r="C61" s="19">
        <v>44896</v>
      </c>
      <c r="D61" s="52">
        <v>0</v>
      </c>
      <c r="E61" s="74"/>
      <c r="F61" s="70"/>
      <c r="G61" s="70"/>
    </row>
    <row r="62" spans="2:7" x14ac:dyDescent="0.2">
      <c r="C62" s="53" t="s">
        <v>57</v>
      </c>
      <c r="D62" s="39">
        <f>SUM(D56:D61)</f>
        <v>0</v>
      </c>
      <c r="E62" s="20"/>
      <c r="F62" s="70"/>
      <c r="G62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>
      <selection activeCell="E33" sqref="E33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280478.94000000006</v>
      </c>
    </row>
    <row r="17" spans="2:7" x14ac:dyDescent="0.2">
      <c r="B17" s="8">
        <v>2</v>
      </c>
      <c r="C17" s="17">
        <v>44927</v>
      </c>
      <c r="D17" s="57">
        <f>261046-171</f>
        <v>260875</v>
      </c>
      <c r="E17" s="58">
        <v>236217.18</v>
      </c>
      <c r="F17" s="18">
        <f t="shared" ref="F17:F24" si="0">D17-E17</f>
        <v>24657.820000000007</v>
      </c>
      <c r="G17" s="16">
        <f t="shared" ref="G17:G24" si="1">G16+F17</f>
        <v>305136.76000000007</v>
      </c>
    </row>
    <row r="18" spans="2:7" x14ac:dyDescent="0.2">
      <c r="B18" s="8">
        <v>3</v>
      </c>
      <c r="C18" s="19">
        <v>44958</v>
      </c>
      <c r="D18" s="59">
        <f>134717-115</f>
        <v>134602</v>
      </c>
      <c r="E18" s="60">
        <v>145946.97</v>
      </c>
      <c r="F18" s="20">
        <f t="shared" si="0"/>
        <v>-11344.970000000001</v>
      </c>
      <c r="G18" s="21">
        <f t="shared" si="1"/>
        <v>293791.79000000004</v>
      </c>
    </row>
    <row r="19" spans="2:7" x14ac:dyDescent="0.2">
      <c r="B19" s="8">
        <v>4</v>
      </c>
      <c r="C19" s="19">
        <v>44986</v>
      </c>
      <c r="D19" s="59">
        <f>168756-146</f>
        <v>168610</v>
      </c>
      <c r="E19" s="60">
        <v>186035.47</v>
      </c>
      <c r="F19" s="20">
        <f t="shared" si="0"/>
        <v>-17425.47</v>
      </c>
      <c r="G19" s="21">
        <f t="shared" si="1"/>
        <v>276366.32000000007</v>
      </c>
    </row>
    <row r="20" spans="2:7" x14ac:dyDescent="0.2">
      <c r="B20" s="8">
        <v>5</v>
      </c>
      <c r="C20" s="19">
        <v>45017</v>
      </c>
      <c r="D20" s="59">
        <f>165826-199</f>
        <v>165627</v>
      </c>
      <c r="E20" s="60">
        <v>179529.24</v>
      </c>
      <c r="F20" s="20">
        <f t="shared" si="0"/>
        <v>-13902.239999999991</v>
      </c>
      <c r="G20" s="21">
        <f t="shared" si="1"/>
        <v>262464.08000000007</v>
      </c>
    </row>
    <row r="21" spans="2:7" x14ac:dyDescent="0.2">
      <c r="B21" s="8">
        <v>6</v>
      </c>
      <c r="C21" s="19">
        <v>45047</v>
      </c>
      <c r="D21" s="59">
        <f>166161-194</f>
        <v>165967</v>
      </c>
      <c r="E21" s="60">
        <v>181301.53</v>
      </c>
      <c r="F21" s="20">
        <f t="shared" si="0"/>
        <v>-15334.529999999999</v>
      </c>
      <c r="G21" s="21">
        <f t="shared" si="1"/>
        <v>247129.55000000008</v>
      </c>
    </row>
    <row r="22" spans="2:7" x14ac:dyDescent="0.2">
      <c r="B22" s="8">
        <v>7</v>
      </c>
      <c r="C22" s="19">
        <v>45078</v>
      </c>
      <c r="D22" s="59">
        <f>190023-233</f>
        <v>189790</v>
      </c>
      <c r="E22" s="60">
        <v>226272.48</v>
      </c>
      <c r="F22" s="22">
        <f t="shared" si="0"/>
        <v>-36482.48000000001</v>
      </c>
      <c r="G22" s="23">
        <f t="shared" si="1"/>
        <v>210647.07000000007</v>
      </c>
    </row>
    <row r="23" spans="2:7" x14ac:dyDescent="0.2">
      <c r="B23" s="24" t="s">
        <v>28</v>
      </c>
      <c r="C23" s="17">
        <v>45108</v>
      </c>
      <c r="D23" s="57">
        <f>256664-242</f>
        <v>256422</v>
      </c>
      <c r="E23" s="58">
        <v>258217.7</v>
      </c>
      <c r="F23" s="18">
        <f t="shared" si="0"/>
        <v>-1795.7000000000116</v>
      </c>
      <c r="G23" s="16">
        <f t="shared" si="1"/>
        <v>208851.37000000005</v>
      </c>
    </row>
    <row r="24" spans="2:7" x14ac:dyDescent="0.2">
      <c r="B24" s="25" t="s">
        <v>29</v>
      </c>
      <c r="C24" s="26">
        <v>45139</v>
      </c>
      <c r="D24" s="61">
        <f>256514-0</f>
        <v>256514</v>
      </c>
      <c r="E24" s="62">
        <v>241497.9</v>
      </c>
      <c r="F24" s="22">
        <f t="shared" si="0"/>
        <v>15016.100000000006</v>
      </c>
      <c r="G24" s="23">
        <f t="shared" si="1"/>
        <v>223867.47000000006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-208757</v>
      </c>
      <c r="E32" s="16">
        <f>D64</f>
        <v>0</v>
      </c>
      <c r="F32" s="5"/>
      <c r="G32" s="16">
        <f t="shared" ref="G32:G34" si="2">D32+E32</f>
        <v>-208757</v>
      </c>
    </row>
    <row r="33" spans="2:7" x14ac:dyDescent="0.2">
      <c r="B33" s="31" t="s">
        <v>44</v>
      </c>
      <c r="C33" s="65" t="s">
        <v>84</v>
      </c>
      <c r="D33" s="21">
        <f>-G14</f>
        <v>-40155.660000000033</v>
      </c>
      <c r="E33" s="21">
        <v>0</v>
      </c>
      <c r="F33" s="7"/>
      <c r="G33" s="21">
        <f t="shared" si="2"/>
        <v>-40155.660000000033</v>
      </c>
    </row>
    <row r="34" spans="2:7" x14ac:dyDescent="0.2">
      <c r="B34" s="31" t="s">
        <v>45</v>
      </c>
      <c r="C34" s="49" t="s">
        <v>87</v>
      </c>
      <c r="D34" s="23">
        <f>-G15</f>
        <v>-31566.280000000028</v>
      </c>
      <c r="E34" s="23">
        <v>0</v>
      </c>
      <c r="F34" s="32"/>
      <c r="G34" s="23">
        <f t="shared" si="2"/>
        <v>-31566.280000000028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-280478.94000000006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-69831.87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-11638.644999999999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280478.94000000006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-280478.94000000006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-69831.87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-69831.87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73"/>
      <c r="G56" s="73"/>
    </row>
    <row r="57" spans="2:7" x14ac:dyDescent="0.2">
      <c r="B57" s="36"/>
      <c r="C57" s="9" t="s">
        <v>17</v>
      </c>
      <c r="D57" s="9" t="s">
        <v>100</v>
      </c>
      <c r="E57" s="31"/>
      <c r="F57" s="73"/>
      <c r="G57" s="73"/>
    </row>
    <row r="58" spans="2:7" x14ac:dyDescent="0.2">
      <c r="C58" s="17">
        <v>44927</v>
      </c>
      <c r="D58" s="50">
        <v>0</v>
      </c>
      <c r="E58" s="74"/>
      <c r="F58" s="70"/>
      <c r="G58" s="70"/>
    </row>
    <row r="59" spans="2:7" x14ac:dyDescent="0.2">
      <c r="C59" s="19">
        <v>44958</v>
      </c>
      <c r="D59" s="51">
        <v>0</v>
      </c>
      <c r="E59" s="74"/>
      <c r="F59" s="70"/>
      <c r="G59" s="70"/>
    </row>
    <row r="60" spans="2:7" x14ac:dyDescent="0.2">
      <c r="C60" s="19">
        <v>44986</v>
      </c>
      <c r="D60" s="51">
        <v>0</v>
      </c>
      <c r="E60" s="74"/>
      <c r="F60" s="70"/>
      <c r="G60" s="70"/>
    </row>
    <row r="61" spans="2:7" x14ac:dyDescent="0.2">
      <c r="C61" s="19">
        <v>45017</v>
      </c>
      <c r="D61" s="51">
        <v>0</v>
      </c>
      <c r="E61" s="74"/>
      <c r="F61" s="70"/>
      <c r="G61" s="70"/>
    </row>
    <row r="62" spans="2:7" x14ac:dyDescent="0.2">
      <c r="C62" s="19">
        <v>45047</v>
      </c>
      <c r="D62" s="51">
        <v>0</v>
      </c>
      <c r="E62" s="74"/>
      <c r="F62" s="70"/>
      <c r="G62" s="70"/>
    </row>
    <row r="63" spans="2:7" x14ac:dyDescent="0.2">
      <c r="C63" s="19">
        <v>45078</v>
      </c>
      <c r="D63" s="52">
        <v>0</v>
      </c>
      <c r="E63" s="74"/>
      <c r="F63" s="70"/>
      <c r="G63" s="70"/>
    </row>
    <row r="64" spans="2:7" x14ac:dyDescent="0.2">
      <c r="C64" s="53" t="s">
        <v>57</v>
      </c>
      <c r="D64" s="39">
        <f>SUM(D58:D63)</f>
        <v>0</v>
      </c>
      <c r="E64" s="20"/>
      <c r="F64" s="70"/>
      <c r="G64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topLeftCell="A7" workbookViewId="0">
      <selection activeCell="E34" sqref="E34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A4" s="54"/>
      <c r="B4" s="76" t="s">
        <v>97</v>
      </c>
      <c r="C4" s="77"/>
      <c r="D4" s="77"/>
      <c r="E4" s="77"/>
      <c r="F4" s="77"/>
      <c r="G4" s="78"/>
    </row>
    <row r="5" spans="1:7" x14ac:dyDescent="0.2">
      <c r="A5" s="54"/>
      <c r="B5" s="79"/>
      <c r="C5" s="80"/>
      <c r="D5" s="80"/>
      <c r="E5" s="80"/>
      <c r="F5" s="80"/>
      <c r="G5" s="81"/>
    </row>
    <row r="6" spans="1:7" x14ac:dyDescent="0.2">
      <c r="A6" s="54"/>
    </row>
    <row r="7" spans="1:7" x14ac:dyDescent="0.2">
      <c r="A7" s="54"/>
      <c r="B7" s="5"/>
      <c r="C7" s="5"/>
      <c r="D7" s="5"/>
      <c r="E7" s="6" t="s">
        <v>7</v>
      </c>
      <c r="F7" s="5"/>
      <c r="G7" s="5"/>
    </row>
    <row r="8" spans="1:7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4"/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A13" s="54"/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A14" s="54"/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A15" s="54"/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A16" s="54"/>
      <c r="B16" s="8" t="s">
        <v>26</v>
      </c>
      <c r="C16" s="12" t="s">
        <v>89</v>
      </c>
      <c r="D16" s="12"/>
      <c r="E16" s="12"/>
      <c r="F16" s="15"/>
      <c r="G16" s="57">
        <f>'C - 05-31-23'!G37</f>
        <v>-69831.87</v>
      </c>
    </row>
    <row r="17" spans="1:7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210647.07000000007</v>
      </c>
    </row>
    <row r="18" spans="1:7" x14ac:dyDescent="0.2">
      <c r="A18" s="54"/>
      <c r="B18" s="8">
        <v>2</v>
      </c>
      <c r="C18" s="17">
        <v>45108</v>
      </c>
      <c r="D18" s="57">
        <f>256664-242</f>
        <v>256422</v>
      </c>
      <c r="E18" s="58">
        <v>258217.7</v>
      </c>
      <c r="F18" s="18">
        <f t="shared" ref="F18:F25" si="0">D18-E18</f>
        <v>-1795.7000000000116</v>
      </c>
      <c r="G18" s="16">
        <f t="shared" ref="G18:G25" si="1">G17+F18</f>
        <v>208851.37000000005</v>
      </c>
    </row>
    <row r="19" spans="1:7" x14ac:dyDescent="0.2">
      <c r="A19" s="54"/>
      <c r="B19" s="8">
        <v>3</v>
      </c>
      <c r="C19" s="19">
        <v>45139</v>
      </c>
      <c r="D19" s="59">
        <f>256514-0</f>
        <v>256514</v>
      </c>
      <c r="E19" s="60">
        <v>241497.9</v>
      </c>
      <c r="F19" s="20">
        <f t="shared" si="0"/>
        <v>15016.100000000006</v>
      </c>
      <c r="G19" s="21">
        <f t="shared" si="1"/>
        <v>223867.47000000006</v>
      </c>
    </row>
    <row r="20" spans="1:7" x14ac:dyDescent="0.2">
      <c r="A20" s="54"/>
      <c r="B20" s="8">
        <v>4</v>
      </c>
      <c r="C20" s="19">
        <v>45170</v>
      </c>
      <c r="D20" s="59">
        <f>169193-0</f>
        <v>169193</v>
      </c>
      <c r="E20" s="60">
        <v>169530.09</v>
      </c>
      <c r="F20" s="20">
        <f t="shared" si="0"/>
        <v>-337.08999999999651</v>
      </c>
      <c r="G20" s="21">
        <f t="shared" si="1"/>
        <v>223530.38000000006</v>
      </c>
    </row>
    <row r="21" spans="1:7" x14ac:dyDescent="0.2">
      <c r="A21" s="54"/>
      <c r="B21" s="8">
        <v>5</v>
      </c>
      <c r="C21" s="19">
        <v>45200</v>
      </c>
      <c r="D21" s="59">
        <f>147072-187</f>
        <v>146885</v>
      </c>
      <c r="E21" s="60">
        <v>161394.6</v>
      </c>
      <c r="F21" s="20">
        <f t="shared" si="0"/>
        <v>-14509.600000000006</v>
      </c>
      <c r="G21" s="21">
        <f t="shared" si="1"/>
        <v>209020.78000000006</v>
      </c>
    </row>
    <row r="22" spans="1:7" x14ac:dyDescent="0.2">
      <c r="A22" s="54"/>
      <c r="B22" s="8">
        <v>6</v>
      </c>
      <c r="C22" s="19">
        <v>45231</v>
      </c>
      <c r="D22" s="59">
        <f>246668-221</f>
        <v>246447</v>
      </c>
      <c r="E22" s="60">
        <v>251233.31</v>
      </c>
      <c r="F22" s="20">
        <f t="shared" si="0"/>
        <v>-4786.3099999999977</v>
      </c>
      <c r="G22" s="21">
        <f t="shared" si="1"/>
        <v>204234.47000000006</v>
      </c>
    </row>
    <row r="23" spans="1:7" x14ac:dyDescent="0.2">
      <c r="A23" s="54"/>
      <c r="B23" s="8">
        <v>7</v>
      </c>
      <c r="C23" s="19">
        <v>45261</v>
      </c>
      <c r="D23" s="59">
        <f>261417-227</f>
        <v>261190</v>
      </c>
      <c r="E23" s="60">
        <v>270859.71000000002</v>
      </c>
      <c r="F23" s="22">
        <f t="shared" si="0"/>
        <v>-9669.710000000021</v>
      </c>
      <c r="G23" s="23">
        <f t="shared" si="1"/>
        <v>194564.76000000004</v>
      </c>
    </row>
    <row r="24" spans="1:7" x14ac:dyDescent="0.2">
      <c r="A24" s="54"/>
      <c r="B24" s="24" t="s">
        <v>28</v>
      </c>
      <c r="C24" s="17">
        <v>45292</v>
      </c>
      <c r="D24" s="57">
        <f>311432-211</f>
        <v>311221</v>
      </c>
      <c r="E24" s="58">
        <v>284667.17</v>
      </c>
      <c r="F24" s="18">
        <f t="shared" si="0"/>
        <v>26553.830000000016</v>
      </c>
      <c r="G24" s="16">
        <f t="shared" si="1"/>
        <v>221118.59000000005</v>
      </c>
    </row>
    <row r="25" spans="1:7" x14ac:dyDescent="0.2">
      <c r="A25" s="54"/>
      <c r="B25" s="25" t="s">
        <v>29</v>
      </c>
      <c r="C25" s="26">
        <v>45323</v>
      </c>
      <c r="D25" s="61">
        <f>239676-195</f>
        <v>239481</v>
      </c>
      <c r="E25" s="62">
        <v>219545.32</v>
      </c>
      <c r="F25" s="22">
        <f t="shared" si="0"/>
        <v>19935.679999999993</v>
      </c>
      <c r="G25" s="23">
        <f t="shared" si="1"/>
        <v>241054.27000000005</v>
      </c>
    </row>
    <row r="26" spans="1:7" x14ac:dyDescent="0.2">
      <c r="A26" s="54"/>
      <c r="B26" s="9"/>
      <c r="C26" s="27" t="s">
        <v>74</v>
      </c>
      <c r="D26" s="28"/>
      <c r="E26" s="28"/>
      <c r="F26" s="28"/>
      <c r="G26" s="29"/>
    </row>
    <row r="27" spans="1:7" x14ac:dyDescent="0.2">
      <c r="A27" s="54"/>
      <c r="B27" s="6"/>
      <c r="C27" s="5"/>
      <c r="D27" s="5"/>
      <c r="E27" s="5"/>
      <c r="F27" s="5"/>
      <c r="G27" s="16"/>
    </row>
    <row r="28" spans="1:7" x14ac:dyDescent="0.2">
      <c r="A28" s="54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4"/>
      <c r="B33" s="24" t="s">
        <v>43</v>
      </c>
      <c r="C33" s="66" t="s">
        <v>90</v>
      </c>
      <c r="D33" s="67">
        <f>-G13</f>
        <v>-208757</v>
      </c>
      <c r="E33" s="67">
        <f>D66</f>
        <v>0</v>
      </c>
      <c r="F33" s="43"/>
      <c r="G33" s="68">
        <f t="shared" ref="G33:G36" si="2">D33+E33</f>
        <v>-208757</v>
      </c>
    </row>
    <row r="34" spans="1:7" x14ac:dyDescent="0.2">
      <c r="A34" s="54"/>
      <c r="B34" s="31" t="s">
        <v>44</v>
      </c>
      <c r="C34" s="69" t="s">
        <v>84</v>
      </c>
      <c r="D34" s="70">
        <f>-G14</f>
        <v>-40155.660000000033</v>
      </c>
      <c r="E34" s="70">
        <v>0</v>
      </c>
      <c r="F34" s="44"/>
      <c r="G34" s="45">
        <f t="shared" si="2"/>
        <v>-40155.660000000033</v>
      </c>
    </row>
    <row r="35" spans="1:7" x14ac:dyDescent="0.2">
      <c r="A35" s="54"/>
      <c r="B35" s="31" t="s">
        <v>45</v>
      </c>
      <c r="C35" s="69" t="s">
        <v>87</v>
      </c>
      <c r="D35" s="70">
        <f>-G15</f>
        <v>-31566.280000000028</v>
      </c>
      <c r="E35" s="70">
        <v>0</v>
      </c>
      <c r="F35" s="44"/>
      <c r="G35" s="45">
        <f t="shared" si="2"/>
        <v>-31566.280000000028</v>
      </c>
    </row>
    <row r="36" spans="1:7" x14ac:dyDescent="0.2">
      <c r="A36" s="54"/>
      <c r="B36" s="31" t="s">
        <v>46</v>
      </c>
      <c r="C36" s="71" t="s">
        <v>91</v>
      </c>
      <c r="D36" s="72">
        <f>-G16</f>
        <v>69831.87</v>
      </c>
      <c r="E36" s="72">
        <v>0</v>
      </c>
      <c r="F36" s="48"/>
      <c r="G36" s="46">
        <f t="shared" si="2"/>
        <v>69831.87</v>
      </c>
    </row>
    <row r="37" spans="1:7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-210647.07000000007</v>
      </c>
    </row>
    <row r="38" spans="1:7" x14ac:dyDescent="0.2">
      <c r="A38" s="54"/>
      <c r="B38" s="36"/>
      <c r="G38" s="37"/>
    </row>
    <row r="39" spans="1:7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-16082.310000000027</v>
      </c>
    </row>
    <row r="40" spans="1:7" x14ac:dyDescent="0.2">
      <c r="A40" s="54"/>
      <c r="B40" s="36"/>
      <c r="G40" s="37"/>
    </row>
    <row r="41" spans="1:7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-2680.3850000000043</v>
      </c>
    </row>
    <row r="42" spans="1:7" x14ac:dyDescent="0.2">
      <c r="A42" s="54"/>
    </row>
    <row r="43" spans="1:7" x14ac:dyDescent="0.2">
      <c r="A43" s="54"/>
      <c r="B43" s="5"/>
      <c r="C43" s="40" t="s">
        <v>48</v>
      </c>
      <c r="D43" s="41"/>
      <c r="E43" s="41"/>
      <c r="F43" s="41"/>
      <c r="G43" s="42"/>
    </row>
    <row r="44" spans="1:7" x14ac:dyDescent="0.2">
      <c r="A44" s="54"/>
      <c r="B44" s="5"/>
      <c r="C44" s="43"/>
      <c r="D44" s="43"/>
      <c r="E44" s="43"/>
      <c r="F44" s="43"/>
      <c r="G44" s="15"/>
    </row>
    <row r="45" spans="1:7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210647.07000000007</v>
      </c>
    </row>
    <row r="46" spans="1:7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-210647.07000000007</v>
      </c>
    </row>
    <row r="47" spans="1:7" x14ac:dyDescent="0.2">
      <c r="A47" s="54"/>
      <c r="B47" s="8"/>
      <c r="C47" s="44"/>
      <c r="D47" s="44"/>
      <c r="E47" s="44"/>
      <c r="F47" s="44"/>
      <c r="G47" s="45"/>
    </row>
    <row r="48" spans="1:7" ht="1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4"/>
      <c r="B49" s="8"/>
      <c r="C49" s="44"/>
      <c r="D49" s="44"/>
      <c r="E49" s="44"/>
      <c r="F49" s="44"/>
      <c r="G49" s="45"/>
    </row>
    <row r="50" spans="1:7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-16082.310000000027</v>
      </c>
    </row>
    <row r="51" spans="1:7" x14ac:dyDescent="0.2">
      <c r="A51" s="54"/>
      <c r="B51" s="8"/>
      <c r="C51" s="44"/>
      <c r="D51" s="44"/>
      <c r="E51" s="44"/>
      <c r="F51" s="44"/>
      <c r="G51" s="45"/>
    </row>
    <row r="52" spans="1:7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-16082.310000000027</v>
      </c>
    </row>
    <row r="53" spans="1:7" x14ac:dyDescent="0.2">
      <c r="A53" s="54"/>
      <c r="B53" s="8"/>
      <c r="C53" s="44"/>
      <c r="D53" s="44"/>
      <c r="E53" s="44"/>
      <c r="F53" s="44"/>
      <c r="G53" s="45"/>
    </row>
    <row r="54" spans="1:7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4"/>
      <c r="B55" s="32"/>
      <c r="C55" s="48"/>
      <c r="D55" s="48"/>
      <c r="E55" s="48"/>
      <c r="F55" s="48"/>
      <c r="G55" s="49"/>
    </row>
    <row r="56" spans="1:7" x14ac:dyDescent="0.2">
      <c r="A56" s="54"/>
    </row>
    <row r="57" spans="1:7" x14ac:dyDescent="0.2">
      <c r="A57" s="54"/>
      <c r="B57" t="s">
        <v>55</v>
      </c>
    </row>
    <row r="58" spans="1:7" x14ac:dyDescent="0.2">
      <c r="A58" s="54"/>
      <c r="B58" s="36"/>
      <c r="C58" s="5"/>
      <c r="D58" s="6" t="s">
        <v>56</v>
      </c>
      <c r="E58" s="31"/>
      <c r="F58" s="73"/>
      <c r="G58" s="73"/>
    </row>
    <row r="59" spans="1:7" x14ac:dyDescent="0.2">
      <c r="B59" s="36"/>
      <c r="C59" s="9" t="s">
        <v>17</v>
      </c>
      <c r="D59" s="9" t="s">
        <v>100</v>
      </c>
      <c r="E59" s="31"/>
      <c r="F59" s="73"/>
      <c r="G59" s="73"/>
    </row>
    <row r="60" spans="1:7" x14ac:dyDescent="0.2">
      <c r="C60" s="17">
        <v>45108</v>
      </c>
      <c r="D60" s="50">
        <v>0</v>
      </c>
      <c r="E60" s="74"/>
      <c r="F60" s="70"/>
      <c r="G60" s="70"/>
    </row>
    <row r="61" spans="1:7" x14ac:dyDescent="0.2">
      <c r="C61" s="19">
        <v>45139</v>
      </c>
      <c r="D61" s="51">
        <v>0</v>
      </c>
      <c r="E61" s="74"/>
      <c r="F61" s="70"/>
      <c r="G61" s="70"/>
    </row>
    <row r="62" spans="1:7" x14ac:dyDescent="0.2">
      <c r="C62" s="19">
        <v>45170</v>
      </c>
      <c r="D62" s="51">
        <v>0</v>
      </c>
      <c r="E62" s="74"/>
      <c r="F62" s="70"/>
      <c r="G62" s="70"/>
    </row>
    <row r="63" spans="1:7" x14ac:dyDescent="0.2">
      <c r="C63" s="19">
        <v>45200</v>
      </c>
      <c r="D63" s="51">
        <v>0</v>
      </c>
      <c r="E63" s="74"/>
      <c r="F63" s="70"/>
      <c r="G63" s="70"/>
    </row>
    <row r="64" spans="1:7" x14ac:dyDescent="0.2">
      <c r="C64" s="19">
        <v>45231</v>
      </c>
      <c r="D64" s="51">
        <v>0</v>
      </c>
      <c r="E64" s="74"/>
      <c r="F64" s="70"/>
      <c r="G64" s="70"/>
    </row>
    <row r="65" spans="3:7" x14ac:dyDescent="0.2">
      <c r="C65" s="19">
        <v>45261</v>
      </c>
      <c r="D65" s="52">
        <v>0</v>
      </c>
      <c r="E65" s="74"/>
      <c r="F65" s="70"/>
      <c r="G65" s="70"/>
    </row>
    <row r="66" spans="3:7" x14ac:dyDescent="0.2">
      <c r="C66" s="53" t="s">
        <v>57</v>
      </c>
      <c r="D66" s="39">
        <f>SUM(D60:D65)</f>
        <v>0</v>
      </c>
      <c r="E66" s="20"/>
      <c r="F66" s="70"/>
      <c r="G66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>
      <selection activeCell="E34" sqref="E3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-69831.87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-16082.310000000027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194564.76000000004</v>
      </c>
    </row>
    <row r="19" spans="2:7" x14ac:dyDescent="0.2">
      <c r="B19" s="8">
        <v>2</v>
      </c>
      <c r="C19" s="17">
        <v>45292</v>
      </c>
      <c r="D19" s="57">
        <f>311432-211</f>
        <v>311221</v>
      </c>
      <c r="E19" s="58">
        <v>284667.17</v>
      </c>
      <c r="F19" s="18">
        <f t="shared" ref="F19:F26" si="0">D19-E19</f>
        <v>26553.830000000016</v>
      </c>
      <c r="G19" s="16">
        <f t="shared" ref="G19:G26" si="1">G18+F19</f>
        <v>221118.59000000005</v>
      </c>
    </row>
    <row r="20" spans="2:7" x14ac:dyDescent="0.2">
      <c r="B20" s="8">
        <v>3</v>
      </c>
      <c r="C20" s="19">
        <v>45323</v>
      </c>
      <c r="D20" s="59">
        <f>239676-195</f>
        <v>239481</v>
      </c>
      <c r="E20" s="60">
        <v>219545.32</v>
      </c>
      <c r="F20" s="20">
        <f t="shared" si="0"/>
        <v>19935.679999999993</v>
      </c>
      <c r="G20" s="21">
        <f t="shared" si="1"/>
        <v>241054.27000000005</v>
      </c>
    </row>
    <row r="21" spans="2:7" x14ac:dyDescent="0.2">
      <c r="B21" s="8">
        <v>4</v>
      </c>
      <c r="C21" s="19">
        <v>45352</v>
      </c>
      <c r="D21" s="59">
        <f>135284-138</f>
        <v>135146</v>
      </c>
      <c r="E21" s="60">
        <v>141064.54999999999</v>
      </c>
      <c r="F21" s="20">
        <f t="shared" si="0"/>
        <v>-5918.5499999999884</v>
      </c>
      <c r="G21" s="21">
        <f t="shared" si="1"/>
        <v>235135.72000000006</v>
      </c>
    </row>
    <row r="22" spans="2:7" x14ac:dyDescent="0.2">
      <c r="B22" s="8">
        <v>5</v>
      </c>
      <c r="C22" s="19">
        <v>45383</v>
      </c>
      <c r="D22" s="59">
        <f>137845-188</f>
        <v>137657</v>
      </c>
      <c r="E22" s="60">
        <v>195189.5</v>
      </c>
      <c r="F22" s="20">
        <f t="shared" si="0"/>
        <v>-57532.5</v>
      </c>
      <c r="G22" s="21">
        <f t="shared" si="1"/>
        <v>177603.22000000006</v>
      </c>
    </row>
    <row r="23" spans="2:7" x14ac:dyDescent="0.2">
      <c r="B23" s="8">
        <v>6</v>
      </c>
      <c r="C23" s="19">
        <v>45413</v>
      </c>
      <c r="D23" s="59">
        <f>188883-229</f>
        <v>188654</v>
      </c>
      <c r="E23" s="60">
        <v>217980.12</v>
      </c>
      <c r="F23" s="20">
        <f t="shared" si="0"/>
        <v>-29326.119999999995</v>
      </c>
      <c r="G23" s="21">
        <f t="shared" si="1"/>
        <v>148277.10000000006</v>
      </c>
    </row>
    <row r="24" spans="2:7" x14ac:dyDescent="0.2">
      <c r="B24" s="8">
        <v>7</v>
      </c>
      <c r="C24" s="19">
        <v>45444</v>
      </c>
      <c r="D24" s="59">
        <f>272563-279</f>
        <v>272284</v>
      </c>
      <c r="E24" s="60">
        <v>309425.23</v>
      </c>
      <c r="F24" s="22">
        <f t="shared" si="0"/>
        <v>-37141.229999999981</v>
      </c>
      <c r="G24" s="23">
        <f t="shared" si="1"/>
        <v>111135.87000000008</v>
      </c>
    </row>
    <row r="25" spans="2:7" x14ac:dyDescent="0.2">
      <c r="B25" s="24" t="s">
        <v>28</v>
      </c>
      <c r="C25" s="17">
        <v>45474</v>
      </c>
      <c r="D25" s="57">
        <f>266404-0</f>
        <v>266404</v>
      </c>
      <c r="E25" s="58">
        <v>316689.90000000002</v>
      </c>
      <c r="F25" s="18">
        <f t="shared" si="0"/>
        <v>-50285.900000000023</v>
      </c>
      <c r="G25" s="16">
        <f t="shared" si="1"/>
        <v>60849.970000000059</v>
      </c>
    </row>
    <row r="26" spans="2:7" x14ac:dyDescent="0.2">
      <c r="B26" s="25" t="s">
        <v>29</v>
      </c>
      <c r="C26" s="26">
        <v>45505</v>
      </c>
      <c r="D26" s="61">
        <f>224021-0</f>
        <v>224021</v>
      </c>
      <c r="E26" s="62">
        <v>271717.34999999998</v>
      </c>
      <c r="F26" s="22">
        <f t="shared" si="0"/>
        <v>-47696.349999999977</v>
      </c>
      <c r="G26" s="23">
        <f t="shared" si="1"/>
        <v>13153.620000000083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-208757</v>
      </c>
      <c r="E34" s="16">
        <f>D68</f>
        <v>139172</v>
      </c>
      <c r="F34" s="5"/>
      <c r="G34" s="16">
        <f t="shared" ref="G34:G38" si="2">D34+E34</f>
        <v>-69585</v>
      </c>
    </row>
    <row r="35" spans="2:7" x14ac:dyDescent="0.2">
      <c r="B35" s="31" t="s">
        <v>44</v>
      </c>
      <c r="C35" s="7" t="s">
        <v>84</v>
      </c>
      <c r="D35" s="21">
        <f>-G14</f>
        <v>-40155.660000000033</v>
      </c>
      <c r="E35" s="21">
        <v>0</v>
      </c>
      <c r="F35" s="7"/>
      <c r="G35" s="21">
        <f t="shared" si="2"/>
        <v>-40155.660000000033</v>
      </c>
    </row>
    <row r="36" spans="2:7" x14ac:dyDescent="0.2">
      <c r="B36" s="31" t="s">
        <v>45</v>
      </c>
      <c r="C36" s="7" t="s">
        <v>87</v>
      </c>
      <c r="D36" s="21">
        <f>-G15</f>
        <v>-31566.280000000028</v>
      </c>
      <c r="E36" s="21">
        <v>0</v>
      </c>
      <c r="F36" s="7"/>
      <c r="G36" s="21">
        <f t="shared" si="2"/>
        <v>-31566.280000000028</v>
      </c>
    </row>
    <row r="37" spans="2:7" x14ac:dyDescent="0.2">
      <c r="B37" s="31" t="s">
        <v>46</v>
      </c>
      <c r="C37" s="7" t="s">
        <v>91</v>
      </c>
      <c r="D37" s="21">
        <f>-G16</f>
        <v>69831.87</v>
      </c>
      <c r="E37" s="21">
        <v>0</v>
      </c>
      <c r="F37" s="7"/>
      <c r="G37" s="21">
        <f t="shared" si="2"/>
        <v>69831.87</v>
      </c>
    </row>
    <row r="38" spans="2:7" x14ac:dyDescent="0.2">
      <c r="B38" s="31" t="s">
        <v>59</v>
      </c>
      <c r="C38" s="32" t="s">
        <v>93</v>
      </c>
      <c r="D38" s="23">
        <f>-G17</f>
        <v>16082.310000000027</v>
      </c>
      <c r="E38" s="23">
        <v>0</v>
      </c>
      <c r="F38" s="32"/>
      <c r="G38" s="23">
        <f t="shared" si="2"/>
        <v>16082.310000000027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-55392.760000000038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55743.110000000044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9290.5183333333407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194564.76000000004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-55392.760000000038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139172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55743.110000000044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-83428.889999999956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139172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73"/>
      <c r="G60" s="73"/>
    </row>
    <row r="61" spans="2:7" x14ac:dyDescent="0.2">
      <c r="B61" s="36"/>
      <c r="C61" s="9" t="s">
        <v>17</v>
      </c>
      <c r="D61" s="9" t="s">
        <v>100</v>
      </c>
      <c r="E61" s="31"/>
      <c r="F61" s="73"/>
      <c r="G61" s="73"/>
    </row>
    <row r="62" spans="2:7" x14ac:dyDescent="0.2">
      <c r="C62" s="17">
        <v>45292</v>
      </c>
      <c r="D62" s="50">
        <v>0</v>
      </c>
      <c r="E62" s="74"/>
      <c r="F62" s="70"/>
      <c r="G62" s="70"/>
    </row>
    <row r="63" spans="2:7" x14ac:dyDescent="0.2">
      <c r="C63" s="19">
        <v>45323</v>
      </c>
      <c r="D63" s="51">
        <v>0</v>
      </c>
      <c r="E63" s="74"/>
      <c r="F63" s="70"/>
      <c r="G63" s="70"/>
    </row>
    <row r="64" spans="2:7" x14ac:dyDescent="0.2">
      <c r="C64" s="19">
        <v>45352</v>
      </c>
      <c r="D64" s="51">
        <v>34793</v>
      </c>
      <c r="E64" s="74"/>
      <c r="F64" s="70"/>
      <c r="G64" s="70"/>
    </row>
    <row r="65" spans="2:7" x14ac:dyDescent="0.2">
      <c r="C65" s="19">
        <v>45383</v>
      </c>
      <c r="D65" s="51">
        <v>34793</v>
      </c>
      <c r="E65" s="74"/>
      <c r="F65" s="70"/>
      <c r="G65" s="70"/>
    </row>
    <row r="66" spans="2:7" x14ac:dyDescent="0.2">
      <c r="C66" s="19">
        <v>45413</v>
      </c>
      <c r="D66" s="51">
        <v>34793</v>
      </c>
      <c r="E66" s="74"/>
      <c r="F66" s="70"/>
      <c r="G66" s="70"/>
    </row>
    <row r="67" spans="2:7" x14ac:dyDescent="0.2">
      <c r="C67" s="19">
        <v>45444</v>
      </c>
      <c r="D67" s="52">
        <v>34793</v>
      </c>
      <c r="E67" s="74"/>
      <c r="F67" s="70"/>
      <c r="G67" s="70"/>
    </row>
    <row r="68" spans="2:7" x14ac:dyDescent="0.2">
      <c r="C68" s="53" t="s">
        <v>57</v>
      </c>
      <c r="D68" s="39">
        <f>SUM(D62:D67)</f>
        <v>139172</v>
      </c>
      <c r="E68" s="20"/>
      <c r="F68" s="70"/>
      <c r="G68" s="70"/>
    </row>
    <row r="79" spans="2:7" x14ac:dyDescent="0.2">
      <c r="B79" s="54"/>
    </row>
    <row r="80" spans="2:7" x14ac:dyDescent="0.2">
      <c r="B80" s="54"/>
    </row>
    <row r="81" spans="2:2" x14ac:dyDescent="0.2">
      <c r="B81" s="54"/>
    </row>
    <row r="82" spans="2:2" x14ac:dyDescent="0.2">
      <c r="B82" s="54"/>
    </row>
    <row r="83" spans="2:2" x14ac:dyDescent="0.2">
      <c r="B83" s="54"/>
    </row>
    <row r="84" spans="2:2" x14ac:dyDescent="0.2">
      <c r="B84" s="54"/>
    </row>
    <row r="85" spans="2:2" x14ac:dyDescent="0.2">
      <c r="B85" s="54"/>
    </row>
    <row r="86" spans="2:2" x14ac:dyDescent="0.2">
      <c r="B86" s="54"/>
    </row>
    <row r="87" spans="2:2" x14ac:dyDescent="0.2">
      <c r="B87" s="54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workbookViewId="0">
      <selection activeCell="E38" sqref="E38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6" t="s">
        <v>97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69585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-69831.87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-16082.310000000027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7">
        <f>'E - 05-31-24'!G41</f>
        <v>55743.110000000044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111135.87000000008</v>
      </c>
    </row>
    <row r="20" spans="2:7" x14ac:dyDescent="0.2">
      <c r="B20" s="8">
        <v>2</v>
      </c>
      <c r="C20" s="17">
        <v>45474</v>
      </c>
      <c r="D20" s="57">
        <f>266404-0</f>
        <v>266404</v>
      </c>
      <c r="E20" s="58">
        <v>316689.90000000002</v>
      </c>
      <c r="F20" s="18">
        <f t="shared" ref="F20:F27" si="0">D20-E20</f>
        <v>-50285.900000000023</v>
      </c>
      <c r="G20" s="16">
        <f t="shared" ref="G20:G27" si="1">G19+F20</f>
        <v>60849.970000000059</v>
      </c>
    </row>
    <row r="21" spans="2:7" x14ac:dyDescent="0.2">
      <c r="B21" s="8">
        <v>3</v>
      </c>
      <c r="C21" s="19">
        <v>45505</v>
      </c>
      <c r="D21" s="59">
        <f>224021-0</f>
        <v>224021</v>
      </c>
      <c r="E21" s="60">
        <v>271717.34999999998</v>
      </c>
      <c r="F21" s="20">
        <f t="shared" si="0"/>
        <v>-47696.349999999977</v>
      </c>
      <c r="G21" s="21">
        <f t="shared" si="1"/>
        <v>13153.620000000083</v>
      </c>
    </row>
    <row r="22" spans="2:7" x14ac:dyDescent="0.2">
      <c r="B22" s="8">
        <v>4</v>
      </c>
      <c r="C22" s="19">
        <v>45536</v>
      </c>
      <c r="D22" s="59">
        <f>204497-0</f>
        <v>204497</v>
      </c>
      <c r="E22" s="60">
        <v>232841.13</v>
      </c>
      <c r="F22" s="20">
        <f t="shared" si="0"/>
        <v>-28344.130000000005</v>
      </c>
      <c r="G22" s="21">
        <f t="shared" si="1"/>
        <v>-15190.509999999922</v>
      </c>
    </row>
    <row r="23" spans="2:7" x14ac:dyDescent="0.2">
      <c r="B23" s="8">
        <v>5</v>
      </c>
      <c r="C23" s="19">
        <v>45566</v>
      </c>
      <c r="D23" s="59">
        <f>171969-236</f>
        <v>171733</v>
      </c>
      <c r="E23" s="60">
        <v>214667.03</v>
      </c>
      <c r="F23" s="20">
        <f t="shared" si="0"/>
        <v>-42934.03</v>
      </c>
      <c r="G23" s="21">
        <f t="shared" si="1"/>
        <v>-58124.539999999921</v>
      </c>
    </row>
    <row r="24" spans="2:7" x14ac:dyDescent="0.2">
      <c r="B24" s="8">
        <v>6</v>
      </c>
      <c r="C24" s="19">
        <v>45597</v>
      </c>
      <c r="D24" s="59">
        <f>217603-251</f>
        <v>217352</v>
      </c>
      <c r="E24" s="60">
        <v>232539.98</v>
      </c>
      <c r="F24" s="20">
        <f t="shared" si="0"/>
        <v>-15187.98000000001</v>
      </c>
      <c r="G24" s="21">
        <f t="shared" si="1"/>
        <v>-73312.519999999931</v>
      </c>
    </row>
    <row r="25" spans="2:7" x14ac:dyDescent="0.2">
      <c r="B25" s="8">
        <v>7</v>
      </c>
      <c r="C25" s="19">
        <v>45627</v>
      </c>
      <c r="D25" s="59">
        <f>342616-297</f>
        <v>342319</v>
      </c>
      <c r="E25" s="60">
        <f>340980.28</f>
        <v>340980.28</v>
      </c>
      <c r="F25" s="22">
        <f t="shared" si="0"/>
        <v>1338.7199999999721</v>
      </c>
      <c r="G25" s="23">
        <f t="shared" si="1"/>
        <v>-71973.799999999959</v>
      </c>
    </row>
    <row r="26" spans="2:7" x14ac:dyDescent="0.2">
      <c r="B26" s="24" t="s">
        <v>28</v>
      </c>
      <c r="C26" s="17">
        <v>45658</v>
      </c>
      <c r="D26" s="57">
        <f>461609-272</f>
        <v>461337</v>
      </c>
      <c r="E26" s="58">
        <v>419883.46</v>
      </c>
      <c r="F26" s="18">
        <f t="shared" si="0"/>
        <v>41453.539999999979</v>
      </c>
      <c r="G26" s="16">
        <f t="shared" si="1"/>
        <v>-30520.25999999998</v>
      </c>
    </row>
    <row r="27" spans="2:7" x14ac:dyDescent="0.2">
      <c r="B27" s="25" t="s">
        <v>29</v>
      </c>
      <c r="C27" s="26">
        <v>45689</v>
      </c>
      <c r="D27" s="61">
        <f>297825-207</f>
        <v>297618</v>
      </c>
      <c r="E27" s="62">
        <f>243396.6</f>
        <v>243396.6</v>
      </c>
      <c r="F27" s="22">
        <f t="shared" si="0"/>
        <v>54221.399999999994</v>
      </c>
      <c r="G27" s="23">
        <f t="shared" si="1"/>
        <v>23701.140000000014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-69585</v>
      </c>
      <c r="E35" s="16">
        <f>D70</f>
        <v>69585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-40155.660000000033</v>
      </c>
      <c r="E36" s="21">
        <v>0</v>
      </c>
      <c r="F36" s="7"/>
      <c r="G36" s="21">
        <f t="shared" si="3"/>
        <v>-40155.660000000033</v>
      </c>
    </row>
    <row r="37" spans="2:7" x14ac:dyDescent="0.2">
      <c r="B37" s="31" t="s">
        <v>45</v>
      </c>
      <c r="C37" s="7" t="s">
        <v>87</v>
      </c>
      <c r="D37" s="21">
        <f t="shared" si="2"/>
        <v>-31566.280000000028</v>
      </c>
      <c r="E37" s="21">
        <v>0</v>
      </c>
      <c r="F37" s="7"/>
      <c r="G37" s="21">
        <f t="shared" si="3"/>
        <v>-31566.280000000028</v>
      </c>
    </row>
    <row r="38" spans="2:7" x14ac:dyDescent="0.2">
      <c r="B38" s="31" t="s">
        <v>46</v>
      </c>
      <c r="C38" s="7" t="s">
        <v>91</v>
      </c>
      <c r="D38" s="21">
        <f t="shared" si="2"/>
        <v>69831.87</v>
      </c>
      <c r="E38" s="21">
        <v>0</v>
      </c>
      <c r="F38" s="7"/>
      <c r="G38" s="21">
        <f t="shared" si="3"/>
        <v>69831.87</v>
      </c>
    </row>
    <row r="39" spans="2:7" x14ac:dyDescent="0.2">
      <c r="B39" s="31" t="s">
        <v>59</v>
      </c>
      <c r="C39" s="7" t="s">
        <v>93</v>
      </c>
      <c r="D39" s="21">
        <f t="shared" si="2"/>
        <v>16082.310000000027</v>
      </c>
      <c r="E39" s="21">
        <v>0</v>
      </c>
      <c r="F39" s="7"/>
      <c r="G39" s="21">
        <f t="shared" si="3"/>
        <v>16082.310000000027</v>
      </c>
    </row>
    <row r="40" spans="2:7" x14ac:dyDescent="0.2">
      <c r="B40" s="31" t="s">
        <v>66</v>
      </c>
      <c r="C40" s="32" t="s">
        <v>95</v>
      </c>
      <c r="D40" s="23">
        <f t="shared" si="2"/>
        <v>-55743.110000000044</v>
      </c>
      <c r="E40" s="23">
        <v>0</v>
      </c>
      <c r="F40" s="32"/>
      <c r="G40" s="23">
        <f t="shared" si="3"/>
        <v>-55743.110000000044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-41550.870000000083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-113524.67000000004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-18920.778333333339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111135.87000000008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-41550.870000000083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69585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-113524.67000000004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-183109.67000000004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69585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73"/>
      <c r="G62" s="73"/>
    </row>
    <row r="63" spans="2:7" x14ac:dyDescent="0.2">
      <c r="B63" s="36"/>
      <c r="C63" s="9" t="s">
        <v>17</v>
      </c>
      <c r="D63" s="9" t="s">
        <v>100</v>
      </c>
      <c r="E63" s="31"/>
      <c r="F63" s="73"/>
      <c r="G63" s="73"/>
    </row>
    <row r="64" spans="2:7" x14ac:dyDescent="0.2">
      <c r="C64" s="17">
        <v>45474</v>
      </c>
      <c r="D64" s="50">
        <v>34793</v>
      </c>
      <c r="E64" s="74"/>
      <c r="F64" s="70"/>
      <c r="G64" s="70"/>
    </row>
    <row r="65" spans="3:7" x14ac:dyDescent="0.2">
      <c r="C65" s="19">
        <v>45505</v>
      </c>
      <c r="D65" s="51">
        <v>34792</v>
      </c>
      <c r="E65" s="74"/>
      <c r="F65" s="70"/>
      <c r="G65" s="70"/>
    </row>
    <row r="66" spans="3:7" x14ac:dyDescent="0.2">
      <c r="C66" s="19">
        <v>45536</v>
      </c>
      <c r="D66" s="51">
        <v>0</v>
      </c>
      <c r="E66" s="74"/>
      <c r="F66" s="70"/>
      <c r="G66" s="70"/>
    </row>
    <row r="67" spans="3:7" x14ac:dyDescent="0.2">
      <c r="C67" s="19">
        <v>45566</v>
      </c>
      <c r="D67" s="51">
        <v>0</v>
      </c>
      <c r="E67" s="74"/>
      <c r="F67" s="70"/>
      <c r="G67" s="70"/>
    </row>
    <row r="68" spans="3:7" x14ac:dyDescent="0.2">
      <c r="C68" s="19">
        <v>45597</v>
      </c>
      <c r="D68" s="51">
        <v>0</v>
      </c>
      <c r="E68" s="74"/>
      <c r="F68" s="70"/>
      <c r="G68" s="70"/>
    </row>
    <row r="69" spans="3:7" x14ac:dyDescent="0.2">
      <c r="C69" s="19">
        <v>45627</v>
      </c>
      <c r="D69" s="52">
        <v>0</v>
      </c>
      <c r="E69" s="74"/>
      <c r="F69" s="70"/>
      <c r="G69" s="70"/>
    </row>
    <row r="70" spans="3:7" x14ac:dyDescent="0.2">
      <c r="C70" s="53" t="s">
        <v>57</v>
      </c>
      <c r="D70" s="39">
        <f>SUM(D64:D69)</f>
        <v>69585</v>
      </c>
      <c r="E70" s="20"/>
      <c r="F70" s="70"/>
      <c r="G70" s="70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2025-03-31T01:14:13Z</dcterms:modified>
</cp:coreProperties>
</file>