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3D6A9A20-2DC9-4829-BC08-B1A348A801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E27" i="8" l="1"/>
  <c r="D27" i="8"/>
  <c r="D26" i="8" l="1"/>
  <c r="E25" i="8"/>
  <c r="D25" i="8"/>
  <c r="D24" i="8"/>
  <c r="D23" i="8"/>
  <c r="D22" i="8"/>
  <c r="D21" i="8"/>
  <c r="D20" i="8"/>
  <c r="D26" i="6" l="1"/>
  <c r="D25" i="6"/>
  <c r="D24" i="6"/>
  <c r="D23" i="6"/>
  <c r="D22" i="6"/>
  <c r="D21" i="6"/>
  <c r="D20" i="6"/>
  <c r="D19" i="6"/>
  <c r="D25" i="5" l="1"/>
  <c r="D24" i="5"/>
  <c r="D23" i="5"/>
  <c r="D22" i="5"/>
  <c r="D21" i="5"/>
  <c r="D20" i="5"/>
  <c r="D19" i="5"/>
  <c r="D18" i="5"/>
  <c r="D24" i="4" l="1"/>
  <c r="D23" i="4"/>
  <c r="D22" i="4"/>
  <c r="D21" i="4"/>
  <c r="D20" i="4"/>
  <c r="D19" i="4"/>
  <c r="D18" i="4"/>
  <c r="D17" i="4"/>
  <c r="D23" i="3" l="1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35" i="8" l="1"/>
  <c r="G35" i="8" s="1"/>
  <c r="F27" i="8"/>
  <c r="F26" i="8"/>
  <c r="F25" i="8"/>
  <c r="F24" i="8"/>
  <c r="F23" i="8"/>
  <c r="F22" i="8"/>
  <c r="F21" i="8"/>
  <c r="F20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D60" i="2" l="1"/>
  <c r="E30" i="2" s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 s="1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4" l="1"/>
  <c r="G14" i="8"/>
  <c r="G14" i="6"/>
  <c r="G14" i="5"/>
  <c r="E8" i="1"/>
  <c r="G14" i="3"/>
  <c r="G44" i="2"/>
  <c r="G48" i="2" s="1"/>
  <c r="G35" i="2"/>
  <c r="D35" i="6" l="1"/>
  <c r="G35" i="6" s="1"/>
  <c r="D36" i="8"/>
  <c r="G36" i="8" s="1"/>
  <c r="D34" i="5"/>
  <c r="G34" i="5" s="1"/>
  <c r="D33" i="4"/>
  <c r="G33" i="4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G44" i="3" l="1"/>
  <c r="G15" i="4"/>
  <c r="G15" i="5"/>
  <c r="G15" i="8"/>
  <c r="G15" i="6"/>
  <c r="G22" i="3"/>
  <c r="G23" i="3" s="1"/>
  <c r="D36" i="6" l="1"/>
  <c r="G36" i="6" s="1"/>
  <c r="D37" i="8"/>
  <c r="G37" i="8" s="1"/>
  <c r="D35" i="5"/>
  <c r="G35" i="5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5"/>
  <c r="G16" i="6"/>
  <c r="G16" i="8"/>
  <c r="G48" i="4"/>
  <c r="G52" i="4" s="1"/>
  <c r="G39" i="4"/>
  <c r="D38" i="8" l="1"/>
  <c r="G38" i="8" s="1"/>
  <c r="D37" i="6"/>
  <c r="G37" i="6" s="1"/>
  <c r="D36" i="5"/>
  <c r="G36" i="5" s="1"/>
  <c r="G37" i="5" s="1"/>
  <c r="G46" i="5" s="1"/>
  <c r="G17" i="5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50" i="5"/>
  <c r="G54" i="5" s="1"/>
  <c r="G41" i="5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<sst xmlns="http://schemas.openxmlformats.org/spreadsheetml/2006/main" count="430" uniqueCount="102">
  <si>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</si>
  <si>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</si>
  <si>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</si>
  <si>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</si>
  <si>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</si>
  <si>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</si>
  <si>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</si>
  <si>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</si>
  <si>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</si>
  <si>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</si>
  <si>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</si>
  <si>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</si>
  <si>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</si>
  <si>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</si>
  <si>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</si>
  <si>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</si>
  <si>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</si>
  <si>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</si>
  <si>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</si>
  <si>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</si>
  <si>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</si>
  <si>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</si>
  <si>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</si>
  <si>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</si>
  <si>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</si>
  <si>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</si>
  <si>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</si>
  <si>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</si>
  <si>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</si>
  <si>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</si>
  <si>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</si>
  <si>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</si>
  <si>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</si>
  <si>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</si>
  <si>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</si>
  <si>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</si>
  <si>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</si>
  <si>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</si>
  <si>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</si>
  <si>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</si>
  <si>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</si>
  <si>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</si>
  <si>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</si>
  <si>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</si>
  <si>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</si>
  <si>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</si>
  <si>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</si>
  <si>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</si>
  <si>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</si>
  <si>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</si>
  <si>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</si>
  <si>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</si>
  <si>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</si>
  <si>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</si>
  <si>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</si>
  <si>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</si>
  <si>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</si>
  <si>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</si>
  <si>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</si>
  <si>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</si>
  <si>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</si>
  <si>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</si>
  <si>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</si>
  <si>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</si>
  <si>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</si>
  <si>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</si>
  <si>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</si>
  <si>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</si>
  <si>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</si>
  <si>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</si>
  <si>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</si>
  <si>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</si>
  <si>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</si>
  <si>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</si>
  <si>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</si>
  <si>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</si>
  <si>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</si>
  <si>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</si>
  <si>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</si>
  <si>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</si>
  <si>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</si>
  <si>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</si>
  <si>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</si>
  <si>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</si>
  <si>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</si>
  <si>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</si>
  <si>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</si>
  <si>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</si>
  <si>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</si>
  <si>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</si>
  <si>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</si>
  <si>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</si>
  <si>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</si>
  <si>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</si>
  <si>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</si>
  <si>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</si>
  <si>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South Kentucky Surcharge Summary.xlsx</t>
  </si>
  <si>
    <t>South Kentucky</t>
  </si>
  <si>
    <t>South Kentucky - Calculation of (Over)/Under Recovery</t>
  </si>
  <si>
    <t>2022-xx141</t>
  </si>
  <si>
    <t xml:space="preserve"> </t>
  </si>
  <si>
    <t>DR1 Response 2 - South Kentucky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</si>
</sst>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7" sqref="C7"/>
    </sheetView>
  </sheetViews>
  <sheetFormatPr defaultColWidth="15.625" defaultRowHeight="14.25" x14ac:dyDescent="0.2"/>
  <sheetData>
    <row r="1" spans="1:6" x14ac:dyDescent="0.2">
      <c r="A1" t="s">
        <v>101</v>
      </c>
    </row>
    <row r="3" spans="1:6" ht="15" x14ac:dyDescent="0.25">
      <c r="C3" s="75" t="s">
        <v>97</v>
      </c>
      <c r="D3" s="75"/>
      <c r="E3" s="75"/>
    </row>
    <row r="4" spans="1:6" ht="15" x14ac:dyDescent="0.25">
      <c r="B4" s="75" t="s">
        <v>0</v>
      </c>
      <c r="C4" s="75"/>
      <c r="D4" s="75"/>
      <c r="E4" s="75"/>
      <c r="F4" s="75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-458509.94999999995</v>
      </c>
      <c r="F8" s="2" t="str">
        <f>IF(E8&gt;0,"Under-Recovery","Over-Recovery")</f>
        <v>Over-Recovery</v>
      </c>
    </row>
    <row r="9" spans="1:6" x14ac:dyDescent="0.2">
      <c r="B9" t="s">
        <v>68</v>
      </c>
      <c r="E9" s="3">
        <f>'B - 11-30-22'!G35</f>
        <v>-10292.059999999939</v>
      </c>
      <c r="F9" s="2" t="str">
        <f t="shared" ref="F9:F13" si="0">IF(E9&gt;0,"Under-Recovery","Over-Recovery")</f>
        <v>Over-Recovery</v>
      </c>
    </row>
    <row r="10" spans="1:6" x14ac:dyDescent="0.2">
      <c r="B10" t="s">
        <v>73</v>
      </c>
      <c r="E10" s="3">
        <f>'C - 05-31-23'!G37</f>
        <v>-807234.47000000009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-23630.150000000256</v>
      </c>
      <c r="F11" s="2" t="str">
        <f t="shared" si="0"/>
        <v>Over-Recovery</v>
      </c>
    </row>
    <row r="12" spans="1:6" x14ac:dyDescent="0.2">
      <c r="B12" t="s">
        <v>77</v>
      </c>
      <c r="E12" s="63">
        <f>'E - 05-31-24'!G41</f>
        <v>680375.22000000009</v>
      </c>
      <c r="F12" s="2" t="str">
        <f t="shared" si="0"/>
        <v>Under-Recovery</v>
      </c>
    </row>
    <row r="13" spans="1:6" x14ac:dyDescent="0.2">
      <c r="B13" t="s">
        <v>78</v>
      </c>
      <c r="E13" s="63">
        <f>'F - 11-30-24'!G43</f>
        <v>-419200.9800000001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-1038492.3900000004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5" t="s">
        <v>4</v>
      </c>
      <c r="C20" s="75"/>
      <c r="D20" s="75"/>
      <c r="E20" s="75"/>
      <c r="F20" s="75"/>
    </row>
    <row r="22" spans="2:6" x14ac:dyDescent="0.2">
      <c r="B22" t="s">
        <v>5</v>
      </c>
      <c r="E22" s="3">
        <f>ROUND(E15/6,0)</f>
        <v>-173082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-86541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D24" sqref="D24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863830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863830</v>
      </c>
    </row>
    <row r="15" spans="1:7" x14ac:dyDescent="0.2">
      <c r="B15" s="8">
        <v>2</v>
      </c>
      <c r="C15" s="17">
        <v>44562</v>
      </c>
      <c r="D15" s="57">
        <f>1608521-1187</f>
        <v>1607334</v>
      </c>
      <c r="E15" s="58">
        <v>1935359.4</v>
      </c>
      <c r="F15" s="18">
        <f t="shared" ref="F15:F22" si="0">D15-E15</f>
        <v>-328025.39999999991</v>
      </c>
      <c r="G15" s="16">
        <f t="shared" ref="G15:G22" si="1">G14+F15</f>
        <v>535804.60000000009</v>
      </c>
    </row>
    <row r="16" spans="1:7" x14ac:dyDescent="0.2">
      <c r="B16" s="8">
        <v>3</v>
      </c>
      <c r="C16" s="19">
        <v>44593</v>
      </c>
      <c r="D16" s="59">
        <f>1267168-580</f>
        <v>1266588</v>
      </c>
      <c r="E16" s="60">
        <v>1672965.23</v>
      </c>
      <c r="F16" s="20">
        <f t="shared" si="0"/>
        <v>-406377.23</v>
      </c>
      <c r="G16" s="21">
        <f t="shared" si="1"/>
        <v>129427.37000000011</v>
      </c>
    </row>
    <row r="17" spans="2:7" x14ac:dyDescent="0.2">
      <c r="B17" s="8">
        <v>4</v>
      </c>
      <c r="C17" s="19">
        <v>44621</v>
      </c>
      <c r="D17" s="59">
        <f>853313-902</f>
        <v>852411</v>
      </c>
      <c r="E17" s="60">
        <v>1108613.83</v>
      </c>
      <c r="F17" s="20">
        <f t="shared" si="0"/>
        <v>-256202.83000000007</v>
      </c>
      <c r="G17" s="21">
        <f t="shared" si="1"/>
        <v>-126775.45999999996</v>
      </c>
    </row>
    <row r="18" spans="2:7" x14ac:dyDescent="0.2">
      <c r="B18" s="8">
        <v>5</v>
      </c>
      <c r="C18" s="19">
        <v>44652</v>
      </c>
      <c r="D18" s="59">
        <f>1008220-1326</f>
        <v>1006894</v>
      </c>
      <c r="E18" s="60">
        <v>770086.19</v>
      </c>
      <c r="F18" s="20">
        <f t="shared" si="0"/>
        <v>236807.81000000006</v>
      </c>
      <c r="G18" s="21">
        <f t="shared" si="1"/>
        <v>110032.35000000009</v>
      </c>
    </row>
    <row r="19" spans="2:7" x14ac:dyDescent="0.2">
      <c r="B19" s="8">
        <v>6</v>
      </c>
      <c r="C19" s="19">
        <v>44682</v>
      </c>
      <c r="D19" s="59">
        <f>1065976-1415</f>
        <v>1064561</v>
      </c>
      <c r="E19" s="60">
        <v>1049421.7</v>
      </c>
      <c r="F19" s="20">
        <f t="shared" si="0"/>
        <v>15139.300000000047</v>
      </c>
      <c r="G19" s="21">
        <f t="shared" si="1"/>
        <v>125171.65000000014</v>
      </c>
    </row>
    <row r="20" spans="2:7" x14ac:dyDescent="0.2">
      <c r="B20" s="8">
        <v>7</v>
      </c>
      <c r="C20" s="19">
        <v>44713</v>
      </c>
      <c r="D20" s="59">
        <f>1475144-168</f>
        <v>1474976</v>
      </c>
      <c r="E20" s="60">
        <v>1194827.6000000001</v>
      </c>
      <c r="F20" s="22">
        <f t="shared" si="0"/>
        <v>280148.39999999991</v>
      </c>
      <c r="G20" s="23">
        <f t="shared" si="1"/>
        <v>405320.05000000005</v>
      </c>
    </row>
    <row r="21" spans="2:7" x14ac:dyDescent="0.2">
      <c r="B21" s="24" t="s">
        <v>28</v>
      </c>
      <c r="C21" s="17">
        <v>44743</v>
      </c>
      <c r="D21" s="57">
        <f>1660125-1535</f>
        <v>1658590</v>
      </c>
      <c r="E21" s="58">
        <v>1595907.66</v>
      </c>
      <c r="F21" s="18">
        <f t="shared" si="0"/>
        <v>62682.340000000084</v>
      </c>
      <c r="G21" s="16">
        <f t="shared" si="1"/>
        <v>468002.39000000013</v>
      </c>
    </row>
    <row r="22" spans="2:7" x14ac:dyDescent="0.2">
      <c r="B22" s="25" t="s">
        <v>29</v>
      </c>
      <c r="C22" s="26">
        <v>44774</v>
      </c>
      <c r="D22" s="61">
        <f>1274984-137</f>
        <v>1274847</v>
      </c>
      <c r="E22" s="62">
        <v>1577546.22</v>
      </c>
      <c r="F22" s="22">
        <f t="shared" si="0"/>
        <v>-302699.21999999997</v>
      </c>
      <c r="G22" s="23">
        <f t="shared" si="1"/>
        <v>165303.17000000016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4" t="s">
        <v>82</v>
      </c>
      <c r="D30" s="39">
        <f>-G13</f>
        <v>-863830</v>
      </c>
      <c r="E30" s="39">
        <f>D60</f>
        <v>0</v>
      </c>
      <c r="F30" s="64"/>
      <c r="G30" s="39">
        <f>D30+E30</f>
        <v>-863830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-863830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-458509.94999999995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-76418.324999999997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863830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-863830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-458509.94999999995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-458509.94999999995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3"/>
      <c r="G52" s="73"/>
    </row>
    <row r="53" spans="2:7" x14ac:dyDescent="0.2">
      <c r="B53" s="36"/>
      <c r="C53" s="9" t="s">
        <v>17</v>
      </c>
      <c r="D53" s="9" t="s">
        <v>99</v>
      </c>
      <c r="E53" s="31"/>
      <c r="F53" s="73"/>
      <c r="G53" s="73"/>
    </row>
    <row r="54" spans="2:7" x14ac:dyDescent="0.2">
      <c r="C54" s="17">
        <v>44562</v>
      </c>
      <c r="D54" s="50">
        <v>0</v>
      </c>
      <c r="E54" s="74"/>
      <c r="F54" s="70"/>
      <c r="G54" s="70"/>
    </row>
    <row r="55" spans="2:7" x14ac:dyDescent="0.2">
      <c r="C55" s="19">
        <v>44593</v>
      </c>
      <c r="D55" s="51">
        <v>0</v>
      </c>
      <c r="E55" s="74"/>
      <c r="F55" s="70"/>
      <c r="G55" s="70"/>
    </row>
    <row r="56" spans="2:7" x14ac:dyDescent="0.2">
      <c r="C56" s="19">
        <v>44621</v>
      </c>
      <c r="D56" s="51">
        <v>0</v>
      </c>
      <c r="E56" s="74"/>
      <c r="F56" s="70"/>
      <c r="G56" s="70"/>
    </row>
    <row r="57" spans="2:7" x14ac:dyDescent="0.2">
      <c r="C57" s="19">
        <v>44652</v>
      </c>
      <c r="D57" s="51">
        <v>0</v>
      </c>
      <c r="E57" s="74"/>
      <c r="F57" s="70"/>
      <c r="G57" s="70"/>
    </row>
    <row r="58" spans="2:7" x14ac:dyDescent="0.2">
      <c r="C58" s="19">
        <v>44682</v>
      </c>
      <c r="D58" s="51">
        <v>0</v>
      </c>
      <c r="E58" s="74"/>
      <c r="F58" s="70"/>
      <c r="G58" s="70"/>
    </row>
    <row r="59" spans="2:7" x14ac:dyDescent="0.2">
      <c r="C59" s="19">
        <v>44713</v>
      </c>
      <c r="D59" s="52">
        <v>0</v>
      </c>
      <c r="E59" s="74"/>
      <c r="F59" s="70"/>
      <c r="G59" s="70"/>
    </row>
    <row r="60" spans="2:7" x14ac:dyDescent="0.2">
      <c r="C60" s="53" t="s">
        <v>57</v>
      </c>
      <c r="D60" s="39">
        <f>SUM(D54:D59)</f>
        <v>0</v>
      </c>
      <c r="E60" s="20"/>
      <c r="F60" s="70"/>
      <c r="G60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E31" sqref="E31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863830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-458509.94999999995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405320.05000000005</v>
      </c>
    </row>
    <row r="16" spans="1:7" x14ac:dyDescent="0.2">
      <c r="B16" s="8">
        <v>2</v>
      </c>
      <c r="C16" s="17">
        <v>44743</v>
      </c>
      <c r="D16" s="57">
        <f>1660125-1535</f>
        <v>1658590</v>
      </c>
      <c r="E16" s="58">
        <v>1595907.66</v>
      </c>
      <c r="F16" s="18">
        <f t="shared" ref="F16:F23" si="0">D16-E16</f>
        <v>62682.340000000084</v>
      </c>
      <c r="G16" s="16">
        <f t="shared" ref="G16:G23" si="1">G15+F16</f>
        <v>468002.39000000013</v>
      </c>
    </row>
    <row r="17" spans="2:7" x14ac:dyDescent="0.2">
      <c r="B17" s="8">
        <v>3</v>
      </c>
      <c r="C17" s="19">
        <v>44774</v>
      </c>
      <c r="D17" s="59">
        <f>1274984-137</f>
        <v>1274847</v>
      </c>
      <c r="E17" s="60">
        <v>1577546.22</v>
      </c>
      <c r="F17" s="20">
        <f t="shared" si="0"/>
        <v>-302699.21999999997</v>
      </c>
      <c r="G17" s="21">
        <f t="shared" si="1"/>
        <v>165303.17000000016</v>
      </c>
    </row>
    <row r="18" spans="2:7" x14ac:dyDescent="0.2">
      <c r="B18" s="8">
        <v>4</v>
      </c>
      <c r="C18" s="19">
        <v>44805</v>
      </c>
      <c r="D18" s="59">
        <f>890096-0</f>
        <v>890096</v>
      </c>
      <c r="E18" s="60">
        <v>1299317.07</v>
      </c>
      <c r="F18" s="20">
        <f t="shared" si="0"/>
        <v>-409221.07000000007</v>
      </c>
      <c r="G18" s="21">
        <f t="shared" si="1"/>
        <v>-243917.89999999991</v>
      </c>
    </row>
    <row r="19" spans="2:7" x14ac:dyDescent="0.2">
      <c r="B19" s="8">
        <v>5</v>
      </c>
      <c r="C19" s="19">
        <v>44835</v>
      </c>
      <c r="D19" s="59">
        <f>1042193-1185</f>
        <v>1041008</v>
      </c>
      <c r="E19" s="60">
        <v>854091.61</v>
      </c>
      <c r="F19" s="20">
        <f t="shared" si="0"/>
        <v>186916.39</v>
      </c>
      <c r="G19" s="21">
        <f t="shared" si="1"/>
        <v>-57001.509999999893</v>
      </c>
    </row>
    <row r="20" spans="2:7" x14ac:dyDescent="0.2">
      <c r="B20" s="8">
        <v>6</v>
      </c>
      <c r="C20" s="19">
        <v>44866</v>
      </c>
      <c r="D20" s="59">
        <f>1348951-1322</f>
        <v>1347629</v>
      </c>
      <c r="E20" s="60">
        <v>1194260.8899999999</v>
      </c>
      <c r="F20" s="20">
        <f t="shared" si="0"/>
        <v>153368.1100000001</v>
      </c>
      <c r="G20" s="21">
        <f t="shared" si="1"/>
        <v>96366.60000000021</v>
      </c>
    </row>
    <row r="21" spans="2:7" x14ac:dyDescent="0.2">
      <c r="B21" s="8">
        <v>7</v>
      </c>
      <c r="C21" s="19">
        <v>44896</v>
      </c>
      <c r="D21" s="59">
        <f>1961016-1397</f>
        <v>1959619</v>
      </c>
      <c r="E21" s="60">
        <v>1660957.61</v>
      </c>
      <c r="F21" s="22">
        <f t="shared" si="0"/>
        <v>298661.3899999999</v>
      </c>
      <c r="G21" s="23">
        <f t="shared" si="1"/>
        <v>395027.99000000011</v>
      </c>
    </row>
    <row r="22" spans="2:7" x14ac:dyDescent="0.2">
      <c r="B22" s="24" t="s">
        <v>28</v>
      </c>
      <c r="C22" s="17">
        <v>44927</v>
      </c>
      <c r="D22" s="57">
        <f>1523243-1208</f>
        <v>1522035</v>
      </c>
      <c r="E22" s="58">
        <v>1837093.57</v>
      </c>
      <c r="F22" s="18">
        <f t="shared" si="0"/>
        <v>-315058.57000000007</v>
      </c>
      <c r="G22" s="16">
        <f t="shared" si="1"/>
        <v>79969.420000000042</v>
      </c>
    </row>
    <row r="23" spans="2:7" x14ac:dyDescent="0.2">
      <c r="B23" s="25" t="s">
        <v>29</v>
      </c>
      <c r="C23" s="26">
        <v>44958</v>
      </c>
      <c r="D23" s="61">
        <f>780993-812</f>
        <v>780181</v>
      </c>
      <c r="E23" s="62">
        <v>1438063.98</v>
      </c>
      <c r="F23" s="22">
        <f t="shared" si="0"/>
        <v>-657882.98</v>
      </c>
      <c r="G23" s="23">
        <f t="shared" si="1"/>
        <v>-577913.55999999994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-863830</v>
      </c>
      <c r="E31" s="16">
        <f>D62</f>
        <v>0</v>
      </c>
      <c r="F31" s="5"/>
      <c r="G31" s="16">
        <f>D31+E31</f>
        <v>-863830</v>
      </c>
    </row>
    <row r="32" spans="2:7" x14ac:dyDescent="0.2">
      <c r="B32" s="31" t="s">
        <v>44</v>
      </c>
      <c r="C32" s="32" t="s">
        <v>84</v>
      </c>
      <c r="D32" s="23">
        <f>-G14</f>
        <v>458509.94999999995</v>
      </c>
      <c r="E32" s="23">
        <v>0</v>
      </c>
      <c r="F32" s="32"/>
      <c r="G32" s="23">
        <f>D32+E32</f>
        <v>458509.94999999995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-405320.05000000005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-10292.059999999939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-1715.3433333333232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405320.05000000005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-405320.05000000005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-10292.059999999939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-10292.059999999939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3"/>
      <c r="G54" s="73"/>
    </row>
    <row r="55" spans="2:7" x14ac:dyDescent="0.2">
      <c r="B55" s="36"/>
      <c r="C55" s="9" t="s">
        <v>17</v>
      </c>
      <c r="D55" s="9" t="s">
        <v>99</v>
      </c>
      <c r="E55" s="31"/>
      <c r="F55" s="73"/>
      <c r="G55" s="73"/>
    </row>
    <row r="56" spans="2:7" x14ac:dyDescent="0.2">
      <c r="C56" s="17">
        <v>44743</v>
      </c>
      <c r="D56" s="50">
        <v>0</v>
      </c>
      <c r="E56" s="74"/>
      <c r="F56" s="70"/>
      <c r="G56" s="70"/>
    </row>
    <row r="57" spans="2:7" x14ac:dyDescent="0.2">
      <c r="C57" s="19">
        <v>44774</v>
      </c>
      <c r="D57" s="51">
        <v>0</v>
      </c>
      <c r="E57" s="74"/>
      <c r="F57" s="70"/>
      <c r="G57" s="70"/>
    </row>
    <row r="58" spans="2:7" x14ac:dyDescent="0.2">
      <c r="C58" s="19">
        <v>44805</v>
      </c>
      <c r="D58" s="51">
        <v>0</v>
      </c>
      <c r="E58" s="74"/>
      <c r="F58" s="70"/>
      <c r="G58" s="70"/>
    </row>
    <row r="59" spans="2:7" x14ac:dyDescent="0.2">
      <c r="C59" s="19">
        <v>44835</v>
      </c>
      <c r="D59" s="51">
        <v>0</v>
      </c>
      <c r="E59" s="74"/>
      <c r="F59" s="70"/>
      <c r="G59" s="70"/>
    </row>
    <row r="60" spans="2:7" x14ac:dyDescent="0.2">
      <c r="C60" s="19">
        <v>44866</v>
      </c>
      <c r="D60" s="51">
        <v>0</v>
      </c>
      <c r="E60" s="74"/>
      <c r="F60" s="70"/>
      <c r="G60" s="70"/>
    </row>
    <row r="61" spans="2:7" x14ac:dyDescent="0.2">
      <c r="C61" s="19">
        <v>44896</v>
      </c>
      <c r="D61" s="52">
        <v>0</v>
      </c>
      <c r="E61" s="74"/>
      <c r="F61" s="70"/>
      <c r="G61" s="70"/>
    </row>
    <row r="62" spans="2:7" x14ac:dyDescent="0.2">
      <c r="C62" s="53" t="s">
        <v>57</v>
      </c>
      <c r="D62" s="39">
        <f>SUM(D56:D61)</f>
        <v>0</v>
      </c>
      <c r="E62" s="20"/>
      <c r="F62" s="70"/>
      <c r="G62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topLeftCell="A25" workbookViewId="0">
      <selection activeCell="E34" sqref="E34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863830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-458509.94999999995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-10292.059999999939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395027.99000000011</v>
      </c>
    </row>
    <row r="17" spans="2:7" x14ac:dyDescent="0.2">
      <c r="B17" s="8">
        <v>2</v>
      </c>
      <c r="C17" s="17">
        <v>44927</v>
      </c>
      <c r="D17" s="57">
        <f>1523243-1208</f>
        <v>1522035</v>
      </c>
      <c r="E17" s="58">
        <v>1837093.57</v>
      </c>
      <c r="F17" s="18">
        <f t="shared" ref="F17:F24" si="0">D17-E17</f>
        <v>-315058.57000000007</v>
      </c>
      <c r="G17" s="16">
        <f t="shared" ref="G17:G24" si="1">G16+F17</f>
        <v>79969.420000000042</v>
      </c>
    </row>
    <row r="18" spans="2:7" x14ac:dyDescent="0.2">
      <c r="B18" s="8">
        <v>3</v>
      </c>
      <c r="C18" s="19">
        <v>44958</v>
      </c>
      <c r="D18" s="59">
        <f>780993-812</f>
        <v>780181</v>
      </c>
      <c r="E18" s="60">
        <v>1438063.98</v>
      </c>
      <c r="F18" s="20">
        <f t="shared" si="0"/>
        <v>-657882.98</v>
      </c>
      <c r="G18" s="21">
        <f t="shared" si="1"/>
        <v>-577913.55999999994</v>
      </c>
    </row>
    <row r="19" spans="2:7" x14ac:dyDescent="0.2">
      <c r="B19" s="8">
        <v>4</v>
      </c>
      <c r="C19" s="19">
        <v>44986</v>
      </c>
      <c r="D19" s="59">
        <f>987548-1038</f>
        <v>986510</v>
      </c>
      <c r="E19" s="60">
        <v>764588.07</v>
      </c>
      <c r="F19" s="20">
        <f t="shared" si="0"/>
        <v>221921.93000000005</v>
      </c>
      <c r="G19" s="21">
        <f t="shared" si="1"/>
        <v>-355991.62999999989</v>
      </c>
    </row>
    <row r="20" spans="2:7" x14ac:dyDescent="0.2">
      <c r="B20" s="8">
        <v>5</v>
      </c>
      <c r="C20" s="19">
        <v>45017</v>
      </c>
      <c r="D20" s="59">
        <f>1000314-1423</f>
        <v>998891</v>
      </c>
      <c r="E20" s="60">
        <v>959019.79</v>
      </c>
      <c r="F20" s="20">
        <f t="shared" si="0"/>
        <v>39871.209999999963</v>
      </c>
      <c r="G20" s="21">
        <f t="shared" si="1"/>
        <v>-316120.41999999993</v>
      </c>
    </row>
    <row r="21" spans="2:7" x14ac:dyDescent="0.2">
      <c r="B21" s="8">
        <v>6</v>
      </c>
      <c r="C21" s="19">
        <v>45047</v>
      </c>
      <c r="D21" s="59">
        <f>1029936-1388</f>
        <v>1028548</v>
      </c>
      <c r="E21" s="60">
        <v>1151464.32</v>
      </c>
      <c r="F21" s="20">
        <f t="shared" si="0"/>
        <v>-122916.32000000007</v>
      </c>
      <c r="G21" s="21">
        <f t="shared" si="1"/>
        <v>-439036.74</v>
      </c>
    </row>
    <row r="22" spans="2:7" x14ac:dyDescent="0.2">
      <c r="B22" s="8">
        <v>7</v>
      </c>
      <c r="C22" s="19">
        <v>45078</v>
      </c>
      <c r="D22" s="59">
        <f>1170831-1646</f>
        <v>1169185</v>
      </c>
      <c r="E22" s="60">
        <v>1142354.74</v>
      </c>
      <c r="F22" s="22">
        <f t="shared" si="0"/>
        <v>26830.260000000009</v>
      </c>
      <c r="G22" s="23">
        <f t="shared" si="1"/>
        <v>-412206.48</v>
      </c>
    </row>
    <row r="23" spans="2:7" x14ac:dyDescent="0.2">
      <c r="B23" s="24" t="s">
        <v>28</v>
      </c>
      <c r="C23" s="17">
        <v>45108</v>
      </c>
      <c r="D23" s="57">
        <f>1548373-1708</f>
        <v>1546665</v>
      </c>
      <c r="E23" s="58">
        <v>1528984.32</v>
      </c>
      <c r="F23" s="18">
        <f t="shared" si="0"/>
        <v>17680.679999999935</v>
      </c>
      <c r="G23" s="16">
        <f t="shared" si="1"/>
        <v>-394525.80000000005</v>
      </c>
    </row>
    <row r="24" spans="2:7" x14ac:dyDescent="0.2">
      <c r="B24" s="25" t="s">
        <v>29</v>
      </c>
      <c r="C24" s="26">
        <v>45139</v>
      </c>
      <c r="D24" s="61">
        <f>1597519-0</f>
        <v>1597519</v>
      </c>
      <c r="E24" s="62">
        <v>1538079.48</v>
      </c>
      <c r="F24" s="22">
        <f t="shared" si="0"/>
        <v>59439.520000000019</v>
      </c>
      <c r="G24" s="23">
        <f t="shared" si="1"/>
        <v>-335086.28000000003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-863830</v>
      </c>
      <c r="E32" s="16">
        <f>D64</f>
        <v>0</v>
      </c>
      <c r="F32" s="5"/>
      <c r="G32" s="16">
        <f t="shared" ref="G32:G34" si="2">D32+E32</f>
        <v>-863830</v>
      </c>
    </row>
    <row r="33" spans="2:7" x14ac:dyDescent="0.2">
      <c r="B33" s="31" t="s">
        <v>44</v>
      </c>
      <c r="C33" s="65" t="s">
        <v>84</v>
      </c>
      <c r="D33" s="21">
        <f>-G14</f>
        <v>458509.94999999995</v>
      </c>
      <c r="E33" s="21">
        <v>0</v>
      </c>
      <c r="F33" s="7"/>
      <c r="G33" s="21">
        <f t="shared" si="2"/>
        <v>458509.94999999995</v>
      </c>
    </row>
    <row r="34" spans="2:7" x14ac:dyDescent="0.2">
      <c r="B34" s="31" t="s">
        <v>45</v>
      </c>
      <c r="C34" s="49" t="s">
        <v>87</v>
      </c>
      <c r="D34" s="23">
        <f>-G15</f>
        <v>10292.059999999939</v>
      </c>
      <c r="E34" s="23">
        <v>0</v>
      </c>
      <c r="F34" s="32"/>
      <c r="G34" s="23">
        <f t="shared" si="2"/>
        <v>10292.059999999939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-395027.99000000011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-807234.47000000009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-134539.07833333334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395027.99000000011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-395027.99000000011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-807234.47000000009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-807234.47000000009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3"/>
      <c r="G56" s="73"/>
    </row>
    <row r="57" spans="2:7" x14ac:dyDescent="0.2">
      <c r="B57" s="36"/>
      <c r="C57" s="9" t="s">
        <v>17</v>
      </c>
      <c r="D57" s="9" t="s">
        <v>99</v>
      </c>
      <c r="E57" s="31"/>
      <c r="F57" s="73"/>
      <c r="G57" s="73"/>
    </row>
    <row r="58" spans="2:7" x14ac:dyDescent="0.2">
      <c r="C58" s="17">
        <v>44927</v>
      </c>
      <c r="D58" s="50">
        <v>0</v>
      </c>
      <c r="E58" s="74"/>
      <c r="F58" s="70"/>
      <c r="G58" s="70"/>
    </row>
    <row r="59" spans="2:7" x14ac:dyDescent="0.2">
      <c r="C59" s="19">
        <v>44958</v>
      </c>
      <c r="D59" s="51">
        <v>0</v>
      </c>
      <c r="E59" s="74"/>
      <c r="F59" s="70"/>
      <c r="G59" s="70"/>
    </row>
    <row r="60" spans="2:7" x14ac:dyDescent="0.2">
      <c r="C60" s="19">
        <v>44986</v>
      </c>
      <c r="D60" s="51">
        <v>0</v>
      </c>
      <c r="E60" s="74"/>
      <c r="F60" s="70"/>
      <c r="G60" s="70"/>
    </row>
    <row r="61" spans="2:7" x14ac:dyDescent="0.2">
      <c r="C61" s="19">
        <v>45017</v>
      </c>
      <c r="D61" s="51">
        <v>0</v>
      </c>
      <c r="E61" s="74"/>
      <c r="F61" s="70"/>
      <c r="G61" s="70"/>
    </row>
    <row r="62" spans="2:7" x14ac:dyDescent="0.2">
      <c r="C62" s="19">
        <v>45047</v>
      </c>
      <c r="D62" s="51">
        <v>0</v>
      </c>
      <c r="E62" s="74"/>
      <c r="F62" s="70"/>
      <c r="G62" s="70"/>
    </row>
    <row r="63" spans="2:7" x14ac:dyDescent="0.2">
      <c r="C63" s="19">
        <v>45078</v>
      </c>
      <c r="D63" s="52">
        <v>0</v>
      </c>
      <c r="E63" s="74"/>
      <c r="F63" s="70"/>
      <c r="G63" s="70"/>
    </row>
    <row r="64" spans="2:7" x14ac:dyDescent="0.2">
      <c r="C64" s="53" t="s">
        <v>57</v>
      </c>
      <c r="D64" s="39">
        <f>SUM(D58:D63)</f>
        <v>0</v>
      </c>
      <c r="E64" s="20"/>
      <c r="F64" s="70"/>
      <c r="G64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topLeftCell="A4" workbookViewId="0">
      <selection activeCell="E33" sqref="E33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4"/>
      <c r="B4" s="76" t="s">
        <v>98</v>
      </c>
      <c r="C4" s="77"/>
      <c r="D4" s="77"/>
      <c r="E4" s="77"/>
      <c r="F4" s="77"/>
      <c r="G4" s="78"/>
    </row>
    <row r="5" spans="1:7" x14ac:dyDescent="0.2">
      <c r="A5" s="54"/>
      <c r="B5" s="79"/>
      <c r="C5" s="80"/>
      <c r="D5" s="80"/>
      <c r="E5" s="80"/>
      <c r="F5" s="80"/>
      <c r="G5" s="81"/>
    </row>
    <row r="6" spans="1:7" x14ac:dyDescent="0.2">
      <c r="A6" s="54"/>
    </row>
    <row r="7" spans="1:7" x14ac:dyDescent="0.2">
      <c r="A7" s="54"/>
      <c r="B7" s="5"/>
      <c r="C7" s="5"/>
      <c r="D7" s="5"/>
      <c r="E7" s="6" t="s">
        <v>7</v>
      </c>
      <c r="F7" s="5"/>
      <c r="G7" s="5"/>
    </row>
    <row r="8" spans="1:7" x14ac:dyDescent="0.2">
      <c r="A8" s="54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4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4"/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4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4"/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A13" s="54"/>
      <c r="B13" s="6" t="s">
        <v>23</v>
      </c>
      <c r="C13" s="12" t="s">
        <v>80</v>
      </c>
      <c r="D13" s="12"/>
      <c r="E13" s="12"/>
      <c r="F13" s="13"/>
      <c r="G13" s="14">
        <v>863830</v>
      </c>
    </row>
    <row r="14" spans="1:7" x14ac:dyDescent="0.2">
      <c r="A14" s="54"/>
      <c r="B14" s="8" t="s">
        <v>24</v>
      </c>
      <c r="C14" s="12" t="s">
        <v>81</v>
      </c>
      <c r="D14" s="12"/>
      <c r="E14" s="12"/>
      <c r="F14" s="13"/>
      <c r="G14" s="56">
        <f>'A - 05-31-22'!G33</f>
        <v>-458509.94999999995</v>
      </c>
    </row>
    <row r="15" spans="1:7" x14ac:dyDescent="0.2">
      <c r="A15" s="54"/>
      <c r="B15" s="8" t="s">
        <v>25</v>
      </c>
      <c r="C15" s="12" t="s">
        <v>86</v>
      </c>
      <c r="D15" s="12"/>
      <c r="E15" s="12"/>
      <c r="F15" s="13"/>
      <c r="G15" s="56">
        <f>'B - 11-30-22'!G35</f>
        <v>-10292.059999999939</v>
      </c>
    </row>
    <row r="16" spans="1:7" x14ac:dyDescent="0.2">
      <c r="A16" s="54"/>
      <c r="B16" s="8" t="s">
        <v>26</v>
      </c>
      <c r="C16" s="12" t="s">
        <v>89</v>
      </c>
      <c r="D16" s="12"/>
      <c r="E16" s="12"/>
      <c r="F16" s="15"/>
      <c r="G16" s="57">
        <f>'C - 05-31-23'!G37</f>
        <v>-807234.47000000009</v>
      </c>
    </row>
    <row r="17" spans="1:7" x14ac:dyDescent="0.2">
      <c r="A17" s="54"/>
      <c r="B17" s="9" t="s">
        <v>58</v>
      </c>
      <c r="C17" s="12" t="s">
        <v>27</v>
      </c>
      <c r="D17" s="12"/>
      <c r="E17" s="12"/>
      <c r="F17" s="15"/>
      <c r="G17" s="16">
        <f>G13+G14+G15+G16</f>
        <v>-412206.48</v>
      </c>
    </row>
    <row r="18" spans="1:7" x14ac:dyDescent="0.2">
      <c r="A18" s="54"/>
      <c r="B18" s="8">
        <v>2</v>
      </c>
      <c r="C18" s="17">
        <v>45108</v>
      </c>
      <c r="D18" s="57">
        <f>1548373-1708</f>
        <v>1546665</v>
      </c>
      <c r="E18" s="58">
        <v>1528984.32</v>
      </c>
      <c r="F18" s="18">
        <f t="shared" ref="F18:F25" si="0">D18-E18</f>
        <v>17680.679999999935</v>
      </c>
      <c r="G18" s="16">
        <f t="shared" ref="G18:G25" si="1">G17+F18</f>
        <v>-394525.80000000005</v>
      </c>
    </row>
    <row r="19" spans="1:7" x14ac:dyDescent="0.2">
      <c r="A19" s="54"/>
      <c r="B19" s="8">
        <v>3</v>
      </c>
      <c r="C19" s="19">
        <v>45139</v>
      </c>
      <c r="D19" s="59">
        <f>1597519-0</f>
        <v>1597519</v>
      </c>
      <c r="E19" s="60">
        <v>1538079.48</v>
      </c>
      <c r="F19" s="20">
        <f t="shared" si="0"/>
        <v>59439.520000000019</v>
      </c>
      <c r="G19" s="21">
        <f t="shared" si="1"/>
        <v>-335086.28000000003</v>
      </c>
    </row>
    <row r="20" spans="1:7" x14ac:dyDescent="0.2">
      <c r="A20" s="54"/>
      <c r="B20" s="8">
        <v>4</v>
      </c>
      <c r="C20" s="19">
        <v>45170</v>
      </c>
      <c r="D20" s="59">
        <f>1042433-0</f>
        <v>1042433</v>
      </c>
      <c r="E20" s="60">
        <v>1462463.55</v>
      </c>
      <c r="F20" s="20">
        <f t="shared" si="0"/>
        <v>-420030.55000000005</v>
      </c>
      <c r="G20" s="21">
        <f t="shared" si="1"/>
        <v>-755116.83000000007</v>
      </c>
    </row>
    <row r="21" spans="1:7" x14ac:dyDescent="0.2">
      <c r="A21" s="54"/>
      <c r="B21" s="8">
        <v>5</v>
      </c>
      <c r="C21" s="19">
        <v>45200</v>
      </c>
      <c r="D21" s="59">
        <f>959036-1317</f>
        <v>957719</v>
      </c>
      <c r="E21" s="60">
        <v>1011283.68</v>
      </c>
      <c r="F21" s="20">
        <f t="shared" si="0"/>
        <v>-53564.680000000051</v>
      </c>
      <c r="G21" s="21">
        <f t="shared" si="1"/>
        <v>-808681.51000000013</v>
      </c>
    </row>
    <row r="22" spans="1:7" x14ac:dyDescent="0.2">
      <c r="A22" s="54"/>
      <c r="B22" s="8">
        <v>6</v>
      </c>
      <c r="C22" s="19">
        <v>45231</v>
      </c>
      <c r="D22" s="59">
        <f>1383341-1566</f>
        <v>1381775</v>
      </c>
      <c r="E22" s="60">
        <v>1054725.77</v>
      </c>
      <c r="F22" s="20">
        <f t="shared" si="0"/>
        <v>327049.23</v>
      </c>
      <c r="G22" s="21">
        <f t="shared" si="1"/>
        <v>-481632.28000000014</v>
      </c>
    </row>
    <row r="23" spans="1:7" x14ac:dyDescent="0.2">
      <c r="A23" s="54"/>
      <c r="B23" s="8">
        <v>7</v>
      </c>
      <c r="C23" s="19">
        <v>45261</v>
      </c>
      <c r="D23" s="59">
        <f>1563905-1613</f>
        <v>1562292</v>
      </c>
      <c r="E23" s="60">
        <v>1516496.35</v>
      </c>
      <c r="F23" s="22">
        <f t="shared" si="0"/>
        <v>45795.649999999907</v>
      </c>
      <c r="G23" s="23">
        <f t="shared" si="1"/>
        <v>-435836.63000000024</v>
      </c>
    </row>
    <row r="24" spans="1:7" x14ac:dyDescent="0.2">
      <c r="A24" s="54"/>
      <c r="B24" s="24" t="s">
        <v>28</v>
      </c>
      <c r="C24" s="17">
        <v>45292</v>
      </c>
      <c r="D24" s="57">
        <f>2060911-1493</f>
        <v>2059418</v>
      </c>
      <c r="E24" s="58">
        <v>1799575.65</v>
      </c>
      <c r="F24" s="18">
        <f t="shared" si="0"/>
        <v>259842.35000000009</v>
      </c>
      <c r="G24" s="16">
        <f t="shared" si="1"/>
        <v>-175994.28000000014</v>
      </c>
    </row>
    <row r="25" spans="1:7" x14ac:dyDescent="0.2">
      <c r="A25" s="54"/>
      <c r="B25" s="25" t="s">
        <v>29</v>
      </c>
      <c r="C25" s="26">
        <v>45323</v>
      </c>
      <c r="D25" s="61">
        <f>1402458-1384</f>
        <v>1401074</v>
      </c>
      <c r="E25" s="62">
        <v>1579842.75</v>
      </c>
      <c r="F25" s="22">
        <f t="shared" si="0"/>
        <v>-178768.75</v>
      </c>
      <c r="G25" s="23">
        <f t="shared" si="1"/>
        <v>-354763.03000000014</v>
      </c>
    </row>
    <row r="26" spans="1:7" x14ac:dyDescent="0.2">
      <c r="A26" s="54"/>
      <c r="B26" s="9"/>
      <c r="C26" s="27" t="s">
        <v>74</v>
      </c>
      <c r="D26" s="28"/>
      <c r="E26" s="28"/>
      <c r="F26" s="28"/>
      <c r="G26" s="29"/>
    </row>
    <row r="27" spans="1:7" x14ac:dyDescent="0.2">
      <c r="A27" s="54"/>
      <c r="B27" s="6"/>
      <c r="C27" s="5"/>
      <c r="D27" s="5"/>
      <c r="E27" s="5"/>
      <c r="F27" s="5"/>
      <c r="G27" s="16"/>
    </row>
    <row r="28" spans="1:7" x14ac:dyDescent="0.2">
      <c r="A28" s="54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4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4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4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4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4"/>
      <c r="B33" s="24" t="s">
        <v>43</v>
      </c>
      <c r="C33" s="66" t="s">
        <v>90</v>
      </c>
      <c r="D33" s="67">
        <f>-G13</f>
        <v>-863830</v>
      </c>
      <c r="E33" s="67">
        <f>D66</f>
        <v>0</v>
      </c>
      <c r="F33" s="43"/>
      <c r="G33" s="68">
        <f t="shared" ref="G33:G36" si="2">D33+E33</f>
        <v>-863830</v>
      </c>
    </row>
    <row r="34" spans="1:7" x14ac:dyDescent="0.2">
      <c r="A34" s="54"/>
      <c r="B34" s="31" t="s">
        <v>44</v>
      </c>
      <c r="C34" s="69" t="s">
        <v>84</v>
      </c>
      <c r="D34" s="70">
        <f>-G14</f>
        <v>458509.94999999995</v>
      </c>
      <c r="E34" s="70">
        <v>0</v>
      </c>
      <c r="F34" s="44"/>
      <c r="G34" s="45">
        <f t="shared" si="2"/>
        <v>458509.94999999995</v>
      </c>
    </row>
    <row r="35" spans="1:7" x14ac:dyDescent="0.2">
      <c r="A35" s="54"/>
      <c r="B35" s="31" t="s">
        <v>45</v>
      </c>
      <c r="C35" s="69" t="s">
        <v>87</v>
      </c>
      <c r="D35" s="70">
        <f>-G15</f>
        <v>10292.059999999939</v>
      </c>
      <c r="E35" s="70">
        <v>0</v>
      </c>
      <c r="F35" s="44"/>
      <c r="G35" s="45">
        <f t="shared" si="2"/>
        <v>10292.059999999939</v>
      </c>
    </row>
    <row r="36" spans="1:7" x14ac:dyDescent="0.2">
      <c r="A36" s="54"/>
      <c r="B36" s="31" t="s">
        <v>46</v>
      </c>
      <c r="C36" s="71" t="s">
        <v>91</v>
      </c>
      <c r="D36" s="72">
        <f>-G16</f>
        <v>807234.47000000009</v>
      </c>
      <c r="E36" s="72">
        <v>0</v>
      </c>
      <c r="F36" s="48"/>
      <c r="G36" s="46">
        <f t="shared" si="2"/>
        <v>807234.47000000009</v>
      </c>
    </row>
    <row r="37" spans="1:7" x14ac:dyDescent="0.2">
      <c r="A37" s="54"/>
      <c r="B37" s="9" t="s">
        <v>59</v>
      </c>
      <c r="C37" s="33"/>
      <c r="D37" s="34"/>
      <c r="E37" s="34"/>
      <c r="F37" s="35" t="s">
        <v>47</v>
      </c>
      <c r="G37" s="23">
        <f>G33+G34+G35+G36</f>
        <v>412206.48</v>
      </c>
    </row>
    <row r="38" spans="1:7" x14ac:dyDescent="0.2">
      <c r="A38" s="54"/>
      <c r="B38" s="36"/>
      <c r="G38" s="37"/>
    </row>
    <row r="39" spans="1:7" x14ac:dyDescent="0.2">
      <c r="A39" s="54"/>
      <c r="B39" s="10">
        <v>9</v>
      </c>
      <c r="C39" s="38" t="s">
        <v>60</v>
      </c>
      <c r="D39" s="12"/>
      <c r="E39" s="12"/>
      <c r="F39" s="13"/>
      <c r="G39" s="39">
        <f>G23+G37</f>
        <v>-23630.150000000256</v>
      </c>
    </row>
    <row r="40" spans="1:7" x14ac:dyDescent="0.2">
      <c r="A40" s="54"/>
      <c r="B40" s="36"/>
      <c r="G40" s="37"/>
    </row>
    <row r="41" spans="1:7" x14ac:dyDescent="0.2">
      <c r="A41" s="54"/>
      <c r="B41" s="10">
        <v>10</v>
      </c>
      <c r="C41" s="38" t="s">
        <v>62</v>
      </c>
      <c r="D41" s="12"/>
      <c r="E41" s="12"/>
      <c r="F41" s="13"/>
      <c r="G41" s="39">
        <f>G39/6</f>
        <v>-3938.3583333333759</v>
      </c>
    </row>
    <row r="42" spans="1:7" x14ac:dyDescent="0.2">
      <c r="A42" s="54"/>
    </row>
    <row r="43" spans="1:7" x14ac:dyDescent="0.2">
      <c r="A43" s="54"/>
      <c r="B43" s="5"/>
      <c r="C43" s="40" t="s">
        <v>48</v>
      </c>
      <c r="D43" s="41"/>
      <c r="E43" s="41"/>
      <c r="F43" s="41"/>
      <c r="G43" s="42"/>
    </row>
    <row r="44" spans="1:7" x14ac:dyDescent="0.2">
      <c r="A44" s="54"/>
      <c r="B44" s="5"/>
      <c r="C44" s="43"/>
      <c r="D44" s="43"/>
      <c r="E44" s="43"/>
      <c r="F44" s="43"/>
      <c r="G44" s="15"/>
    </row>
    <row r="45" spans="1:7" x14ac:dyDescent="0.2">
      <c r="A45" s="54"/>
      <c r="B45" s="8">
        <v>11</v>
      </c>
      <c r="C45" s="44" t="s">
        <v>49</v>
      </c>
      <c r="D45" s="44"/>
      <c r="E45" s="44"/>
      <c r="F45" s="44"/>
      <c r="G45" s="45">
        <f>G17</f>
        <v>-412206.48</v>
      </c>
    </row>
    <row r="46" spans="1:7" x14ac:dyDescent="0.2">
      <c r="A46" s="54"/>
      <c r="B46" s="8">
        <v>12</v>
      </c>
      <c r="C46" s="44" t="s">
        <v>50</v>
      </c>
      <c r="D46" s="44"/>
      <c r="E46" s="44"/>
      <c r="F46" s="44"/>
      <c r="G46" s="46">
        <f>G37</f>
        <v>412206.48</v>
      </c>
    </row>
    <row r="47" spans="1:7" x14ac:dyDescent="0.2">
      <c r="A47" s="54"/>
      <c r="B47" s="8"/>
      <c r="C47" s="44"/>
      <c r="D47" s="44"/>
      <c r="E47" s="44"/>
      <c r="F47" s="44"/>
      <c r="G47" s="45"/>
    </row>
    <row r="48" spans="1:7" ht="15" thickBot="1" x14ac:dyDescent="0.25">
      <c r="A48" s="54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4"/>
      <c r="B49" s="8"/>
      <c r="C49" s="44"/>
      <c r="D49" s="44"/>
      <c r="E49" s="44"/>
      <c r="F49" s="44"/>
      <c r="G49" s="45"/>
    </row>
    <row r="50" spans="1:7" x14ac:dyDescent="0.2">
      <c r="A50" s="54"/>
      <c r="B50" s="8">
        <v>14</v>
      </c>
      <c r="C50" s="44" t="s">
        <v>52</v>
      </c>
      <c r="D50" s="44"/>
      <c r="E50" s="44"/>
      <c r="F50" s="44"/>
      <c r="G50" s="45">
        <f>G39</f>
        <v>-23630.150000000256</v>
      </c>
    </row>
    <row r="51" spans="1:7" x14ac:dyDescent="0.2">
      <c r="A51" s="54"/>
      <c r="B51" s="8"/>
      <c r="C51" s="44"/>
      <c r="D51" s="44"/>
      <c r="E51" s="44"/>
      <c r="F51" s="44"/>
      <c r="G51" s="45"/>
    </row>
    <row r="52" spans="1:7" x14ac:dyDescent="0.2">
      <c r="A52" s="54"/>
      <c r="B52" s="8">
        <v>15</v>
      </c>
      <c r="C52" s="44" t="s">
        <v>53</v>
      </c>
      <c r="D52" s="44"/>
      <c r="E52" s="44"/>
      <c r="F52" s="44"/>
      <c r="G52" s="46">
        <f>SUM(F18:F23)</f>
        <v>-23630.150000000256</v>
      </c>
    </row>
    <row r="53" spans="1:7" x14ac:dyDescent="0.2">
      <c r="A53" s="54"/>
      <c r="B53" s="8"/>
      <c r="C53" s="44"/>
      <c r="D53" s="44"/>
      <c r="E53" s="44"/>
      <c r="F53" s="44"/>
      <c r="G53" s="45"/>
    </row>
    <row r="54" spans="1:7" ht="15" thickBot="1" x14ac:dyDescent="0.25">
      <c r="A54" s="54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4"/>
      <c r="B55" s="32"/>
      <c r="C55" s="48"/>
      <c r="D55" s="48"/>
      <c r="E55" s="48"/>
      <c r="F55" s="48"/>
      <c r="G55" s="49"/>
    </row>
    <row r="56" spans="1:7" x14ac:dyDescent="0.2">
      <c r="A56" s="54"/>
    </row>
    <row r="57" spans="1:7" x14ac:dyDescent="0.2">
      <c r="A57" s="54"/>
      <c r="B57" t="s">
        <v>55</v>
      </c>
    </row>
    <row r="58" spans="1:7" x14ac:dyDescent="0.2">
      <c r="A58" s="54"/>
      <c r="B58" s="36"/>
      <c r="C58" s="5"/>
      <c r="D58" s="6" t="s">
        <v>56</v>
      </c>
      <c r="E58" s="31"/>
      <c r="F58" s="73"/>
      <c r="G58" s="73"/>
    </row>
    <row r="59" spans="1:7" x14ac:dyDescent="0.2">
      <c r="B59" s="36"/>
      <c r="C59" s="9" t="s">
        <v>17</v>
      </c>
      <c r="D59" s="9" t="s">
        <v>99</v>
      </c>
      <c r="E59" s="31"/>
      <c r="F59" s="73"/>
      <c r="G59" s="73"/>
    </row>
    <row r="60" spans="1:7" x14ac:dyDescent="0.2">
      <c r="C60" s="17">
        <v>45108</v>
      </c>
      <c r="D60" s="50">
        <v>0</v>
      </c>
      <c r="E60" s="74"/>
      <c r="F60" s="70"/>
      <c r="G60" s="70"/>
    </row>
    <row r="61" spans="1:7" x14ac:dyDescent="0.2">
      <c r="C61" s="19">
        <v>45139</v>
      </c>
      <c r="D61" s="51">
        <v>0</v>
      </c>
      <c r="E61" s="74"/>
      <c r="F61" s="70"/>
      <c r="G61" s="70"/>
    </row>
    <row r="62" spans="1:7" x14ac:dyDescent="0.2">
      <c r="C62" s="19">
        <v>45170</v>
      </c>
      <c r="D62" s="51">
        <v>0</v>
      </c>
      <c r="E62" s="74"/>
      <c r="F62" s="70"/>
      <c r="G62" s="70"/>
    </row>
    <row r="63" spans="1:7" x14ac:dyDescent="0.2">
      <c r="C63" s="19">
        <v>45200</v>
      </c>
      <c r="D63" s="51">
        <v>0</v>
      </c>
      <c r="E63" s="74"/>
      <c r="F63" s="70"/>
      <c r="G63" s="70"/>
    </row>
    <row r="64" spans="1:7" x14ac:dyDescent="0.2">
      <c r="C64" s="19">
        <v>45231</v>
      </c>
      <c r="D64" s="51">
        <v>0</v>
      </c>
      <c r="E64" s="74"/>
      <c r="F64" s="70"/>
      <c r="G64" s="70"/>
    </row>
    <row r="65" spans="3:7" x14ac:dyDescent="0.2">
      <c r="C65" s="19">
        <v>45261</v>
      </c>
      <c r="D65" s="52">
        <v>0</v>
      </c>
      <c r="E65" s="74"/>
      <c r="F65" s="70"/>
      <c r="G65" s="70"/>
    </row>
    <row r="66" spans="3:7" x14ac:dyDescent="0.2">
      <c r="C66" s="53" t="s">
        <v>57</v>
      </c>
      <c r="D66" s="39">
        <f>SUM(D60:D65)</f>
        <v>0</v>
      </c>
      <c r="E66" s="20"/>
      <c r="F66" s="70"/>
      <c r="G66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863830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-458509.94999999995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-10292.059999999939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-807234.47000000009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-23630.150000000256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-435836.63000000024</v>
      </c>
    </row>
    <row r="19" spans="2:7" x14ac:dyDescent="0.2">
      <c r="B19" s="8">
        <v>2</v>
      </c>
      <c r="C19" s="17">
        <v>45292</v>
      </c>
      <c r="D19" s="57">
        <f>2060911-1493</f>
        <v>2059418</v>
      </c>
      <c r="E19" s="58">
        <v>1799575.65</v>
      </c>
      <c r="F19" s="18">
        <f t="shared" ref="F19:F26" si="0">D19-E19</f>
        <v>259842.35000000009</v>
      </c>
      <c r="G19" s="16">
        <f t="shared" ref="G19:G26" si="1">G18+F19</f>
        <v>-175994.28000000014</v>
      </c>
    </row>
    <row r="20" spans="2:7" x14ac:dyDescent="0.2">
      <c r="B20" s="8">
        <v>3</v>
      </c>
      <c r="C20" s="19">
        <v>45323</v>
      </c>
      <c r="D20" s="59">
        <f>1402458-1384</f>
        <v>1401074</v>
      </c>
      <c r="E20" s="60">
        <v>1579842.75</v>
      </c>
      <c r="F20" s="20">
        <f t="shared" si="0"/>
        <v>-178768.75</v>
      </c>
      <c r="G20" s="21">
        <f t="shared" si="1"/>
        <v>-354763.03000000014</v>
      </c>
    </row>
    <row r="21" spans="2:7" x14ac:dyDescent="0.2">
      <c r="B21" s="8">
        <v>4</v>
      </c>
      <c r="C21" s="19">
        <v>45352</v>
      </c>
      <c r="D21" s="59">
        <f>816532-984</f>
        <v>815548</v>
      </c>
      <c r="E21" s="60">
        <v>1172563.25</v>
      </c>
      <c r="F21" s="20">
        <f t="shared" si="0"/>
        <v>-357015.25</v>
      </c>
      <c r="G21" s="21">
        <f t="shared" si="1"/>
        <v>-711778.28000000014</v>
      </c>
    </row>
    <row r="22" spans="2:7" x14ac:dyDescent="0.2">
      <c r="B22" s="8">
        <v>5</v>
      </c>
      <c r="C22" s="19">
        <v>45383</v>
      </c>
      <c r="D22" s="59">
        <f>832802-1343</f>
        <v>831459</v>
      </c>
      <c r="E22" s="60">
        <v>823659.92</v>
      </c>
      <c r="F22" s="20">
        <f t="shared" si="0"/>
        <v>7799.0799999999581</v>
      </c>
      <c r="G22" s="21">
        <f t="shared" si="1"/>
        <v>-703979.20000000019</v>
      </c>
    </row>
    <row r="23" spans="2:7" x14ac:dyDescent="0.2">
      <c r="B23" s="8">
        <v>6</v>
      </c>
      <c r="C23" s="19">
        <v>45413</v>
      </c>
      <c r="D23" s="59">
        <f>1130702-1632</f>
        <v>1129070</v>
      </c>
      <c r="E23" s="60">
        <v>1104749.21</v>
      </c>
      <c r="F23" s="20">
        <f t="shared" si="0"/>
        <v>24320.790000000037</v>
      </c>
      <c r="G23" s="21">
        <f t="shared" si="1"/>
        <v>-679658.41000000015</v>
      </c>
    </row>
    <row r="24" spans="2:7" x14ac:dyDescent="0.2">
      <c r="B24" s="8">
        <v>7</v>
      </c>
      <c r="C24" s="19">
        <v>45444</v>
      </c>
      <c r="D24" s="59">
        <f>1655661-1982</f>
        <v>1653679</v>
      </c>
      <c r="E24" s="60">
        <v>1305370</v>
      </c>
      <c r="F24" s="22">
        <f t="shared" si="0"/>
        <v>348309</v>
      </c>
      <c r="G24" s="23">
        <f t="shared" si="1"/>
        <v>-331349.41000000015</v>
      </c>
    </row>
    <row r="25" spans="2:7" x14ac:dyDescent="0.2">
      <c r="B25" s="24" t="s">
        <v>28</v>
      </c>
      <c r="C25" s="17">
        <v>45474</v>
      </c>
      <c r="D25" s="57">
        <f>1609522-0</f>
        <v>1609522</v>
      </c>
      <c r="E25" s="58">
        <v>2002153.36</v>
      </c>
      <c r="F25" s="18">
        <f t="shared" si="0"/>
        <v>-392631.3600000001</v>
      </c>
      <c r="G25" s="16">
        <f t="shared" si="1"/>
        <v>-723980.77000000025</v>
      </c>
    </row>
    <row r="26" spans="2:7" x14ac:dyDescent="0.2">
      <c r="B26" s="25" t="s">
        <v>29</v>
      </c>
      <c r="C26" s="26">
        <v>45505</v>
      </c>
      <c r="D26" s="61">
        <f>1398259-0</f>
        <v>1398259</v>
      </c>
      <c r="E26" s="62">
        <v>1772696.56</v>
      </c>
      <c r="F26" s="22">
        <f t="shared" si="0"/>
        <v>-374437.56000000006</v>
      </c>
      <c r="G26" s="23">
        <f t="shared" si="1"/>
        <v>-1098418.3300000003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-863830</v>
      </c>
      <c r="E34" s="16">
        <f>D68</f>
        <v>575888</v>
      </c>
      <c r="F34" s="5"/>
      <c r="G34" s="16">
        <f t="shared" ref="G34:G38" si="2">D34+E34</f>
        <v>-287942</v>
      </c>
    </row>
    <row r="35" spans="2:7" x14ac:dyDescent="0.2">
      <c r="B35" s="31" t="s">
        <v>44</v>
      </c>
      <c r="C35" s="7" t="s">
        <v>84</v>
      </c>
      <c r="D35" s="21">
        <f>-G14</f>
        <v>458509.94999999995</v>
      </c>
      <c r="E35" s="21">
        <v>0</v>
      </c>
      <c r="F35" s="7"/>
      <c r="G35" s="21">
        <f t="shared" si="2"/>
        <v>458509.94999999995</v>
      </c>
    </row>
    <row r="36" spans="2:7" x14ac:dyDescent="0.2">
      <c r="B36" s="31" t="s">
        <v>45</v>
      </c>
      <c r="C36" s="7" t="s">
        <v>87</v>
      </c>
      <c r="D36" s="21">
        <f>-G15</f>
        <v>10292.059999999939</v>
      </c>
      <c r="E36" s="21">
        <v>0</v>
      </c>
      <c r="F36" s="7"/>
      <c r="G36" s="21">
        <f t="shared" si="2"/>
        <v>10292.059999999939</v>
      </c>
    </row>
    <row r="37" spans="2:7" x14ac:dyDescent="0.2">
      <c r="B37" s="31" t="s">
        <v>46</v>
      </c>
      <c r="C37" s="7" t="s">
        <v>91</v>
      </c>
      <c r="D37" s="21">
        <f>-G16</f>
        <v>807234.47000000009</v>
      </c>
      <c r="E37" s="21">
        <v>0</v>
      </c>
      <c r="F37" s="7"/>
      <c r="G37" s="21">
        <f t="shared" si="2"/>
        <v>807234.47000000009</v>
      </c>
    </row>
    <row r="38" spans="2:7" x14ac:dyDescent="0.2">
      <c r="B38" s="31" t="s">
        <v>59</v>
      </c>
      <c r="C38" s="32" t="s">
        <v>93</v>
      </c>
      <c r="D38" s="23">
        <f>-G17</f>
        <v>23630.150000000256</v>
      </c>
      <c r="E38" s="23">
        <v>0</v>
      </c>
      <c r="F38" s="32"/>
      <c r="G38" s="23">
        <f t="shared" si="2"/>
        <v>23630.150000000256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1011724.6300000002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680375.22000000009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113395.87000000001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-435836.63000000024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1011724.6300000002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575888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680375.22000000009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104487.22000000009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575888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3"/>
      <c r="G60" s="73"/>
    </row>
    <row r="61" spans="2:7" x14ac:dyDescent="0.2">
      <c r="B61" s="36"/>
      <c r="C61" s="9" t="s">
        <v>17</v>
      </c>
      <c r="D61" s="9" t="s">
        <v>99</v>
      </c>
      <c r="E61" s="31"/>
      <c r="F61" s="73"/>
      <c r="G61" s="73"/>
    </row>
    <row r="62" spans="2:7" x14ac:dyDescent="0.2">
      <c r="C62" s="17">
        <v>45292</v>
      </c>
      <c r="D62" s="50">
        <v>0</v>
      </c>
      <c r="E62" s="74"/>
      <c r="F62" s="70"/>
      <c r="G62" s="70"/>
    </row>
    <row r="63" spans="2:7" x14ac:dyDescent="0.2">
      <c r="C63" s="19">
        <v>45323</v>
      </c>
      <c r="D63" s="51">
        <v>0</v>
      </c>
      <c r="E63" s="74"/>
      <c r="F63" s="70"/>
      <c r="G63" s="70"/>
    </row>
    <row r="64" spans="2:7" x14ac:dyDescent="0.2">
      <c r="C64" s="19">
        <v>45352</v>
      </c>
      <c r="D64" s="51">
        <v>143972</v>
      </c>
      <c r="E64" s="74"/>
      <c r="F64" s="70"/>
      <c r="G64" s="70"/>
    </row>
    <row r="65" spans="2:7" x14ac:dyDescent="0.2">
      <c r="C65" s="19">
        <v>45383</v>
      </c>
      <c r="D65" s="51">
        <v>143972</v>
      </c>
      <c r="E65" s="74"/>
      <c r="F65" s="70"/>
      <c r="G65" s="70"/>
    </row>
    <row r="66" spans="2:7" x14ac:dyDescent="0.2">
      <c r="C66" s="19">
        <v>45413</v>
      </c>
      <c r="D66" s="51">
        <v>143972</v>
      </c>
      <c r="E66" s="74"/>
      <c r="F66" s="70"/>
      <c r="G66" s="70"/>
    </row>
    <row r="67" spans="2:7" x14ac:dyDescent="0.2">
      <c r="C67" s="19">
        <v>45444</v>
      </c>
      <c r="D67" s="52">
        <v>143972</v>
      </c>
      <c r="E67" s="74"/>
      <c r="F67" s="70"/>
      <c r="G67" s="70"/>
    </row>
    <row r="68" spans="2:7" x14ac:dyDescent="0.2">
      <c r="C68" s="53" t="s">
        <v>57</v>
      </c>
      <c r="D68" s="39">
        <f>SUM(D62:D67)</f>
        <v>575888</v>
      </c>
      <c r="E68" s="20"/>
      <c r="F68" s="70"/>
      <c r="G68" s="70"/>
    </row>
    <row r="79" spans="2:7" x14ac:dyDescent="0.2">
      <c r="B79" s="54"/>
    </row>
    <row r="80" spans="2:7" x14ac:dyDescent="0.2">
      <c r="B80" s="54"/>
    </row>
    <row r="81" spans="2:7" x14ac:dyDescent="0.2">
      <c r="B81" s="54"/>
    </row>
    <row r="82" spans="2:7" x14ac:dyDescent="0.2">
      <c r="B82" s="54"/>
      <c r="C82" s="54"/>
      <c r="D82" s="54"/>
      <c r="E82" s="54"/>
      <c r="F82" s="54"/>
      <c r="G82" s="54"/>
    </row>
    <row r="83" spans="2:7" x14ac:dyDescent="0.2">
      <c r="B83" s="54"/>
      <c r="C83" s="54"/>
      <c r="D83" s="54"/>
      <c r="E83" s="54"/>
      <c r="F83" s="54"/>
      <c r="G83" s="54"/>
    </row>
    <row r="84" spans="2:7" x14ac:dyDescent="0.2">
      <c r="B84" s="54"/>
      <c r="C84" s="54"/>
      <c r="D84" s="54"/>
      <c r="E84" s="54"/>
      <c r="F84" s="54"/>
      <c r="G84" s="54"/>
    </row>
    <row r="85" spans="2:7" x14ac:dyDescent="0.2">
      <c r="B85" s="54"/>
      <c r="C85" s="54"/>
      <c r="D85" s="54"/>
      <c r="E85" s="54"/>
      <c r="F85" s="54"/>
      <c r="G85" s="54"/>
    </row>
    <row r="86" spans="2:7" x14ac:dyDescent="0.2">
      <c r="B86" s="54"/>
      <c r="C86" s="54"/>
      <c r="D86" s="54"/>
      <c r="E86" s="54"/>
      <c r="F86" s="54"/>
      <c r="G86" s="54"/>
    </row>
    <row r="87" spans="2:7" x14ac:dyDescent="0.2">
      <c r="B87" s="54"/>
      <c r="C87" s="54"/>
      <c r="D87" s="54"/>
      <c r="E87" s="54"/>
      <c r="F87" s="54"/>
      <c r="G87" s="54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>
      <selection activeCell="E35" sqref="E35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287942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-458509.94999999995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-10292.059999999939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-807234.47000000009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-23630.150000000256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7">
        <f>'E - 05-31-24'!G41</f>
        <v>680375.22000000009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-331349.41000000015</v>
      </c>
    </row>
    <row r="20" spans="2:7" x14ac:dyDescent="0.2">
      <c r="B20" s="8">
        <v>2</v>
      </c>
      <c r="C20" s="17">
        <v>45474</v>
      </c>
      <c r="D20" s="57">
        <f>1609522-0</f>
        <v>1609522</v>
      </c>
      <c r="E20" s="58">
        <v>2002153.36</v>
      </c>
      <c r="F20" s="18">
        <f t="shared" ref="F20:F27" si="0">D20-E20</f>
        <v>-392631.3600000001</v>
      </c>
      <c r="G20" s="16">
        <f t="shared" ref="G20:G27" si="1">G19+F20</f>
        <v>-723980.77000000025</v>
      </c>
    </row>
    <row r="21" spans="2:7" x14ac:dyDescent="0.2">
      <c r="B21" s="8">
        <v>3</v>
      </c>
      <c r="C21" s="19">
        <v>45505</v>
      </c>
      <c r="D21" s="59">
        <f>1398259-0</f>
        <v>1398259</v>
      </c>
      <c r="E21" s="60">
        <v>1772696.56</v>
      </c>
      <c r="F21" s="20">
        <f t="shared" si="0"/>
        <v>-374437.56000000006</v>
      </c>
      <c r="G21" s="21">
        <f t="shared" si="1"/>
        <v>-1098418.3300000003</v>
      </c>
    </row>
    <row r="22" spans="2:7" x14ac:dyDescent="0.2">
      <c r="B22" s="8">
        <v>4</v>
      </c>
      <c r="C22" s="19">
        <v>45536</v>
      </c>
      <c r="D22" s="59">
        <f>1324788-0</f>
        <v>1324788</v>
      </c>
      <c r="E22" s="60">
        <v>1439969.38</v>
      </c>
      <c r="F22" s="20">
        <f t="shared" si="0"/>
        <v>-115181.37999999989</v>
      </c>
      <c r="G22" s="21">
        <f t="shared" si="1"/>
        <v>-1213599.7100000002</v>
      </c>
    </row>
    <row r="23" spans="2:7" x14ac:dyDescent="0.2">
      <c r="B23" s="8">
        <v>5</v>
      </c>
      <c r="C23" s="19">
        <v>45566</v>
      </c>
      <c r="D23" s="59">
        <f>1059614-1664</f>
        <v>1057950</v>
      </c>
      <c r="E23" s="60">
        <v>1388067.09</v>
      </c>
      <c r="F23" s="20">
        <f t="shared" si="0"/>
        <v>-330117.09000000008</v>
      </c>
      <c r="G23" s="21">
        <f t="shared" si="1"/>
        <v>-1543716.8000000003</v>
      </c>
    </row>
    <row r="24" spans="2:7" x14ac:dyDescent="0.2">
      <c r="B24" s="8">
        <v>6</v>
      </c>
      <c r="C24" s="19">
        <v>45597</v>
      </c>
      <c r="D24" s="59">
        <f>1306769-1775</f>
        <v>1304994</v>
      </c>
      <c r="E24" s="60">
        <v>1260504.76</v>
      </c>
      <c r="F24" s="20">
        <f t="shared" si="0"/>
        <v>44489.239999999991</v>
      </c>
      <c r="G24" s="21">
        <f t="shared" si="1"/>
        <v>-1499227.5600000003</v>
      </c>
    </row>
    <row r="25" spans="2:7" x14ac:dyDescent="0.2">
      <c r="B25" s="8">
        <v>7</v>
      </c>
      <c r="C25" s="19">
        <v>45627</v>
      </c>
      <c r="D25" s="59">
        <f>2134178-2104</f>
        <v>2132074</v>
      </c>
      <c r="E25" s="60">
        <f>1671338.83</f>
        <v>1671338.83</v>
      </c>
      <c r="F25" s="22">
        <f t="shared" si="0"/>
        <v>460735.16999999993</v>
      </c>
      <c r="G25" s="23">
        <f t="shared" si="1"/>
        <v>-1038492.3900000004</v>
      </c>
    </row>
    <row r="26" spans="2:7" x14ac:dyDescent="0.2">
      <c r="B26" s="24" t="s">
        <v>28</v>
      </c>
      <c r="C26" s="17">
        <v>45658</v>
      </c>
      <c r="D26" s="57">
        <f>2781862-1923</f>
        <v>2779939</v>
      </c>
      <c r="E26" s="58">
        <v>2250594.52</v>
      </c>
      <c r="F26" s="18">
        <f t="shared" si="0"/>
        <v>529344.48</v>
      </c>
      <c r="G26" s="16">
        <f t="shared" si="1"/>
        <v>-509147.91000000038</v>
      </c>
    </row>
    <row r="27" spans="2:7" x14ac:dyDescent="0.2">
      <c r="B27" s="25" t="s">
        <v>29</v>
      </c>
      <c r="C27" s="26">
        <v>45689</v>
      </c>
      <c r="D27" s="61">
        <f>1937702-1452</f>
        <v>1936250</v>
      </c>
      <c r="E27" s="62">
        <f>2225660.74</f>
        <v>2225660.7400000002</v>
      </c>
      <c r="F27" s="22">
        <f t="shared" si="0"/>
        <v>-289410.74000000022</v>
      </c>
      <c r="G27" s="23">
        <f t="shared" si="1"/>
        <v>-798558.65000000061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-287942</v>
      </c>
      <c r="E35" s="16">
        <f>D70</f>
        <v>287942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458509.94999999995</v>
      </c>
      <c r="E36" s="21">
        <v>0</v>
      </c>
      <c r="F36" s="7" t="s">
        <v>100</v>
      </c>
      <c r="G36" s="21">
        <f t="shared" si="3"/>
        <v>458509.94999999995</v>
      </c>
    </row>
    <row r="37" spans="2:7" x14ac:dyDescent="0.2">
      <c r="B37" s="31" t="s">
        <v>45</v>
      </c>
      <c r="C37" s="7" t="s">
        <v>87</v>
      </c>
      <c r="D37" s="21">
        <f t="shared" si="2"/>
        <v>10292.059999999939</v>
      </c>
      <c r="E37" s="21">
        <v>0</v>
      </c>
      <c r="F37" s="7"/>
      <c r="G37" s="21">
        <f t="shared" si="3"/>
        <v>10292.059999999939</v>
      </c>
    </row>
    <row r="38" spans="2:7" x14ac:dyDescent="0.2">
      <c r="B38" s="31" t="s">
        <v>46</v>
      </c>
      <c r="C38" s="7" t="s">
        <v>91</v>
      </c>
      <c r="D38" s="21">
        <f t="shared" si="2"/>
        <v>807234.47000000009</v>
      </c>
      <c r="E38" s="21">
        <v>0</v>
      </c>
      <c r="F38" s="7"/>
      <c r="G38" s="21">
        <f t="shared" si="3"/>
        <v>807234.47000000009</v>
      </c>
    </row>
    <row r="39" spans="2:7" x14ac:dyDescent="0.2">
      <c r="B39" s="31" t="s">
        <v>59</v>
      </c>
      <c r="C39" s="7" t="s">
        <v>93</v>
      </c>
      <c r="D39" s="21">
        <f t="shared" si="2"/>
        <v>23630.150000000256</v>
      </c>
      <c r="E39" s="21">
        <v>0</v>
      </c>
      <c r="F39" s="7"/>
      <c r="G39" s="21">
        <f t="shared" si="3"/>
        <v>23630.150000000256</v>
      </c>
    </row>
    <row r="40" spans="2:7" x14ac:dyDescent="0.2">
      <c r="B40" s="31" t="s">
        <v>66</v>
      </c>
      <c r="C40" s="32" t="s">
        <v>95</v>
      </c>
      <c r="D40" s="23">
        <f t="shared" si="2"/>
        <v>-680375.22000000009</v>
      </c>
      <c r="E40" s="23">
        <v>0</v>
      </c>
      <c r="F40" s="32"/>
      <c r="G40" s="23">
        <f t="shared" si="3"/>
        <v>-680375.22000000009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619291.41000000027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-419200.9800000001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-69866.830000000016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-331349.41000000015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619291.41000000027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287942.00000000012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-419200.9800000001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-707142.98000000021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287942.00000000012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3"/>
      <c r="G62" s="73"/>
    </row>
    <row r="63" spans="2:7" x14ac:dyDescent="0.2">
      <c r="B63" s="36"/>
      <c r="C63" s="9" t="s">
        <v>17</v>
      </c>
      <c r="D63" s="9" t="s">
        <v>99</v>
      </c>
      <c r="E63" s="31"/>
      <c r="F63" s="73"/>
      <c r="G63" s="73"/>
    </row>
    <row r="64" spans="2:7" x14ac:dyDescent="0.2">
      <c r="C64" s="17">
        <v>45474</v>
      </c>
      <c r="D64" s="50">
        <v>143972</v>
      </c>
      <c r="E64" s="74"/>
      <c r="F64" s="70"/>
      <c r="G64" s="70"/>
    </row>
    <row r="65" spans="3:7" x14ac:dyDescent="0.2">
      <c r="C65" s="19">
        <v>45505</v>
      </c>
      <c r="D65" s="51">
        <v>143970</v>
      </c>
      <c r="E65" s="74"/>
      <c r="F65" s="70"/>
      <c r="G65" s="70"/>
    </row>
    <row r="66" spans="3:7" x14ac:dyDescent="0.2">
      <c r="C66" s="19">
        <v>45536</v>
      </c>
      <c r="D66" s="51">
        <v>0</v>
      </c>
      <c r="E66" s="74"/>
      <c r="F66" s="70"/>
      <c r="G66" s="70"/>
    </row>
    <row r="67" spans="3:7" x14ac:dyDescent="0.2">
      <c r="C67" s="19">
        <v>45566</v>
      </c>
      <c r="D67" s="51">
        <v>0</v>
      </c>
      <c r="E67" s="74"/>
      <c r="F67" s="70"/>
      <c r="G67" s="70"/>
    </row>
    <row r="68" spans="3:7" x14ac:dyDescent="0.2">
      <c r="C68" s="19">
        <v>45597</v>
      </c>
      <c r="D68" s="51">
        <v>0</v>
      </c>
      <c r="E68" s="74"/>
      <c r="F68" s="70"/>
      <c r="G68" s="70"/>
    </row>
    <row r="69" spans="3:7" x14ac:dyDescent="0.2">
      <c r="C69" s="19">
        <v>45627</v>
      </c>
      <c r="D69" s="52">
        <v>0</v>
      </c>
      <c r="E69" s="74"/>
      <c r="F69" s="70"/>
      <c r="G69" s="70"/>
    </row>
    <row r="70" spans="3:7" x14ac:dyDescent="0.2">
      <c r="C70" s="53" t="s">
        <v>57</v>
      </c>
      <c r="D70" s="39">
        <f>SUM(D64:D69)</f>
        <v>287942</v>
      </c>
      <c r="E70" s="20"/>
      <c r="F70" s="70"/>
      <c r="G70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2025-03-31T01:16:12Z</dcterms:modified>
</cp:coreProperties>
</file>