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FF102CBF-0633-456D-AF5F-CE5676F3D7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E34" i="6"/>
  <c r="D68" i="6"/>
  <c r="D66" i="5"/>
  <c r="D64" i="4"/>
  <c r="D62" i="3"/>
  <c r="D60" i="2"/>
  <c r="E26" i="8" l="1"/>
  <c r="K26" i="8"/>
  <c r="J27" i="8"/>
  <c r="D27" i="8"/>
  <c r="L27" i="8" l="1"/>
  <c r="J26" i="8"/>
  <c r="L26" i="8" s="1"/>
  <c r="K25" i="8"/>
  <c r="J25" i="8"/>
  <c r="L25" i="8" s="1"/>
  <c r="L24" i="8"/>
  <c r="L23" i="8"/>
  <c r="K22" i="8"/>
  <c r="J22" i="8"/>
  <c r="L22" i="8" s="1"/>
  <c r="K21" i="8"/>
  <c r="L21" i="8" s="1"/>
  <c r="L20" i="8"/>
  <c r="M20" i="8" s="1"/>
  <c r="D26" i="8"/>
  <c r="E25" i="8"/>
  <c r="D25" i="8"/>
  <c r="D24" i="8"/>
  <c r="D23" i="8"/>
  <c r="E22" i="8"/>
  <c r="D22" i="8"/>
  <c r="E21" i="8"/>
  <c r="D21" i="8"/>
  <c r="D20" i="8"/>
  <c r="M21" i="8" l="1"/>
  <c r="M22" i="8" s="1"/>
  <c r="M23" i="8" s="1"/>
  <c r="M24" i="8" s="1"/>
  <c r="M25" i="8" s="1"/>
  <c r="M26" i="8" l="1"/>
  <c r="M27" i="8" s="1"/>
  <c r="M29" i="8"/>
  <c r="M31" i="8" s="1"/>
  <c r="E26" i="6" l="1"/>
  <c r="K26" i="6"/>
  <c r="L26" i="6"/>
  <c r="L25" i="6"/>
  <c r="L24" i="6"/>
  <c r="L23" i="6"/>
  <c r="L22" i="6"/>
  <c r="L21" i="6"/>
  <c r="L20" i="6"/>
  <c r="M19" i="6"/>
  <c r="L19" i="6"/>
  <c r="D26" i="6"/>
  <c r="D25" i="6"/>
  <c r="D24" i="6"/>
  <c r="D23" i="6"/>
  <c r="D22" i="6"/>
  <c r="D21" i="6"/>
  <c r="D20" i="6"/>
  <c r="D19" i="6"/>
  <c r="M20" i="6" l="1"/>
  <c r="M21" i="6" s="1"/>
  <c r="M22" i="6" s="1"/>
  <c r="M23" i="6" s="1"/>
  <c r="M24" i="6" s="1"/>
  <c r="M25" i="6"/>
  <c r="M26" i="6" s="1"/>
  <c r="M28" i="6"/>
  <c r="M30" i="6" s="1"/>
  <c r="L25" i="5" l="1"/>
  <c r="L24" i="5"/>
  <c r="L23" i="5"/>
  <c r="L22" i="5"/>
  <c r="L21" i="5"/>
  <c r="L20" i="5"/>
  <c r="L19" i="5"/>
  <c r="L18" i="5"/>
  <c r="M18" i="5" s="1"/>
  <c r="M19" i="5" s="1"/>
  <c r="M20" i="5" s="1"/>
  <c r="M21" i="5" s="1"/>
  <c r="M22" i="5" s="1"/>
  <c r="M23" i="5" s="1"/>
  <c r="D25" i="5"/>
  <c r="D24" i="5"/>
  <c r="D23" i="5"/>
  <c r="E22" i="5"/>
  <c r="D22" i="5"/>
  <c r="E21" i="5"/>
  <c r="D21" i="5"/>
  <c r="E20" i="5"/>
  <c r="D20" i="5"/>
  <c r="E19" i="5"/>
  <c r="D19" i="5"/>
  <c r="E18" i="5"/>
  <c r="D18" i="5"/>
  <c r="M24" i="5" l="1"/>
  <c r="M25" i="5" s="1"/>
  <c r="M27" i="5"/>
  <c r="M29" i="5" s="1"/>
  <c r="L24" i="4" l="1"/>
  <c r="L23" i="4"/>
  <c r="L22" i="4"/>
  <c r="L21" i="4"/>
  <c r="L20" i="4"/>
  <c r="L19" i="4"/>
  <c r="J18" i="4"/>
  <c r="L18" i="4" s="1"/>
  <c r="L17" i="4"/>
  <c r="M17" i="4" s="1"/>
  <c r="M18" i="4" s="1"/>
  <c r="M19" i="4" s="1"/>
  <c r="M20" i="4" s="1"/>
  <c r="M21" i="4" s="1"/>
  <c r="M22" i="4" s="1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M26" i="4" l="1"/>
  <c r="M28" i="4" s="1"/>
  <c r="M23" i="4"/>
  <c r="M24" i="4" s="1"/>
  <c r="J23" i="3" l="1"/>
  <c r="L23" i="3" s="1"/>
  <c r="L22" i="3"/>
  <c r="L21" i="3"/>
  <c r="L20" i="3"/>
  <c r="L19" i="3"/>
  <c r="L18" i="3"/>
  <c r="L17" i="3"/>
  <c r="K16" i="3"/>
  <c r="J16" i="3"/>
  <c r="L16" i="3" s="1"/>
  <c r="M16" i="3" s="1"/>
  <c r="M17" i="3" s="1"/>
  <c r="M18" i="3" s="1"/>
  <c r="M19" i="3" s="1"/>
  <c r="M20" i="3" s="1"/>
  <c r="M21" i="3" s="1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M25" i="3" l="1"/>
  <c r="M27" i="3" s="1"/>
  <c r="M22" i="3"/>
  <c r="M23" i="3" s="1"/>
  <c r="L22" i="2" l="1"/>
  <c r="K21" i="2"/>
  <c r="J21" i="2"/>
  <c r="L21" i="2" s="1"/>
  <c r="K20" i="2"/>
  <c r="L20" i="2" s="1"/>
  <c r="L19" i="2"/>
  <c r="L18" i="2"/>
  <c r="L17" i="2"/>
  <c r="L16" i="2"/>
  <c r="L15" i="2"/>
  <c r="M15" i="2" s="1"/>
  <c r="M16" i="2" s="1"/>
  <c r="M17" i="2" s="1"/>
  <c r="M18" i="2" s="1"/>
  <c r="M19" i="2" s="1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M20" i="2" l="1"/>
  <c r="M24" i="2" l="1"/>
  <c r="M26" i="2" s="1"/>
  <c r="M21" i="2"/>
  <c r="M22" i="2" s="1"/>
  <c r="G14" i="2" l="1"/>
  <c r="D35" i="8" l="1"/>
  <c r="F27" i="8"/>
  <c r="F26" i="8"/>
  <c r="F25" i="8"/>
  <c r="F24" i="8"/>
  <c r="F23" i="8"/>
  <c r="F22" i="8"/>
  <c r="F21" i="8"/>
  <c r="F20" i="8"/>
  <c r="G35" i="8" l="1"/>
  <c r="G56" i="8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<sst xmlns="http://schemas.openxmlformats.org/spreadsheetml/2006/main" count="549" uniqueCount="106">
  <si>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</si>
  <si>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</si>
  <si>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</si>
  <si>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</si>
  <si>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</si>
  <si>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</si>
  <si>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</si>
  <si>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</si>
  <si>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</si>
  <si>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</si>
  <si>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</si>
  <si>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</si>
  <si>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</si>
  <si>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</si>
  <si>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</si>
  <si>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</si>
  <si>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</si>
  <si>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</si>
  <si>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</si>
  <si>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</si>
  <si>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</si>
  <si>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</si>
  <si>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</si>
  <si>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</si>
  <si>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</si>
  <si>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</si>
  <si>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</si>
  <si>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</si>
  <si>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</si>
  <si>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</si>
  <si>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</si>
  <si>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</si>
  <si>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</si>
  <si>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</si>
  <si>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</si>
  <si>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</si>
  <si>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</si>
  <si>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</si>
  <si>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</si>
  <si>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</si>
  <si>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</si>
  <si>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</si>
  <si>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</si>
  <si>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</si>
  <si>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</si>
  <si>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</si>
  <si>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</si>
  <si>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</si>
  <si>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</si>
  <si>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</si>
  <si>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</si>
  <si>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</si>
  <si>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</si>
  <si>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</si>
  <si>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</si>
  <si>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</si>
  <si>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</si>
  <si>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</si>
  <si>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</si>
  <si>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</si>
  <si>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</si>
  <si>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</si>
  <si>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</si>
  <si>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</si>
  <si>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</si>
  <si>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</si>
  <si>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</si>
  <si>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</si>
  <si>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</si>
  <si>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</si>
  <si>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</si>
  <si>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</si>
  <si>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</si>
  <si>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</si>
  <si>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</si>
  <si>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</si>
  <si>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</si>
  <si>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</si>
  <si>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</si>
  <si>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</si>
  <si>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</si>
  <si>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</si>
  <si>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</si>
  <si>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</si>
  <si>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</si>
  <si>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</si>
  <si>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</si>
  <si>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</si>
  <si>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</si>
  <si>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</si>
  <si>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</si>
  <si>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</si>
  <si>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</si>
  <si>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</si>
  <si>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</si>
  <si>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</si>
  <si>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(1)</t>
  </si>
  <si>
    <t>Cumulative 6-month (Over)/Under Recovery</t>
  </si>
  <si>
    <t>Monthly Recovery (per month for six months)</t>
  </si>
  <si>
    <t>DR1 Response2 - Shelby Surcharge Summary.xlsx</t>
  </si>
  <si>
    <t>Shelby</t>
  </si>
  <si>
    <t>Shelby - Calculation of (Over)/Under Recovery</t>
  </si>
  <si>
    <t>Shelby - Calculation of (Over)/Under Recovery - Direct Surcharge Pass-Throughs</t>
  </si>
  <si>
    <t>Rate B</t>
  </si>
  <si>
    <t>2022-00141</t>
  </si>
  <si>
    <t>DR1 Response 2 - Shelby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</si>
</sst>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2" fillId="0" borderId="0" xfId="1"/>
    <xf numFmtId="0" fontId="1" fillId="0" borderId="0" xfId="1" applyFont="1"/>
    <xf numFmtId="5" fontId="4" fillId="3" borderId="16" xfId="0" applyNumberFormat="1" applyFont="1" applyFill="1" applyBorder="1"/>
    <xf numFmtId="0" fontId="5" fillId="0" borderId="9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17" fontId="6" fillId="0" borderId="9" xfId="2" applyNumberFormat="1" applyFont="1" applyFill="1" applyBorder="1"/>
    <xf numFmtId="5" fontId="5" fillId="3" borderId="10" xfId="3" applyNumberFormat="1" applyFont="1" applyFill="1" applyBorder="1" applyAlignment="1">
      <alignment horizontal="right"/>
    </xf>
    <xf numFmtId="5" fontId="5" fillId="3" borderId="0" xfId="3" applyNumberFormat="1" applyFont="1" applyFill="1" applyBorder="1" applyAlignment="1">
      <alignment horizontal="right"/>
    </xf>
    <xf numFmtId="5" fontId="5" fillId="0" borderId="9" xfId="1" applyNumberFormat="1" applyFont="1" applyBorder="1"/>
    <xf numFmtId="5" fontId="5" fillId="0" borderId="10" xfId="1" applyNumberFormat="1" applyFont="1" applyBorder="1"/>
    <xf numFmtId="17" fontId="6" fillId="0" borderId="10" xfId="2" applyNumberFormat="1" applyFont="1" applyFill="1" applyBorder="1"/>
    <xf numFmtId="5" fontId="5" fillId="3" borderId="10" xfId="1" applyNumberFormat="1" applyFont="1" applyFill="1" applyBorder="1"/>
    <xf numFmtId="17" fontId="6" fillId="0" borderId="11" xfId="2" applyNumberFormat="1" applyFont="1" applyFill="1" applyBorder="1"/>
    <xf numFmtId="5" fontId="4" fillId="3" borderId="11" xfId="1" applyNumberFormat="1" applyFont="1" applyFill="1" applyBorder="1"/>
    <xf numFmtId="5" fontId="5" fillId="0" borderId="11" xfId="1" applyNumberFormat="1" applyFont="1" applyBorder="1"/>
    <xf numFmtId="5" fontId="5" fillId="3" borderId="9" xfId="1" applyNumberFormat="1" applyFont="1" applyFill="1" applyBorder="1"/>
    <xf numFmtId="5" fontId="4" fillId="3" borderId="9" xfId="1" applyNumberFormat="1" applyFont="1" applyFill="1" applyBorder="1"/>
    <xf numFmtId="5" fontId="5" fillId="3" borderId="11" xfId="1" applyNumberFormat="1" applyFont="1" applyFill="1" applyBorder="1"/>
    <xf numFmtId="0" fontId="5" fillId="0" borderId="0" xfId="1" applyFont="1"/>
    <xf numFmtId="0" fontId="5" fillId="0" borderId="13" xfId="1" applyFont="1" applyBorder="1"/>
    <xf numFmtId="0" fontId="5" fillId="0" borderId="14" xfId="1" applyFont="1" applyBorder="1"/>
    <xf numFmtId="0" fontId="5" fillId="0" borderId="15" xfId="1" applyFont="1" applyBorder="1"/>
    <xf numFmtId="5" fontId="5" fillId="0" borderId="12" xfId="1" applyNumberFormat="1" applyFont="1" applyBorder="1"/>
    <xf numFmtId="5" fontId="5" fillId="0" borderId="0" xfId="1" applyNumberFormat="1" applyFont="1"/>
    <xf numFmtId="5" fontId="4" fillId="3" borderId="4" xfId="0" applyNumberFormat="1" applyFont="1" applyFill="1" applyBorder="1"/>
    <xf numFmtId="5" fontId="6" fillId="3" borderId="16" xfId="0" applyNumberFormat="1" applyFont="1" applyFill="1" applyBorder="1"/>
    <xf numFmtId="5" fontId="4" fillId="3" borderId="0" xfId="3" applyNumberFormat="1" applyFont="1" applyFill="1" applyBorder="1" applyAlignment="1">
      <alignment horizontal="right"/>
    </xf>
    <xf numFmtId="5" fontId="6" fillId="3" borderId="11" xfId="1" applyNumberFormat="1" applyFont="1" applyFill="1" applyBorder="1"/>
    <xf numFmtId="5" fontId="6" fillId="3" borderId="9" xfId="1" applyNumberFormat="1" applyFont="1" applyFill="1" applyBorder="1"/>
    <xf numFmtId="5" fontId="6" fillId="3" borderId="0" xfId="3" applyNumberFormat="1" applyFont="1" applyFill="1" applyBorder="1" applyAlignment="1">
      <alignment horizontal="right"/>
    </xf>
    <xf numFmtId="5" fontId="6" fillId="4" borderId="11" xfId="1" applyNumberFormat="1" applyFont="1" applyFill="1" applyBorder="1"/>
    <xf numFmtId="5" fontId="0" fillId="4" borderId="7" xfId="0" applyNumberFormat="1" applyFill="1" applyBorder="1"/>
    <xf numFmtId="5" fontId="5" fillId="4" borderId="0" xfId="3" applyNumberFormat="1" applyFont="1" applyFill="1" applyBorder="1" applyAlignment="1">
      <alignment horizontal="right"/>
    </xf>
    <xf numFmtId="5" fontId="5" fillId="0" borderId="11" xfId="1" applyNumberFormat="1" applyFont="1" applyFill="1" applyBorder="1"/>
    <xf numFmtId="5" fontId="0" fillId="5" borderId="4" xfId="0" applyNumberFormat="1" applyFill="1" applyBorder="1"/>
    <xf numFmtId="5" fontId="6" fillId="5" borderId="9" xfId="1" applyNumberFormat="1" applyFont="1" applyFill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D7" sqref="D7"/>
    </sheetView>
  </sheetViews>
  <sheetFormatPr defaultColWidth="15.625" defaultRowHeight="14.25" x14ac:dyDescent="0.2"/>
  <sheetData>
    <row r="1" spans="1:6" x14ac:dyDescent="0.2">
      <c r="A1" t="s">
        <v>105</v>
      </c>
    </row>
    <row r="3" spans="1:6" ht="15" x14ac:dyDescent="0.25">
      <c r="C3" s="117" t="s">
        <v>100</v>
      </c>
      <c r="D3" s="117"/>
      <c r="E3" s="117"/>
    </row>
    <row r="4" spans="1:6" ht="15" x14ac:dyDescent="0.25">
      <c r="B4" s="117" t="s">
        <v>0</v>
      </c>
      <c r="C4" s="117"/>
      <c r="D4" s="117"/>
      <c r="E4" s="117"/>
      <c r="F4" s="117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130670.82999999996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194499.80000000016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-45508.470000000088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157.42999999981839</v>
      </c>
      <c r="F11" s="2" t="str">
        <f t="shared" si="0"/>
        <v>Under-Recovery</v>
      </c>
    </row>
    <row r="12" spans="1:6" x14ac:dyDescent="0.2">
      <c r="B12" t="s">
        <v>77</v>
      </c>
      <c r="E12" s="64">
        <f>'E - 05-31-24'!G41</f>
        <v>261407.05000000005</v>
      </c>
      <c r="F12" s="2" t="str">
        <f t="shared" si="0"/>
        <v>Under-Recovery</v>
      </c>
    </row>
    <row r="13" spans="1:6" x14ac:dyDescent="0.2">
      <c r="B13" t="s">
        <v>78</v>
      </c>
      <c r="E13" s="64">
        <f>'F - 11-30-24'!G43</f>
        <v>-456374.44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84852.199999999895</v>
      </c>
      <c r="F15" s="2" t="str">
        <f>IF(E15&gt;0,"Under-Recovery","Over-Recovery")</f>
        <v>Under-Recovery</v>
      </c>
    </row>
    <row r="16" spans="1:6" ht="15" thickTop="1" x14ac:dyDescent="0.2"/>
    <row r="20" spans="2:6" ht="15" x14ac:dyDescent="0.25">
      <c r="B20" s="117" t="s">
        <v>4</v>
      </c>
      <c r="C20" s="117"/>
      <c r="D20" s="117"/>
      <c r="E20" s="117"/>
      <c r="F20" s="117"/>
    </row>
    <row r="22" spans="2:6" x14ac:dyDescent="0.2">
      <c r="B22" t="s">
        <v>5</v>
      </c>
      <c r="E22" s="3">
        <f>ROUND(E15/6,0)</f>
        <v>14142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7071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>
      <selection activeCell="C18" sqref="C18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8" t="s">
        <v>101</v>
      </c>
      <c r="C4" s="119"/>
      <c r="D4" s="119"/>
      <c r="E4" s="119"/>
      <c r="F4" s="119"/>
      <c r="G4" s="120"/>
      <c r="I4" s="127" t="s">
        <v>102</v>
      </c>
      <c r="J4" s="128"/>
      <c r="K4" s="128"/>
      <c r="L4" s="128"/>
      <c r="M4" s="129"/>
    </row>
    <row r="5" spans="1:13" ht="14.25" customHeight="1" x14ac:dyDescent="0.2">
      <c r="B5" s="121"/>
      <c r="C5" s="122"/>
      <c r="D5" s="122"/>
      <c r="E5" s="122"/>
      <c r="F5" s="122"/>
      <c r="G5" s="123"/>
      <c r="I5" s="130"/>
      <c r="J5" s="131"/>
      <c r="K5" s="131"/>
      <c r="L5" s="131"/>
      <c r="M5" s="132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ht="15.75" x14ac:dyDescent="0.25">
      <c r="B8" s="7"/>
      <c r="C8" s="7"/>
      <c r="D8" s="8" t="s">
        <v>8</v>
      </c>
      <c r="E8" s="8" t="s">
        <v>9</v>
      </c>
      <c r="F8" s="7"/>
      <c r="G8" s="7"/>
      <c r="I8" s="75" t="s">
        <v>103</v>
      </c>
      <c r="J8" s="74"/>
      <c r="K8" s="74"/>
      <c r="L8" s="74"/>
      <c r="M8" s="74"/>
    </row>
    <row r="9" spans="1:13" ht="15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4"/>
      <c r="J9" s="74"/>
      <c r="K9" s="74"/>
      <c r="L9" s="74"/>
      <c r="M9" s="74"/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7"/>
      <c r="J10" s="77"/>
      <c r="K10" s="78" t="s">
        <v>7</v>
      </c>
      <c r="L10" s="77"/>
      <c r="M10" s="77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9"/>
      <c r="J11" s="80" t="s">
        <v>8</v>
      </c>
      <c r="K11" s="80" t="s">
        <v>9</v>
      </c>
      <c r="L11" s="79"/>
      <c r="M11" s="79"/>
    </row>
    <row r="12" spans="1:13" x14ac:dyDescent="0.2">
      <c r="B12" s="6">
        <v>1</v>
      </c>
      <c r="C12" s="124" t="s">
        <v>22</v>
      </c>
      <c r="D12" s="125"/>
      <c r="E12" s="125"/>
      <c r="F12" s="125"/>
      <c r="G12" s="126"/>
      <c r="I12" s="79"/>
      <c r="J12" s="80" t="s">
        <v>10</v>
      </c>
      <c r="K12" s="80" t="s">
        <v>11</v>
      </c>
      <c r="L12" s="80" t="s">
        <v>12</v>
      </c>
      <c r="M12" s="80" t="s">
        <v>13</v>
      </c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768192</v>
      </c>
      <c r="I13" s="81"/>
      <c r="J13" s="81" t="s">
        <v>14</v>
      </c>
      <c r="K13" s="81" t="s">
        <v>14</v>
      </c>
      <c r="L13" s="81" t="s">
        <v>15</v>
      </c>
      <c r="M13" s="81" t="s">
        <v>15</v>
      </c>
    </row>
    <row r="14" spans="1:13" x14ac:dyDescent="0.2">
      <c r="B14" s="9" t="s">
        <v>24</v>
      </c>
      <c r="C14" s="12" t="s">
        <v>27</v>
      </c>
      <c r="D14" s="12"/>
      <c r="E14" s="12"/>
      <c r="F14" s="15"/>
      <c r="G14" s="16">
        <f>G13</f>
        <v>768192</v>
      </c>
      <c r="I14" s="82" t="s">
        <v>17</v>
      </c>
      <c r="J14" s="83" t="s">
        <v>96</v>
      </c>
      <c r="K14" s="83" t="s">
        <v>18</v>
      </c>
      <c r="L14" s="83" t="s">
        <v>19</v>
      </c>
      <c r="M14" s="83" t="s">
        <v>20</v>
      </c>
    </row>
    <row r="15" spans="1:13" x14ac:dyDescent="0.2">
      <c r="B15" s="8">
        <v>2</v>
      </c>
      <c r="C15" s="17">
        <v>44562</v>
      </c>
      <c r="D15" s="58">
        <f>395754-379</f>
        <v>395375</v>
      </c>
      <c r="E15" s="59">
        <f>577518.04-97809</f>
        <v>479709.04000000004</v>
      </c>
      <c r="F15" s="18">
        <f t="shared" ref="F15:F22" si="0">D15-E15</f>
        <v>-84334.040000000037</v>
      </c>
      <c r="G15" s="16">
        <f t="shared" ref="G15:G22" si="1">G14+F15</f>
        <v>683857.96</v>
      </c>
      <c r="I15" s="84">
        <v>44562</v>
      </c>
      <c r="J15" s="85">
        <v>97809</v>
      </c>
      <c r="K15" s="86">
        <v>97809</v>
      </c>
      <c r="L15" s="87">
        <f t="shared" ref="L15:L22" si="2">J15-K15</f>
        <v>0</v>
      </c>
      <c r="M15" s="88">
        <f>L15</f>
        <v>0</v>
      </c>
    </row>
    <row r="16" spans="1:13" x14ac:dyDescent="0.2">
      <c r="B16" s="8">
        <v>3</v>
      </c>
      <c r="C16" s="19">
        <v>44593</v>
      </c>
      <c r="D16" s="60">
        <f>331884-198</f>
        <v>331686</v>
      </c>
      <c r="E16" s="61">
        <f>329028.46-89753</f>
        <v>239275.46000000002</v>
      </c>
      <c r="F16" s="20">
        <f t="shared" si="0"/>
        <v>92410.539999999979</v>
      </c>
      <c r="G16" s="21">
        <f t="shared" si="1"/>
        <v>776268.5</v>
      </c>
      <c r="I16" s="89">
        <v>44593</v>
      </c>
      <c r="J16" s="85">
        <v>89753</v>
      </c>
      <c r="K16" s="86">
        <v>89753</v>
      </c>
      <c r="L16" s="88">
        <f t="shared" si="2"/>
        <v>0</v>
      </c>
      <c r="M16" s="88">
        <f>M15+L16</f>
        <v>0</v>
      </c>
    </row>
    <row r="17" spans="2:13" x14ac:dyDescent="0.2">
      <c r="B17" s="8">
        <v>4</v>
      </c>
      <c r="C17" s="19">
        <v>44621</v>
      </c>
      <c r="D17" s="60">
        <f>215962-288</f>
        <v>215674</v>
      </c>
      <c r="E17" s="61">
        <f>323137.64-78119</f>
        <v>245018.64</v>
      </c>
      <c r="F17" s="20">
        <f t="shared" si="0"/>
        <v>-29344.640000000014</v>
      </c>
      <c r="G17" s="21">
        <f t="shared" si="1"/>
        <v>746923.86</v>
      </c>
      <c r="I17" s="89">
        <v>44621</v>
      </c>
      <c r="J17" s="85">
        <v>78119</v>
      </c>
      <c r="K17" s="85">
        <v>78119</v>
      </c>
      <c r="L17" s="88">
        <f t="shared" si="2"/>
        <v>0</v>
      </c>
      <c r="M17" s="88">
        <f t="shared" ref="M17:M20" si="3">M16+L17</f>
        <v>0</v>
      </c>
    </row>
    <row r="18" spans="2:13" x14ac:dyDescent="0.2">
      <c r="B18" s="8">
        <v>5</v>
      </c>
      <c r="C18" s="19">
        <v>44652</v>
      </c>
      <c r="D18" s="60">
        <f>260389-424</f>
        <v>259965</v>
      </c>
      <c r="E18" s="61">
        <f>264373.78-105378</f>
        <v>158995.78000000003</v>
      </c>
      <c r="F18" s="20">
        <f t="shared" si="0"/>
        <v>100969.21999999997</v>
      </c>
      <c r="G18" s="21">
        <f t="shared" si="1"/>
        <v>847893.08</v>
      </c>
      <c r="I18" s="89">
        <v>44652</v>
      </c>
      <c r="J18" s="85">
        <v>105378</v>
      </c>
      <c r="K18" s="85">
        <v>105378</v>
      </c>
      <c r="L18" s="88">
        <f t="shared" si="2"/>
        <v>0</v>
      </c>
      <c r="M18" s="88">
        <f t="shared" si="3"/>
        <v>0</v>
      </c>
    </row>
    <row r="19" spans="2:13" x14ac:dyDescent="0.2">
      <c r="B19" s="8">
        <v>6</v>
      </c>
      <c r="C19" s="19">
        <v>44682</v>
      </c>
      <c r="D19" s="60">
        <f>288105-451</f>
        <v>287654</v>
      </c>
      <c r="E19" s="61">
        <f>411089.39-118776</f>
        <v>292313.39</v>
      </c>
      <c r="F19" s="20">
        <f t="shared" si="0"/>
        <v>-4659.390000000014</v>
      </c>
      <c r="G19" s="21">
        <f t="shared" si="1"/>
        <v>843233.69</v>
      </c>
      <c r="I19" s="89">
        <v>44682</v>
      </c>
      <c r="J19" s="85">
        <v>118776</v>
      </c>
      <c r="K19" s="90">
        <v>118776</v>
      </c>
      <c r="L19" s="88">
        <f t="shared" si="2"/>
        <v>0</v>
      </c>
      <c r="M19" s="88">
        <f>M18+L19</f>
        <v>0</v>
      </c>
    </row>
    <row r="20" spans="2:13" x14ac:dyDescent="0.2">
      <c r="B20" s="8">
        <v>7</v>
      </c>
      <c r="C20" s="19">
        <v>44713</v>
      </c>
      <c r="D20" s="60">
        <f>396424-48</f>
        <v>396376</v>
      </c>
      <c r="E20" s="76">
        <f>482051.86+(-141967+662)</f>
        <v>340746.86</v>
      </c>
      <c r="F20" s="22">
        <f t="shared" si="0"/>
        <v>55629.140000000014</v>
      </c>
      <c r="G20" s="23">
        <f t="shared" si="1"/>
        <v>898862.83</v>
      </c>
      <c r="I20" s="91">
        <v>44713</v>
      </c>
      <c r="J20" s="90">
        <v>141305</v>
      </c>
      <c r="K20" s="92">
        <f>141967-662</f>
        <v>141305</v>
      </c>
      <c r="L20" s="93">
        <f t="shared" si="2"/>
        <v>0</v>
      </c>
      <c r="M20" s="93">
        <f t="shared" si="3"/>
        <v>0</v>
      </c>
    </row>
    <row r="21" spans="2:13" x14ac:dyDescent="0.2">
      <c r="B21" s="24" t="s">
        <v>28</v>
      </c>
      <c r="C21" s="17">
        <v>44743</v>
      </c>
      <c r="D21" s="58">
        <f>457896-489</f>
        <v>457407</v>
      </c>
      <c r="E21" s="103">
        <f>560683.31+(-154860-662)</f>
        <v>405161.31000000006</v>
      </c>
      <c r="F21" s="18">
        <f t="shared" si="0"/>
        <v>52245.689999999944</v>
      </c>
      <c r="G21" s="16">
        <f t="shared" si="1"/>
        <v>951108.5199999999</v>
      </c>
      <c r="I21" s="89">
        <v>44743</v>
      </c>
      <c r="J21" s="94">
        <f>155522</f>
        <v>155522</v>
      </c>
      <c r="K21" s="95">
        <f>154860+662</f>
        <v>155522</v>
      </c>
      <c r="L21" s="88">
        <f t="shared" si="2"/>
        <v>0</v>
      </c>
      <c r="M21" s="88">
        <f>M20+L21</f>
        <v>0</v>
      </c>
    </row>
    <row r="22" spans="2:13" x14ac:dyDescent="0.2">
      <c r="B22" s="25" t="s">
        <v>29</v>
      </c>
      <c r="C22" s="26">
        <v>44774</v>
      </c>
      <c r="D22" s="62">
        <f>347195-43</f>
        <v>347152</v>
      </c>
      <c r="E22" s="63">
        <f>468701.5-126325</f>
        <v>342376.5</v>
      </c>
      <c r="F22" s="22">
        <f t="shared" si="0"/>
        <v>4775.5</v>
      </c>
      <c r="G22" s="23">
        <f t="shared" si="1"/>
        <v>955884.0199999999</v>
      </c>
      <c r="I22" s="91">
        <v>44774</v>
      </c>
      <c r="J22" s="96">
        <v>126325</v>
      </c>
      <c r="K22" s="96">
        <v>126325</v>
      </c>
      <c r="L22" s="93">
        <f t="shared" si="2"/>
        <v>0</v>
      </c>
      <c r="M22" s="93">
        <f>M21+L22</f>
        <v>0</v>
      </c>
    </row>
    <row r="23" spans="2:13" x14ac:dyDescent="0.2">
      <c r="B23" s="9"/>
      <c r="C23" s="27" t="s">
        <v>61</v>
      </c>
      <c r="D23" s="28"/>
      <c r="E23" s="28"/>
      <c r="F23" s="28"/>
      <c r="G23" s="29"/>
      <c r="I23" s="97"/>
      <c r="J23" s="97"/>
      <c r="K23" s="97"/>
      <c r="L23" s="97"/>
      <c r="M23" s="97"/>
    </row>
    <row r="24" spans="2:13" x14ac:dyDescent="0.2">
      <c r="B24" s="6"/>
      <c r="C24" s="5"/>
      <c r="D24" s="5"/>
      <c r="E24" s="5"/>
      <c r="F24" s="5"/>
      <c r="G24" s="16"/>
      <c r="I24" s="98" t="s">
        <v>97</v>
      </c>
      <c r="J24" s="99"/>
      <c r="K24" s="99"/>
      <c r="L24" s="100"/>
      <c r="M24" s="101">
        <f>M20</f>
        <v>0</v>
      </c>
    </row>
    <row r="25" spans="2:13" x14ac:dyDescent="0.2">
      <c r="B25" s="8"/>
      <c r="C25" s="7"/>
      <c r="D25" s="8" t="s">
        <v>30</v>
      </c>
      <c r="E25" s="8" t="s">
        <v>31</v>
      </c>
      <c r="F25" s="7"/>
      <c r="G25" s="21"/>
      <c r="I25" s="97"/>
      <c r="J25" s="97"/>
      <c r="K25" s="97"/>
      <c r="L25" s="97"/>
      <c r="M25" s="102"/>
    </row>
    <row r="26" spans="2:13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  <c r="I26" s="98" t="s">
        <v>98</v>
      </c>
      <c r="J26" s="99"/>
      <c r="K26" s="99"/>
      <c r="L26" s="100"/>
      <c r="M26" s="101">
        <f>M24/6</f>
        <v>0</v>
      </c>
    </row>
    <row r="27" spans="2:13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13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13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13" x14ac:dyDescent="0.2">
      <c r="B30" s="6" t="s">
        <v>43</v>
      </c>
      <c r="C30" s="65" t="s">
        <v>82</v>
      </c>
      <c r="D30" s="39">
        <f>-G13</f>
        <v>-768192</v>
      </c>
      <c r="E30" s="39">
        <f>D60</f>
        <v>0</v>
      </c>
      <c r="F30" s="65"/>
      <c r="G30" s="39">
        <f>D30+E30</f>
        <v>-768192</v>
      </c>
    </row>
    <row r="31" spans="2:13" x14ac:dyDescent="0.2">
      <c r="B31" s="9" t="s">
        <v>44</v>
      </c>
      <c r="C31" s="33"/>
      <c r="D31" s="34"/>
      <c r="E31" s="34"/>
      <c r="F31" s="35" t="s">
        <v>47</v>
      </c>
      <c r="G31" s="23">
        <f>G30</f>
        <v>-768192</v>
      </c>
    </row>
    <row r="32" spans="2:13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130670.82999999996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21778.471666666661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768192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-768192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130670.82999999996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130670.8299999999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115"/>
      <c r="G52" s="115"/>
    </row>
    <row r="53" spans="2:7" x14ac:dyDescent="0.2">
      <c r="B53" s="36"/>
      <c r="C53" s="9" t="s">
        <v>17</v>
      </c>
      <c r="D53" s="9" t="s">
        <v>104</v>
      </c>
      <c r="E53" s="31"/>
      <c r="F53" s="115"/>
      <c r="G53" s="115"/>
    </row>
    <row r="54" spans="2:7" x14ac:dyDescent="0.2">
      <c r="C54" s="17">
        <v>44562</v>
      </c>
      <c r="D54" s="50">
        <v>0</v>
      </c>
      <c r="E54" s="116"/>
      <c r="F54" s="71"/>
      <c r="G54" s="71"/>
    </row>
    <row r="55" spans="2:7" x14ac:dyDescent="0.2">
      <c r="C55" s="19">
        <v>44593</v>
      </c>
      <c r="D55" s="51">
        <v>0</v>
      </c>
      <c r="E55" s="116"/>
      <c r="F55" s="71"/>
      <c r="G55" s="71"/>
    </row>
    <row r="56" spans="2:7" x14ac:dyDescent="0.2">
      <c r="C56" s="19">
        <v>44621</v>
      </c>
      <c r="D56" s="51">
        <v>0</v>
      </c>
      <c r="E56" s="116"/>
      <c r="F56" s="71"/>
      <c r="G56" s="71"/>
    </row>
    <row r="57" spans="2:7" x14ac:dyDescent="0.2">
      <c r="C57" s="19">
        <v>44652</v>
      </c>
      <c r="D57" s="51">
        <v>0</v>
      </c>
      <c r="E57" s="116"/>
      <c r="F57" s="71"/>
      <c r="G57" s="71"/>
    </row>
    <row r="58" spans="2:7" x14ac:dyDescent="0.2">
      <c r="C58" s="19">
        <v>44682</v>
      </c>
      <c r="D58" s="51">
        <v>0</v>
      </c>
      <c r="E58" s="116"/>
      <c r="F58" s="71"/>
      <c r="G58" s="71"/>
    </row>
    <row r="59" spans="2:7" x14ac:dyDescent="0.2">
      <c r="C59" s="19">
        <v>44713</v>
      </c>
      <c r="D59" s="52">
        <v>0</v>
      </c>
      <c r="E59" s="116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8" t="s">
        <v>101</v>
      </c>
      <c r="C4" s="119"/>
      <c r="D4" s="119"/>
      <c r="E4" s="119"/>
      <c r="F4" s="119"/>
      <c r="G4" s="120"/>
      <c r="I4" s="127" t="s">
        <v>102</v>
      </c>
      <c r="J4" s="128"/>
      <c r="K4" s="128"/>
      <c r="L4" s="128"/>
      <c r="M4" s="129"/>
    </row>
    <row r="5" spans="1:13" ht="14.25" customHeight="1" x14ac:dyDescent="0.2">
      <c r="B5" s="121"/>
      <c r="C5" s="122"/>
      <c r="D5" s="122"/>
      <c r="E5" s="122"/>
      <c r="F5" s="122"/>
      <c r="G5" s="123"/>
      <c r="I5" s="130"/>
      <c r="J5" s="131"/>
      <c r="K5" s="131"/>
      <c r="L5" s="131"/>
      <c r="M5" s="132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5" t="s">
        <v>103</v>
      </c>
      <c r="J9" s="74"/>
      <c r="K9" s="74"/>
      <c r="L9" s="74"/>
      <c r="M9" s="74"/>
    </row>
    <row r="10" spans="1:13" ht="15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4"/>
      <c r="J10" s="74"/>
      <c r="K10" s="74"/>
      <c r="L10" s="74"/>
      <c r="M10" s="74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7"/>
      <c r="J11" s="77"/>
      <c r="K11" s="78" t="s">
        <v>7</v>
      </c>
      <c r="L11" s="77"/>
      <c r="M11" s="77"/>
    </row>
    <row r="12" spans="1:13" x14ac:dyDescent="0.2">
      <c r="B12" s="6">
        <v>1</v>
      </c>
      <c r="C12" s="124" t="s">
        <v>22</v>
      </c>
      <c r="D12" s="125"/>
      <c r="E12" s="125"/>
      <c r="F12" s="125"/>
      <c r="G12" s="126"/>
      <c r="I12" s="79"/>
      <c r="J12" s="80" t="s">
        <v>8</v>
      </c>
      <c r="K12" s="80" t="s">
        <v>9</v>
      </c>
      <c r="L12" s="79"/>
      <c r="M12" s="79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768192</v>
      </c>
      <c r="I13" s="79"/>
      <c r="J13" s="80" t="s">
        <v>10</v>
      </c>
      <c r="K13" s="80" t="s">
        <v>11</v>
      </c>
      <c r="L13" s="80" t="s">
        <v>12</v>
      </c>
      <c r="M13" s="80" t="s">
        <v>13</v>
      </c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130670.82999999996</v>
      </c>
      <c r="I14" s="81"/>
      <c r="J14" s="81" t="s">
        <v>14</v>
      </c>
      <c r="K14" s="81" t="s">
        <v>14</v>
      </c>
      <c r="L14" s="81" t="s">
        <v>15</v>
      </c>
      <c r="M14" s="81" t="s">
        <v>15</v>
      </c>
    </row>
    <row r="15" spans="1:13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898862.83</v>
      </c>
      <c r="I15" s="82" t="s">
        <v>17</v>
      </c>
      <c r="J15" s="83" t="s">
        <v>96</v>
      </c>
      <c r="K15" s="83" t="s">
        <v>18</v>
      </c>
      <c r="L15" s="83" t="s">
        <v>19</v>
      </c>
      <c r="M15" s="83" t="s">
        <v>20</v>
      </c>
    </row>
    <row r="16" spans="1:13" x14ac:dyDescent="0.2">
      <c r="B16" s="8">
        <v>2</v>
      </c>
      <c r="C16" s="17">
        <v>44743</v>
      </c>
      <c r="D16" s="58">
        <f>457896-489</f>
        <v>457407</v>
      </c>
      <c r="E16" s="103">
        <f>560683.31+(-154860-662)</f>
        <v>405161.31000000006</v>
      </c>
      <c r="F16" s="18">
        <f t="shared" ref="F16:F23" si="0">D16-E16</f>
        <v>52245.689999999944</v>
      </c>
      <c r="G16" s="16">
        <f t="shared" ref="G16:G23" si="1">G15+F16</f>
        <v>951108.5199999999</v>
      </c>
      <c r="I16" s="84">
        <v>44743</v>
      </c>
      <c r="J16" s="85">
        <f>155522</f>
        <v>155522</v>
      </c>
      <c r="K16" s="105">
        <f>154860+662</f>
        <v>155522</v>
      </c>
      <c r="L16" s="87">
        <f t="shared" ref="L16:L23" si="2">J16-K16</f>
        <v>0</v>
      </c>
      <c r="M16" s="88">
        <f>L16</f>
        <v>0</v>
      </c>
    </row>
    <row r="17" spans="2:13" x14ac:dyDescent="0.2">
      <c r="B17" s="8">
        <v>3</v>
      </c>
      <c r="C17" s="19">
        <v>44774</v>
      </c>
      <c r="D17" s="60">
        <f>347195-43</f>
        <v>347152</v>
      </c>
      <c r="E17" s="61">
        <f>468701.5-126325</f>
        <v>342376.5</v>
      </c>
      <c r="F17" s="20">
        <f t="shared" si="0"/>
        <v>4775.5</v>
      </c>
      <c r="G17" s="21">
        <f t="shared" si="1"/>
        <v>955884.0199999999</v>
      </c>
      <c r="I17" s="89">
        <v>44774</v>
      </c>
      <c r="J17" s="85">
        <v>126325</v>
      </c>
      <c r="K17" s="86">
        <v>126325</v>
      </c>
      <c r="L17" s="88">
        <f t="shared" si="2"/>
        <v>0</v>
      </c>
      <c r="M17" s="88">
        <f>M16+L17</f>
        <v>0</v>
      </c>
    </row>
    <row r="18" spans="2:13" x14ac:dyDescent="0.2">
      <c r="B18" s="8">
        <v>4</v>
      </c>
      <c r="C18" s="19">
        <v>44805</v>
      </c>
      <c r="D18" s="60">
        <f>245422-0</f>
        <v>245422</v>
      </c>
      <c r="E18" s="61">
        <f>333712.58-93691</f>
        <v>240021.58000000002</v>
      </c>
      <c r="F18" s="20">
        <f t="shared" si="0"/>
        <v>5400.4199999999837</v>
      </c>
      <c r="G18" s="21">
        <f t="shared" si="1"/>
        <v>961284.44</v>
      </c>
      <c r="I18" s="89">
        <v>44805</v>
      </c>
      <c r="J18" s="85">
        <v>93691</v>
      </c>
      <c r="K18" s="85">
        <v>93691</v>
      </c>
      <c r="L18" s="88">
        <f t="shared" si="2"/>
        <v>0</v>
      </c>
      <c r="M18" s="88">
        <f t="shared" ref="M18:M21" si="3">M17+L18</f>
        <v>0</v>
      </c>
    </row>
    <row r="19" spans="2:13" x14ac:dyDescent="0.2">
      <c r="B19" s="8">
        <v>5</v>
      </c>
      <c r="C19" s="19">
        <v>44835</v>
      </c>
      <c r="D19" s="60">
        <f>263736-371</f>
        <v>263365</v>
      </c>
      <c r="E19" s="61">
        <f>281294.44-110398</f>
        <v>170896.44</v>
      </c>
      <c r="F19" s="20">
        <f t="shared" si="0"/>
        <v>92468.56</v>
      </c>
      <c r="G19" s="21">
        <f t="shared" si="1"/>
        <v>1053753</v>
      </c>
      <c r="I19" s="89">
        <v>44835</v>
      </c>
      <c r="J19" s="85">
        <v>110398</v>
      </c>
      <c r="K19" s="85">
        <v>110398</v>
      </c>
      <c r="L19" s="88">
        <f t="shared" si="2"/>
        <v>0</v>
      </c>
      <c r="M19" s="88">
        <f t="shared" si="3"/>
        <v>0</v>
      </c>
    </row>
    <row r="20" spans="2:13" x14ac:dyDescent="0.2">
      <c r="B20" s="8">
        <v>6</v>
      </c>
      <c r="C20" s="19">
        <v>44866</v>
      </c>
      <c r="D20" s="60">
        <f>335303-415</f>
        <v>334888</v>
      </c>
      <c r="E20" s="61">
        <f>487931.93-111753</f>
        <v>376178.93</v>
      </c>
      <c r="F20" s="20">
        <f t="shared" si="0"/>
        <v>-41290.929999999993</v>
      </c>
      <c r="G20" s="21">
        <f t="shared" si="1"/>
        <v>1012462.0700000001</v>
      </c>
      <c r="I20" s="89">
        <v>44866</v>
      </c>
      <c r="J20" s="85">
        <v>111753</v>
      </c>
      <c r="K20" s="90">
        <v>111753</v>
      </c>
      <c r="L20" s="88">
        <f t="shared" si="2"/>
        <v>0</v>
      </c>
      <c r="M20" s="88">
        <f>M19+L20</f>
        <v>0</v>
      </c>
    </row>
    <row r="21" spans="2:13" x14ac:dyDescent="0.2">
      <c r="B21" s="8">
        <v>7</v>
      </c>
      <c r="C21" s="19">
        <v>44896</v>
      </c>
      <c r="D21" s="60">
        <f>506320-443</f>
        <v>505877</v>
      </c>
      <c r="E21" s="104">
        <f>542862.44-117886</f>
        <v>424976.43999999994</v>
      </c>
      <c r="F21" s="22">
        <f t="shared" si="0"/>
        <v>80900.560000000056</v>
      </c>
      <c r="G21" s="23">
        <f t="shared" si="1"/>
        <v>1093362.6300000001</v>
      </c>
      <c r="I21" s="91">
        <v>44896</v>
      </c>
      <c r="J21" s="90">
        <v>117886</v>
      </c>
      <c r="K21" s="106">
        <v>117886</v>
      </c>
      <c r="L21" s="93">
        <f t="shared" si="2"/>
        <v>0</v>
      </c>
      <c r="M21" s="93">
        <f t="shared" si="3"/>
        <v>0</v>
      </c>
    </row>
    <row r="22" spans="2:13" x14ac:dyDescent="0.2">
      <c r="B22" s="24" t="s">
        <v>28</v>
      </c>
      <c r="C22" s="17">
        <v>44927</v>
      </c>
      <c r="D22" s="58">
        <f>394147-385</f>
        <v>393762</v>
      </c>
      <c r="E22" s="59">
        <f>544141.07-117504</f>
        <v>426637.06999999995</v>
      </c>
      <c r="F22" s="18">
        <f t="shared" si="0"/>
        <v>-32875.069999999949</v>
      </c>
      <c r="G22" s="16">
        <f t="shared" si="1"/>
        <v>1060487.56</v>
      </c>
      <c r="I22" s="89">
        <v>44927</v>
      </c>
      <c r="J22" s="94">
        <v>117504</v>
      </c>
      <c r="K22" s="107">
        <v>117504</v>
      </c>
      <c r="L22" s="88">
        <f t="shared" si="2"/>
        <v>0</v>
      </c>
      <c r="M22" s="88">
        <f>M21+L22</f>
        <v>0</v>
      </c>
    </row>
    <row r="23" spans="2:13" x14ac:dyDescent="0.2">
      <c r="B23" s="25" t="s">
        <v>29</v>
      </c>
      <c r="C23" s="26">
        <v>44958</v>
      </c>
      <c r="D23" s="62">
        <f>202470-258</f>
        <v>202212</v>
      </c>
      <c r="E23" s="63">
        <f>381081.11-63569</f>
        <v>317512.11</v>
      </c>
      <c r="F23" s="22">
        <f t="shared" si="0"/>
        <v>-115300.10999999999</v>
      </c>
      <c r="G23" s="23">
        <f t="shared" si="1"/>
        <v>945187.45000000007</v>
      </c>
      <c r="I23" s="91">
        <v>44958</v>
      </c>
      <c r="J23" s="96">
        <f>63569</f>
        <v>63569</v>
      </c>
      <c r="K23" s="96">
        <v>63569</v>
      </c>
      <c r="L23" s="93">
        <f t="shared" si="2"/>
        <v>0</v>
      </c>
      <c r="M23" s="93">
        <f>M22+L23</f>
        <v>0</v>
      </c>
    </row>
    <row r="24" spans="2:13" x14ac:dyDescent="0.2">
      <c r="B24" s="9"/>
      <c r="C24" s="27" t="s">
        <v>65</v>
      </c>
      <c r="D24" s="28"/>
      <c r="E24" s="28"/>
      <c r="F24" s="28"/>
      <c r="G24" s="29"/>
      <c r="I24" s="97"/>
      <c r="J24" s="97"/>
      <c r="K24" s="97"/>
      <c r="L24" s="97"/>
      <c r="M24" s="97"/>
    </row>
    <row r="25" spans="2:13" x14ac:dyDescent="0.2">
      <c r="B25" s="6"/>
      <c r="C25" s="5"/>
      <c r="D25" s="5"/>
      <c r="E25" s="5"/>
      <c r="F25" s="5"/>
      <c r="G25" s="16"/>
      <c r="I25" s="98" t="s">
        <v>97</v>
      </c>
      <c r="J25" s="99"/>
      <c r="K25" s="99"/>
      <c r="L25" s="100"/>
      <c r="M25" s="101">
        <f>M21</f>
        <v>0</v>
      </c>
    </row>
    <row r="26" spans="2:13" x14ac:dyDescent="0.2">
      <c r="B26" s="8"/>
      <c r="C26" s="7"/>
      <c r="D26" s="8" t="s">
        <v>30</v>
      </c>
      <c r="E26" s="8" t="s">
        <v>31</v>
      </c>
      <c r="F26" s="7"/>
      <c r="G26" s="21"/>
      <c r="I26" s="97"/>
      <c r="J26" s="97"/>
      <c r="K26" s="97"/>
      <c r="L26" s="97"/>
      <c r="M26" s="102"/>
    </row>
    <row r="27" spans="2:13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98" t="s">
        <v>98</v>
      </c>
      <c r="J27" s="99"/>
      <c r="K27" s="99"/>
      <c r="L27" s="100"/>
      <c r="M27" s="101">
        <f>M25/6</f>
        <v>0</v>
      </c>
    </row>
    <row r="28" spans="2:13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13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13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13" x14ac:dyDescent="0.2">
      <c r="B31" s="24" t="s">
        <v>43</v>
      </c>
      <c r="C31" s="5" t="s">
        <v>82</v>
      </c>
      <c r="D31" s="16">
        <f>-G13</f>
        <v>-768192</v>
      </c>
      <c r="E31" s="16">
        <f>D62</f>
        <v>0</v>
      </c>
      <c r="F31" s="5"/>
      <c r="G31" s="16">
        <f>D31+E31</f>
        <v>-768192</v>
      </c>
    </row>
    <row r="32" spans="2:13" x14ac:dyDescent="0.2">
      <c r="B32" s="31" t="s">
        <v>44</v>
      </c>
      <c r="C32" s="32" t="s">
        <v>84</v>
      </c>
      <c r="D32" s="23">
        <f>-G14</f>
        <v>-130670.82999999996</v>
      </c>
      <c r="E32" s="23">
        <v>0</v>
      </c>
      <c r="F32" s="32"/>
      <c r="G32" s="23">
        <f>D32+E32</f>
        <v>-130670.82999999996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-898862.83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194499.80000000016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32416.63333333336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898862.83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-898862.83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194499.80000000016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194499.8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115"/>
      <c r="G54" s="115"/>
    </row>
    <row r="55" spans="2:7" x14ac:dyDescent="0.2">
      <c r="B55" s="36"/>
      <c r="C55" s="9" t="s">
        <v>17</v>
      </c>
      <c r="D55" s="9" t="s">
        <v>104</v>
      </c>
      <c r="E55" s="31"/>
      <c r="F55" s="115"/>
      <c r="G55" s="115"/>
    </row>
    <row r="56" spans="2:7" x14ac:dyDescent="0.2">
      <c r="C56" s="17">
        <v>44743</v>
      </c>
      <c r="D56" s="50">
        <v>0</v>
      </c>
      <c r="E56" s="116"/>
      <c r="F56" s="71"/>
      <c r="G56" s="71"/>
    </row>
    <row r="57" spans="2:7" x14ac:dyDescent="0.2">
      <c r="C57" s="19">
        <v>44774</v>
      </c>
      <c r="D57" s="51">
        <v>0</v>
      </c>
      <c r="E57" s="116"/>
      <c r="F57" s="71"/>
      <c r="G57" s="71"/>
    </row>
    <row r="58" spans="2:7" x14ac:dyDescent="0.2">
      <c r="C58" s="19">
        <v>44805</v>
      </c>
      <c r="D58" s="51">
        <v>0</v>
      </c>
      <c r="E58" s="116"/>
      <c r="F58" s="71"/>
      <c r="G58" s="71"/>
    </row>
    <row r="59" spans="2:7" x14ac:dyDescent="0.2">
      <c r="C59" s="19">
        <v>44835</v>
      </c>
      <c r="D59" s="51">
        <v>0</v>
      </c>
      <c r="E59" s="116"/>
      <c r="F59" s="71"/>
      <c r="G59" s="71"/>
    </row>
    <row r="60" spans="2:7" x14ac:dyDescent="0.2">
      <c r="C60" s="19">
        <v>44866</v>
      </c>
      <c r="D60" s="51">
        <v>0</v>
      </c>
      <c r="E60" s="116"/>
      <c r="F60" s="71"/>
      <c r="G60" s="71"/>
    </row>
    <row r="61" spans="2:7" x14ac:dyDescent="0.2">
      <c r="C61" s="19">
        <v>44896</v>
      </c>
      <c r="D61" s="52">
        <v>0</v>
      </c>
      <c r="E61" s="116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8" t="s">
        <v>101</v>
      </c>
      <c r="C4" s="119"/>
      <c r="D4" s="119"/>
      <c r="E4" s="119"/>
      <c r="F4" s="119"/>
      <c r="G4" s="120"/>
      <c r="I4" s="127" t="s">
        <v>102</v>
      </c>
      <c r="J4" s="128"/>
      <c r="K4" s="128"/>
      <c r="L4" s="128"/>
      <c r="M4" s="129"/>
    </row>
    <row r="5" spans="1:13" ht="14.25" customHeight="1" x14ac:dyDescent="0.2">
      <c r="B5" s="121"/>
      <c r="C5" s="122"/>
      <c r="D5" s="122"/>
      <c r="E5" s="122"/>
      <c r="F5" s="122"/>
      <c r="G5" s="123"/>
      <c r="I5" s="130"/>
      <c r="J5" s="131"/>
      <c r="K5" s="131"/>
      <c r="L5" s="131"/>
      <c r="M5" s="132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5" t="s">
        <v>103</v>
      </c>
      <c r="J10" s="74"/>
      <c r="K10" s="74"/>
      <c r="L10" s="74"/>
      <c r="M10" s="74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4"/>
      <c r="J11" s="74"/>
      <c r="K11" s="74"/>
      <c r="L11" s="74"/>
      <c r="M11" s="74"/>
    </row>
    <row r="12" spans="1:13" x14ac:dyDescent="0.2">
      <c r="B12" s="6">
        <v>1</v>
      </c>
      <c r="C12" s="124" t="s">
        <v>22</v>
      </c>
      <c r="D12" s="125"/>
      <c r="E12" s="125"/>
      <c r="F12" s="125"/>
      <c r="G12" s="126"/>
      <c r="I12" s="77"/>
      <c r="J12" s="77"/>
      <c r="K12" s="78" t="s">
        <v>7</v>
      </c>
      <c r="L12" s="77"/>
      <c r="M12" s="77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768192</v>
      </c>
      <c r="I13" s="79"/>
      <c r="J13" s="80" t="s">
        <v>8</v>
      </c>
      <c r="K13" s="80" t="s">
        <v>9</v>
      </c>
      <c r="L13" s="79"/>
      <c r="M13" s="79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130670.82999999996</v>
      </c>
      <c r="I14" s="79"/>
      <c r="J14" s="80" t="s">
        <v>10</v>
      </c>
      <c r="K14" s="80" t="s">
        <v>11</v>
      </c>
      <c r="L14" s="80" t="s">
        <v>12</v>
      </c>
      <c r="M14" s="80" t="s">
        <v>13</v>
      </c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194499.80000000016</v>
      </c>
      <c r="I15" s="81"/>
      <c r="J15" s="81" t="s">
        <v>14</v>
      </c>
      <c r="K15" s="81" t="s">
        <v>14</v>
      </c>
      <c r="L15" s="81" t="s">
        <v>15</v>
      </c>
      <c r="M15" s="81" t="s">
        <v>15</v>
      </c>
    </row>
    <row r="16" spans="1:13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1093362.6300000001</v>
      </c>
      <c r="I16" s="82" t="s">
        <v>17</v>
      </c>
      <c r="J16" s="83" t="s">
        <v>96</v>
      </c>
      <c r="K16" s="83" t="s">
        <v>18</v>
      </c>
      <c r="L16" s="83" t="s">
        <v>19</v>
      </c>
      <c r="M16" s="83" t="s">
        <v>20</v>
      </c>
    </row>
    <row r="17" spans="2:13" x14ac:dyDescent="0.2">
      <c r="B17" s="8">
        <v>2</v>
      </c>
      <c r="C17" s="17">
        <v>44927</v>
      </c>
      <c r="D17" s="58">
        <f>394147-385</f>
        <v>393762</v>
      </c>
      <c r="E17" s="59">
        <f>544141.07-117504</f>
        <v>426637.06999999995</v>
      </c>
      <c r="F17" s="18">
        <f t="shared" ref="F17:F24" si="0">D17-E17</f>
        <v>-32875.069999999949</v>
      </c>
      <c r="G17" s="16">
        <f t="shared" ref="G17:G24" si="1">G16+F17</f>
        <v>1060487.56</v>
      </c>
      <c r="I17" s="84">
        <v>44927</v>
      </c>
      <c r="J17" s="85">
        <v>117504</v>
      </c>
      <c r="K17" s="108">
        <v>117504</v>
      </c>
      <c r="L17" s="87">
        <f t="shared" ref="L17:L24" si="2">J17-K17</f>
        <v>0</v>
      </c>
      <c r="M17" s="88">
        <f>L17</f>
        <v>0</v>
      </c>
    </row>
    <row r="18" spans="2:13" x14ac:dyDescent="0.2">
      <c r="B18" s="8">
        <v>3</v>
      </c>
      <c r="C18" s="19">
        <v>44958</v>
      </c>
      <c r="D18" s="60">
        <f>202470-258</f>
        <v>202212</v>
      </c>
      <c r="E18" s="61">
        <f>381081.11-63569</f>
        <v>317512.11</v>
      </c>
      <c r="F18" s="20">
        <f t="shared" si="0"/>
        <v>-115300.10999999999</v>
      </c>
      <c r="G18" s="21">
        <f t="shared" si="1"/>
        <v>945187.45000000007</v>
      </c>
      <c r="I18" s="89">
        <v>44958</v>
      </c>
      <c r="J18" s="85">
        <f>63569</f>
        <v>63569</v>
      </c>
      <c r="K18" s="86">
        <v>63569</v>
      </c>
      <c r="L18" s="88">
        <f t="shared" si="2"/>
        <v>0</v>
      </c>
      <c r="M18" s="88">
        <f>M17+L18</f>
        <v>0</v>
      </c>
    </row>
    <row r="19" spans="2:13" x14ac:dyDescent="0.2">
      <c r="B19" s="8">
        <v>4</v>
      </c>
      <c r="C19" s="19">
        <v>44986</v>
      </c>
      <c r="D19" s="60">
        <f>256178-332</f>
        <v>255846</v>
      </c>
      <c r="E19" s="61">
        <f>257185.59-86758</f>
        <v>170427.59</v>
      </c>
      <c r="F19" s="20">
        <f t="shared" si="0"/>
        <v>85418.41</v>
      </c>
      <c r="G19" s="21">
        <f t="shared" si="1"/>
        <v>1030605.8600000001</v>
      </c>
      <c r="I19" s="89">
        <v>44986</v>
      </c>
      <c r="J19" s="85">
        <v>86758</v>
      </c>
      <c r="K19" s="85">
        <v>86758</v>
      </c>
      <c r="L19" s="88">
        <f t="shared" si="2"/>
        <v>0</v>
      </c>
      <c r="M19" s="88">
        <f t="shared" ref="M19:M22" si="3">M18+L19</f>
        <v>0</v>
      </c>
    </row>
    <row r="20" spans="2:13" x14ac:dyDescent="0.2">
      <c r="B20" s="8">
        <v>5</v>
      </c>
      <c r="C20" s="19">
        <v>45017</v>
      </c>
      <c r="D20" s="60">
        <f>273522-454</f>
        <v>273068</v>
      </c>
      <c r="E20" s="61">
        <f>346235.28-114218</f>
        <v>232017.28000000003</v>
      </c>
      <c r="F20" s="20">
        <f t="shared" si="0"/>
        <v>41050.719999999972</v>
      </c>
      <c r="G20" s="21">
        <f t="shared" si="1"/>
        <v>1071656.58</v>
      </c>
      <c r="I20" s="89">
        <v>45017</v>
      </c>
      <c r="J20" s="85">
        <v>114218</v>
      </c>
      <c r="K20" s="85">
        <v>114218</v>
      </c>
      <c r="L20" s="88">
        <f t="shared" si="2"/>
        <v>0</v>
      </c>
      <c r="M20" s="88">
        <f t="shared" si="3"/>
        <v>0</v>
      </c>
    </row>
    <row r="21" spans="2:13" x14ac:dyDescent="0.2">
      <c r="B21" s="8">
        <v>6</v>
      </c>
      <c r="C21" s="19">
        <v>45047</v>
      </c>
      <c r="D21" s="60">
        <f>282781-443</f>
        <v>282338</v>
      </c>
      <c r="E21" s="61">
        <f>437036.52-123951</f>
        <v>313085.52</v>
      </c>
      <c r="F21" s="20">
        <f t="shared" si="0"/>
        <v>-30747.520000000019</v>
      </c>
      <c r="G21" s="21">
        <f t="shared" si="1"/>
        <v>1040909.06</v>
      </c>
      <c r="I21" s="89">
        <v>45047</v>
      </c>
      <c r="J21" s="85">
        <v>123951</v>
      </c>
      <c r="K21" s="90">
        <v>123951</v>
      </c>
      <c r="L21" s="88">
        <f t="shared" si="2"/>
        <v>0</v>
      </c>
      <c r="M21" s="88">
        <f>M20+L21</f>
        <v>0</v>
      </c>
    </row>
    <row r="22" spans="2:13" x14ac:dyDescent="0.2">
      <c r="B22" s="8">
        <v>7</v>
      </c>
      <c r="C22" s="19">
        <v>45078</v>
      </c>
      <c r="D22" s="60">
        <f>329095-527</f>
        <v>328568</v>
      </c>
      <c r="E22" s="61">
        <f>450147.9-128525</f>
        <v>321622.90000000002</v>
      </c>
      <c r="F22" s="22">
        <f t="shared" si="0"/>
        <v>6945.0999999999767</v>
      </c>
      <c r="G22" s="23">
        <f t="shared" si="1"/>
        <v>1047854.16</v>
      </c>
      <c r="I22" s="91">
        <v>45078</v>
      </c>
      <c r="J22" s="90">
        <v>128525</v>
      </c>
      <c r="K22" s="106">
        <v>128525</v>
      </c>
      <c r="L22" s="93">
        <f t="shared" si="2"/>
        <v>0</v>
      </c>
      <c r="M22" s="93">
        <f t="shared" si="3"/>
        <v>0</v>
      </c>
    </row>
    <row r="23" spans="2:13" x14ac:dyDescent="0.2">
      <c r="B23" s="24" t="s">
        <v>28</v>
      </c>
      <c r="C23" s="17">
        <v>45108</v>
      </c>
      <c r="D23" s="58">
        <f>431889-547</f>
        <v>431342</v>
      </c>
      <c r="E23" s="59">
        <f>575144.89-144323</f>
        <v>430821.89</v>
      </c>
      <c r="F23" s="18">
        <f t="shared" si="0"/>
        <v>520.10999999998603</v>
      </c>
      <c r="G23" s="16">
        <f t="shared" si="1"/>
        <v>1048374.27</v>
      </c>
      <c r="I23" s="89">
        <v>45108</v>
      </c>
      <c r="J23" s="94">
        <v>144323</v>
      </c>
      <c r="K23" s="107">
        <v>144323</v>
      </c>
      <c r="L23" s="88">
        <f t="shared" si="2"/>
        <v>0</v>
      </c>
      <c r="M23" s="88">
        <f>M22+L23</f>
        <v>0</v>
      </c>
    </row>
    <row r="24" spans="2:13" x14ac:dyDescent="0.2">
      <c r="B24" s="25" t="s">
        <v>29</v>
      </c>
      <c r="C24" s="26">
        <v>45139</v>
      </c>
      <c r="D24" s="62">
        <f>446016-0</f>
        <v>446016</v>
      </c>
      <c r="E24" s="63">
        <f>573164.18-161575</f>
        <v>411589.18000000005</v>
      </c>
      <c r="F24" s="22">
        <f t="shared" si="0"/>
        <v>34426.819999999949</v>
      </c>
      <c r="G24" s="23">
        <f t="shared" si="1"/>
        <v>1082801.0899999999</v>
      </c>
      <c r="I24" s="91">
        <v>45139</v>
      </c>
      <c r="J24" s="96">
        <v>161575</v>
      </c>
      <c r="K24" s="96">
        <v>161575</v>
      </c>
      <c r="L24" s="93">
        <f t="shared" si="2"/>
        <v>0</v>
      </c>
      <c r="M24" s="93">
        <f>M23+L24</f>
        <v>0</v>
      </c>
    </row>
    <row r="25" spans="2:13" x14ac:dyDescent="0.2">
      <c r="B25" s="9"/>
      <c r="C25" s="27" t="s">
        <v>70</v>
      </c>
      <c r="D25" s="28"/>
      <c r="E25" s="28"/>
      <c r="F25" s="28"/>
      <c r="G25" s="29"/>
      <c r="I25" s="97"/>
      <c r="J25" s="97"/>
      <c r="K25" s="97"/>
      <c r="L25" s="97"/>
      <c r="M25" s="97"/>
    </row>
    <row r="26" spans="2:13" x14ac:dyDescent="0.2">
      <c r="B26" s="6"/>
      <c r="C26" s="5"/>
      <c r="D26" s="5"/>
      <c r="E26" s="5"/>
      <c r="F26" s="5"/>
      <c r="G26" s="16"/>
      <c r="I26" s="98" t="s">
        <v>97</v>
      </c>
      <c r="J26" s="99"/>
      <c r="K26" s="99"/>
      <c r="L26" s="100"/>
      <c r="M26" s="101">
        <f>M22</f>
        <v>0</v>
      </c>
    </row>
    <row r="27" spans="2:13" x14ac:dyDescent="0.2">
      <c r="B27" s="8"/>
      <c r="C27" s="7"/>
      <c r="D27" s="8" t="s">
        <v>30</v>
      </c>
      <c r="E27" s="8" t="s">
        <v>31</v>
      </c>
      <c r="F27" s="7"/>
      <c r="G27" s="21"/>
      <c r="I27" s="97"/>
      <c r="J27" s="97"/>
      <c r="K27" s="97"/>
      <c r="L27" s="97"/>
      <c r="M27" s="102"/>
    </row>
    <row r="28" spans="2:13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98" t="s">
        <v>98</v>
      </c>
      <c r="J28" s="99"/>
      <c r="K28" s="99"/>
      <c r="L28" s="100"/>
      <c r="M28" s="101">
        <f>M26/6</f>
        <v>0</v>
      </c>
    </row>
    <row r="29" spans="2:13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13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13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13" x14ac:dyDescent="0.2">
      <c r="B32" s="24" t="s">
        <v>43</v>
      </c>
      <c r="C32" s="5" t="s">
        <v>82</v>
      </c>
      <c r="D32" s="16">
        <f>-G13</f>
        <v>-768192</v>
      </c>
      <c r="E32" s="16">
        <f>D64</f>
        <v>0</v>
      </c>
      <c r="F32" s="5"/>
      <c r="G32" s="16">
        <f t="shared" ref="G32:G34" si="4">D32+E32</f>
        <v>-768192</v>
      </c>
    </row>
    <row r="33" spans="2:7" x14ac:dyDescent="0.2">
      <c r="B33" s="31" t="s">
        <v>44</v>
      </c>
      <c r="C33" s="66" t="s">
        <v>84</v>
      </c>
      <c r="D33" s="21">
        <f>-G14</f>
        <v>-130670.82999999996</v>
      </c>
      <c r="E33" s="21">
        <v>0</v>
      </c>
      <c r="F33" s="7"/>
      <c r="G33" s="21">
        <f t="shared" si="4"/>
        <v>-130670.82999999996</v>
      </c>
    </row>
    <row r="34" spans="2:7" x14ac:dyDescent="0.2">
      <c r="B34" s="31" t="s">
        <v>45</v>
      </c>
      <c r="C34" s="49" t="s">
        <v>87</v>
      </c>
      <c r="D34" s="23">
        <f>-G15</f>
        <v>-194499.80000000016</v>
      </c>
      <c r="E34" s="23">
        <v>0</v>
      </c>
      <c r="F34" s="32"/>
      <c r="G34" s="23">
        <f t="shared" si="4"/>
        <v>-194499.80000000016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-1093362.6300000001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-45508.470000000088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-7584.7450000000144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1093362.6300000001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-1093362.6300000001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-45508.470000000088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-45508.47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-8.7311491370201111E-11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115"/>
      <c r="G56" s="115"/>
    </row>
    <row r="57" spans="2:7" x14ac:dyDescent="0.2">
      <c r="B57" s="36"/>
      <c r="C57" s="9" t="s">
        <v>17</v>
      </c>
      <c r="D57" s="9" t="s">
        <v>104</v>
      </c>
      <c r="E57" s="31"/>
      <c r="F57" s="115"/>
      <c r="G57" s="115"/>
    </row>
    <row r="58" spans="2:7" x14ac:dyDescent="0.2">
      <c r="C58" s="17">
        <v>44927</v>
      </c>
      <c r="D58" s="50">
        <v>0</v>
      </c>
      <c r="E58" s="116"/>
      <c r="F58" s="71"/>
      <c r="G58" s="71"/>
    </row>
    <row r="59" spans="2:7" x14ac:dyDescent="0.2">
      <c r="C59" s="19">
        <v>44958</v>
      </c>
      <c r="D59" s="51">
        <v>0</v>
      </c>
      <c r="E59" s="116"/>
      <c r="F59" s="71"/>
      <c r="G59" s="71"/>
    </row>
    <row r="60" spans="2:7" x14ac:dyDescent="0.2">
      <c r="C60" s="19">
        <v>44986</v>
      </c>
      <c r="D60" s="51">
        <v>0</v>
      </c>
      <c r="E60" s="116"/>
      <c r="F60" s="71"/>
      <c r="G60" s="71"/>
    </row>
    <row r="61" spans="2:7" x14ac:dyDescent="0.2">
      <c r="C61" s="19">
        <v>45017</v>
      </c>
      <c r="D61" s="51">
        <v>0</v>
      </c>
      <c r="E61" s="116"/>
      <c r="F61" s="71"/>
      <c r="G61" s="71"/>
    </row>
    <row r="62" spans="2:7" x14ac:dyDescent="0.2">
      <c r="C62" s="19">
        <v>45047</v>
      </c>
      <c r="D62" s="51">
        <v>0</v>
      </c>
      <c r="E62" s="116"/>
      <c r="F62" s="71"/>
      <c r="G62" s="71"/>
    </row>
    <row r="63" spans="2:7" x14ac:dyDescent="0.2">
      <c r="C63" s="19">
        <v>45078</v>
      </c>
      <c r="D63" s="52">
        <v>0</v>
      </c>
      <c r="E63" s="116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A4" s="55"/>
      <c r="B4" s="118" t="s">
        <v>101</v>
      </c>
      <c r="C4" s="119"/>
      <c r="D4" s="119"/>
      <c r="E4" s="119"/>
      <c r="F4" s="119"/>
      <c r="G4" s="120"/>
      <c r="I4" s="127" t="s">
        <v>102</v>
      </c>
      <c r="J4" s="128"/>
      <c r="K4" s="128"/>
      <c r="L4" s="128"/>
      <c r="M4" s="129"/>
    </row>
    <row r="5" spans="1:13" ht="14.25" customHeight="1" x14ac:dyDescent="0.2">
      <c r="A5" s="55"/>
      <c r="B5" s="121"/>
      <c r="C5" s="122"/>
      <c r="D5" s="122"/>
      <c r="E5" s="122"/>
      <c r="F5" s="122"/>
      <c r="G5" s="123"/>
      <c r="I5" s="130"/>
      <c r="J5" s="131"/>
      <c r="K5" s="131"/>
      <c r="L5" s="131"/>
      <c r="M5" s="132"/>
    </row>
    <row r="6" spans="1:13" ht="15" x14ac:dyDescent="0.2">
      <c r="A6" s="55"/>
      <c r="I6" s="74"/>
      <c r="J6" s="74"/>
      <c r="K6" s="74"/>
      <c r="L6" s="74"/>
      <c r="M6" s="74"/>
    </row>
    <row r="7" spans="1:13" x14ac:dyDescent="0.2">
      <c r="A7" s="55"/>
      <c r="B7" s="5"/>
      <c r="C7" s="5"/>
      <c r="D7" s="5"/>
      <c r="E7" s="6" t="s">
        <v>7</v>
      </c>
      <c r="F7" s="5"/>
      <c r="G7" s="5"/>
    </row>
    <row r="8" spans="1:13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5" t="s">
        <v>103</v>
      </c>
      <c r="J11" s="74"/>
      <c r="K11" s="74"/>
      <c r="L11" s="74"/>
      <c r="M11" s="74"/>
    </row>
    <row r="12" spans="1:13" ht="15" x14ac:dyDescent="0.2">
      <c r="A12" s="55"/>
      <c r="B12" s="6">
        <v>1</v>
      </c>
      <c r="C12" s="124" t="s">
        <v>22</v>
      </c>
      <c r="D12" s="125"/>
      <c r="E12" s="125"/>
      <c r="F12" s="125"/>
      <c r="G12" s="126"/>
      <c r="I12" s="74"/>
      <c r="J12" s="74"/>
      <c r="K12" s="74"/>
      <c r="L12" s="74"/>
      <c r="M12" s="74"/>
    </row>
    <row r="13" spans="1:13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768192</v>
      </c>
      <c r="I13" s="77"/>
      <c r="J13" s="77"/>
      <c r="K13" s="78" t="s">
        <v>7</v>
      </c>
      <c r="L13" s="77"/>
      <c r="M13" s="77"/>
    </row>
    <row r="14" spans="1:13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130670.82999999996</v>
      </c>
      <c r="I14" s="79"/>
      <c r="J14" s="80" t="s">
        <v>8</v>
      </c>
      <c r="K14" s="80" t="s">
        <v>9</v>
      </c>
      <c r="L14" s="79"/>
      <c r="M14" s="79"/>
    </row>
    <row r="15" spans="1:13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194499.80000000016</v>
      </c>
      <c r="I15" s="79"/>
      <c r="J15" s="80" t="s">
        <v>10</v>
      </c>
      <c r="K15" s="80" t="s">
        <v>11</v>
      </c>
      <c r="L15" s="80" t="s">
        <v>12</v>
      </c>
      <c r="M15" s="80" t="s">
        <v>13</v>
      </c>
    </row>
    <row r="16" spans="1:13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-45508.470000000088</v>
      </c>
      <c r="I16" s="81"/>
      <c r="J16" s="81" t="s">
        <v>14</v>
      </c>
      <c r="K16" s="81" t="s">
        <v>14</v>
      </c>
      <c r="L16" s="81" t="s">
        <v>15</v>
      </c>
      <c r="M16" s="81" t="s">
        <v>15</v>
      </c>
    </row>
    <row r="17" spans="1:13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1047854.16</v>
      </c>
      <c r="I17" s="82" t="s">
        <v>17</v>
      </c>
      <c r="J17" s="83" t="s">
        <v>96</v>
      </c>
      <c r="K17" s="83" t="s">
        <v>18</v>
      </c>
      <c r="L17" s="83" t="s">
        <v>19</v>
      </c>
      <c r="M17" s="83" t="s">
        <v>20</v>
      </c>
    </row>
    <row r="18" spans="1:13" x14ac:dyDescent="0.2">
      <c r="A18" s="55"/>
      <c r="B18" s="8">
        <v>2</v>
      </c>
      <c r="C18" s="17">
        <v>45108</v>
      </c>
      <c r="D18" s="58">
        <f>431889-547</f>
        <v>431342</v>
      </c>
      <c r="E18" s="59">
        <f>575144.89-144323</f>
        <v>430821.89</v>
      </c>
      <c r="F18" s="18">
        <f t="shared" ref="F18:F25" si="0">D18-E18</f>
        <v>520.10999999998603</v>
      </c>
      <c r="G18" s="16">
        <f t="shared" ref="G18:G25" si="1">G17+F18</f>
        <v>1048374.27</v>
      </c>
      <c r="I18" s="84">
        <v>45108</v>
      </c>
      <c r="J18" s="85">
        <v>144323</v>
      </c>
      <c r="K18" s="108">
        <v>144323</v>
      </c>
      <c r="L18" s="87">
        <f t="shared" ref="L18:L25" si="2">J18-K18</f>
        <v>0</v>
      </c>
      <c r="M18" s="88">
        <f>L18</f>
        <v>0</v>
      </c>
    </row>
    <row r="19" spans="1:13" x14ac:dyDescent="0.2">
      <c r="A19" s="55"/>
      <c r="B19" s="8">
        <v>3</v>
      </c>
      <c r="C19" s="19">
        <v>45139</v>
      </c>
      <c r="D19" s="60">
        <f>446016-0</f>
        <v>446016</v>
      </c>
      <c r="E19" s="61">
        <f>573164.18-161575</f>
        <v>411589.18000000005</v>
      </c>
      <c r="F19" s="20">
        <f t="shared" si="0"/>
        <v>34426.819999999949</v>
      </c>
      <c r="G19" s="21">
        <f t="shared" si="1"/>
        <v>1082801.0899999999</v>
      </c>
      <c r="I19" s="89">
        <v>45139</v>
      </c>
      <c r="J19" s="85">
        <v>161575</v>
      </c>
      <c r="K19" s="86">
        <v>161575</v>
      </c>
      <c r="L19" s="88">
        <f t="shared" si="2"/>
        <v>0</v>
      </c>
      <c r="M19" s="88">
        <f>M18+L19</f>
        <v>0</v>
      </c>
    </row>
    <row r="20" spans="1:13" x14ac:dyDescent="0.2">
      <c r="A20" s="55"/>
      <c r="B20" s="8">
        <v>4</v>
      </c>
      <c r="C20" s="19">
        <v>45170</v>
      </c>
      <c r="D20" s="60">
        <f>294214-0</f>
        <v>294214</v>
      </c>
      <c r="E20" s="61">
        <f>353926.5</f>
        <v>353926.5</v>
      </c>
      <c r="F20" s="20">
        <f t="shared" si="0"/>
        <v>-59712.5</v>
      </c>
      <c r="G20" s="21">
        <f t="shared" si="1"/>
        <v>1023088.5899999999</v>
      </c>
      <c r="I20" s="89">
        <v>45170</v>
      </c>
      <c r="J20" s="85">
        <v>115672</v>
      </c>
      <c r="K20" s="85">
        <v>115672</v>
      </c>
      <c r="L20" s="88">
        <f t="shared" si="2"/>
        <v>0</v>
      </c>
      <c r="M20" s="88">
        <f t="shared" ref="M20:M23" si="3">M19+L20</f>
        <v>0</v>
      </c>
    </row>
    <row r="21" spans="1:13" x14ac:dyDescent="0.2">
      <c r="A21" s="55"/>
      <c r="B21" s="8">
        <v>5</v>
      </c>
      <c r="C21" s="19">
        <v>45200</v>
      </c>
      <c r="D21" s="60">
        <f>258027-422</f>
        <v>257605</v>
      </c>
      <c r="E21" s="61">
        <f>225583.5</f>
        <v>225583.5</v>
      </c>
      <c r="F21" s="20">
        <f t="shared" si="0"/>
        <v>32021.5</v>
      </c>
      <c r="G21" s="21">
        <f t="shared" si="1"/>
        <v>1055110.0899999999</v>
      </c>
      <c r="I21" s="89">
        <v>45200</v>
      </c>
      <c r="J21" s="85">
        <v>109154</v>
      </c>
      <c r="K21" s="85">
        <v>109154</v>
      </c>
      <c r="L21" s="88">
        <f t="shared" si="2"/>
        <v>0</v>
      </c>
      <c r="M21" s="88">
        <f t="shared" si="3"/>
        <v>0</v>
      </c>
    </row>
    <row r="22" spans="1:13" x14ac:dyDescent="0.2">
      <c r="A22" s="55"/>
      <c r="B22" s="8">
        <v>6</v>
      </c>
      <c r="C22" s="19">
        <v>45231</v>
      </c>
      <c r="D22" s="60">
        <f>355812-508</f>
        <v>355304</v>
      </c>
      <c r="E22" s="61">
        <f>301314.32</f>
        <v>301314.32</v>
      </c>
      <c r="F22" s="20">
        <f t="shared" si="0"/>
        <v>53989.679999999993</v>
      </c>
      <c r="G22" s="21">
        <f t="shared" si="1"/>
        <v>1109099.7699999998</v>
      </c>
      <c r="I22" s="89">
        <v>45231</v>
      </c>
      <c r="J22" s="85">
        <v>114593</v>
      </c>
      <c r="K22" s="90">
        <v>114593</v>
      </c>
      <c r="L22" s="88">
        <f t="shared" si="2"/>
        <v>0</v>
      </c>
      <c r="M22" s="88">
        <f>M21+L22</f>
        <v>0</v>
      </c>
    </row>
    <row r="23" spans="1:13" x14ac:dyDescent="0.2">
      <c r="A23" s="55"/>
      <c r="B23" s="8">
        <v>7</v>
      </c>
      <c r="C23" s="19">
        <v>45261</v>
      </c>
      <c r="D23" s="60">
        <f>405779-523</f>
        <v>405256</v>
      </c>
      <c r="E23" s="61">
        <v>466344.18</v>
      </c>
      <c r="F23" s="22">
        <f t="shared" si="0"/>
        <v>-61088.179999999993</v>
      </c>
      <c r="G23" s="23">
        <f t="shared" si="1"/>
        <v>1048011.5899999999</v>
      </c>
      <c r="I23" s="91">
        <v>45261</v>
      </c>
      <c r="J23" s="90">
        <v>116127</v>
      </c>
      <c r="K23" s="106">
        <v>116127</v>
      </c>
      <c r="L23" s="93">
        <f t="shared" si="2"/>
        <v>0</v>
      </c>
      <c r="M23" s="93">
        <f t="shared" si="3"/>
        <v>0</v>
      </c>
    </row>
    <row r="24" spans="1:13" x14ac:dyDescent="0.2">
      <c r="A24" s="55"/>
      <c r="B24" s="24" t="s">
        <v>28</v>
      </c>
      <c r="C24" s="17">
        <v>45292</v>
      </c>
      <c r="D24" s="58">
        <f>510851-486</f>
        <v>510365</v>
      </c>
      <c r="E24" s="59">
        <v>534201.92000000004</v>
      </c>
      <c r="F24" s="18">
        <f t="shared" si="0"/>
        <v>-23836.920000000042</v>
      </c>
      <c r="G24" s="16">
        <f t="shared" si="1"/>
        <v>1024174.6699999998</v>
      </c>
      <c r="I24" s="89">
        <v>45292</v>
      </c>
      <c r="J24" s="94">
        <v>116313</v>
      </c>
      <c r="K24" s="107">
        <v>116313</v>
      </c>
      <c r="L24" s="88">
        <f t="shared" si="2"/>
        <v>0</v>
      </c>
      <c r="M24" s="88">
        <f>M23+L24</f>
        <v>0</v>
      </c>
    </row>
    <row r="25" spans="1:13" x14ac:dyDescent="0.2">
      <c r="A25" s="55"/>
      <c r="B25" s="25" t="s">
        <v>29</v>
      </c>
      <c r="C25" s="26">
        <v>45323</v>
      </c>
      <c r="D25" s="62">
        <f>359631-452</f>
        <v>359179</v>
      </c>
      <c r="E25" s="63">
        <v>351105.85</v>
      </c>
      <c r="F25" s="22">
        <f t="shared" si="0"/>
        <v>8073.1500000000233</v>
      </c>
      <c r="G25" s="23">
        <f t="shared" si="1"/>
        <v>1032247.8199999998</v>
      </c>
      <c r="I25" s="91">
        <v>45323</v>
      </c>
      <c r="J25" s="96">
        <v>109763</v>
      </c>
      <c r="K25" s="96">
        <v>109763</v>
      </c>
      <c r="L25" s="93">
        <f t="shared" si="2"/>
        <v>0</v>
      </c>
      <c r="M25" s="93">
        <f>M24+L25</f>
        <v>0</v>
      </c>
    </row>
    <row r="26" spans="1:13" x14ac:dyDescent="0.2">
      <c r="A26" s="55"/>
      <c r="B26" s="9"/>
      <c r="C26" s="27" t="s">
        <v>74</v>
      </c>
      <c r="D26" s="28"/>
      <c r="E26" s="28"/>
      <c r="F26" s="28"/>
      <c r="G26" s="29"/>
      <c r="I26" s="97"/>
      <c r="J26" s="97"/>
      <c r="K26" s="97"/>
      <c r="L26" s="97"/>
      <c r="M26" s="97"/>
    </row>
    <row r="27" spans="1:13" x14ac:dyDescent="0.2">
      <c r="A27" s="55"/>
      <c r="B27" s="6"/>
      <c r="C27" s="5"/>
      <c r="D27" s="5"/>
      <c r="E27" s="5"/>
      <c r="F27" s="5"/>
      <c r="G27" s="16"/>
      <c r="I27" s="98" t="s">
        <v>97</v>
      </c>
      <c r="J27" s="99"/>
      <c r="K27" s="99"/>
      <c r="L27" s="100"/>
      <c r="M27" s="101">
        <f>M23</f>
        <v>0</v>
      </c>
    </row>
    <row r="28" spans="1:13" x14ac:dyDescent="0.2">
      <c r="A28" s="55"/>
      <c r="B28" s="8"/>
      <c r="C28" s="7"/>
      <c r="D28" s="8" t="s">
        <v>30</v>
      </c>
      <c r="E28" s="8" t="s">
        <v>31</v>
      </c>
      <c r="F28" s="7"/>
      <c r="G28" s="21"/>
      <c r="I28" s="97"/>
      <c r="J28" s="97"/>
      <c r="K28" s="97"/>
      <c r="L28" s="97"/>
      <c r="M28" s="102"/>
    </row>
    <row r="29" spans="1:13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98" t="s">
        <v>98</v>
      </c>
      <c r="J29" s="99"/>
      <c r="K29" s="99"/>
      <c r="L29" s="100"/>
      <c r="M29" s="101">
        <f>M27/6</f>
        <v>0</v>
      </c>
    </row>
    <row r="30" spans="1:13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13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13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-768192</v>
      </c>
      <c r="E33" s="68">
        <f>D66</f>
        <v>0</v>
      </c>
      <c r="F33" s="43"/>
      <c r="G33" s="69">
        <f t="shared" ref="G33:G36" si="4">D33+E33</f>
        <v>-768192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-130670.82999999996</v>
      </c>
      <c r="E34" s="71">
        <v>0</v>
      </c>
      <c r="F34" s="44"/>
      <c r="G34" s="45">
        <f t="shared" si="4"/>
        <v>-130670.82999999996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-194499.80000000016</v>
      </c>
      <c r="E35" s="71">
        <v>0</v>
      </c>
      <c r="F35" s="44"/>
      <c r="G35" s="45">
        <f t="shared" si="4"/>
        <v>-194499.80000000016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45508.470000000088</v>
      </c>
      <c r="E36" s="73">
        <v>0</v>
      </c>
      <c r="F36" s="48"/>
      <c r="G36" s="46">
        <f t="shared" si="4"/>
        <v>45508.470000000088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-1047854.16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157.42999999981839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26.238333333303064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1047854.16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-1047854.16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157.42999999981839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157.42999999993481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-1.1641532182693481E-10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115"/>
      <c r="G58" s="115"/>
    </row>
    <row r="59" spans="1:7" x14ac:dyDescent="0.2">
      <c r="B59" s="36"/>
      <c r="C59" s="9" t="s">
        <v>17</v>
      </c>
      <c r="D59" s="9" t="s">
        <v>104</v>
      </c>
      <c r="E59" s="31"/>
      <c r="F59" s="115"/>
      <c r="G59" s="115"/>
    </row>
    <row r="60" spans="1:7" x14ac:dyDescent="0.2">
      <c r="C60" s="17">
        <v>45108</v>
      </c>
      <c r="D60" s="50">
        <v>0</v>
      </c>
      <c r="E60" s="116"/>
      <c r="F60" s="71"/>
      <c r="G60" s="71"/>
    </row>
    <row r="61" spans="1:7" x14ac:dyDescent="0.2">
      <c r="C61" s="19">
        <v>45139</v>
      </c>
      <c r="D61" s="51">
        <v>0</v>
      </c>
      <c r="E61" s="116"/>
      <c r="F61" s="71"/>
      <c r="G61" s="71"/>
    </row>
    <row r="62" spans="1:7" x14ac:dyDescent="0.2">
      <c r="C62" s="19">
        <v>45170</v>
      </c>
      <c r="D62" s="51">
        <v>0</v>
      </c>
      <c r="E62" s="116"/>
      <c r="F62" s="71"/>
      <c r="G62" s="71"/>
    </row>
    <row r="63" spans="1:7" x14ac:dyDescent="0.2">
      <c r="C63" s="19">
        <v>45200</v>
      </c>
      <c r="D63" s="51">
        <v>0</v>
      </c>
      <c r="E63" s="116"/>
      <c r="F63" s="71"/>
      <c r="G63" s="71"/>
    </row>
    <row r="64" spans="1:7" x14ac:dyDescent="0.2">
      <c r="C64" s="19">
        <v>45231</v>
      </c>
      <c r="D64" s="51">
        <v>0</v>
      </c>
      <c r="E64" s="116"/>
      <c r="F64" s="71"/>
      <c r="G64" s="71"/>
    </row>
    <row r="65" spans="3:7" x14ac:dyDescent="0.2">
      <c r="C65" s="19">
        <v>45261</v>
      </c>
      <c r="D65" s="52">
        <v>0</v>
      </c>
      <c r="E65" s="116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8" t="s">
        <v>101</v>
      </c>
      <c r="C4" s="119"/>
      <c r="D4" s="119"/>
      <c r="E4" s="119"/>
      <c r="F4" s="119"/>
      <c r="G4" s="120"/>
      <c r="I4" s="127" t="s">
        <v>102</v>
      </c>
      <c r="J4" s="128"/>
      <c r="K4" s="128"/>
      <c r="L4" s="128"/>
      <c r="M4" s="129"/>
    </row>
    <row r="5" spans="1:13" ht="14.25" customHeight="1" x14ac:dyDescent="0.2">
      <c r="B5" s="121"/>
      <c r="C5" s="122"/>
      <c r="D5" s="122"/>
      <c r="E5" s="122"/>
      <c r="F5" s="122"/>
      <c r="G5" s="123"/>
      <c r="I5" s="130"/>
      <c r="J5" s="131"/>
      <c r="K5" s="131"/>
      <c r="L5" s="131"/>
      <c r="M5" s="132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24" t="s">
        <v>22</v>
      </c>
      <c r="D12" s="125"/>
      <c r="E12" s="125"/>
      <c r="F12" s="125"/>
      <c r="G12" s="126"/>
      <c r="I12" s="75" t="s">
        <v>103</v>
      </c>
      <c r="J12" s="74"/>
      <c r="K12" s="74"/>
      <c r="L12" s="74"/>
      <c r="M12" s="74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768192</v>
      </c>
      <c r="I13" s="74"/>
      <c r="J13" s="74"/>
      <c r="K13" s="74"/>
      <c r="L13" s="74"/>
      <c r="M13" s="74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130670.82999999996</v>
      </c>
      <c r="I14" s="77"/>
      <c r="J14" s="77"/>
      <c r="K14" s="78" t="s">
        <v>7</v>
      </c>
      <c r="L14" s="77"/>
      <c r="M14" s="77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194499.80000000016</v>
      </c>
      <c r="I15" s="79"/>
      <c r="J15" s="80" t="s">
        <v>8</v>
      </c>
      <c r="K15" s="80" t="s">
        <v>9</v>
      </c>
      <c r="L15" s="79"/>
      <c r="M15" s="79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-45508.470000000088</v>
      </c>
      <c r="I16" s="79"/>
      <c r="J16" s="80" t="s">
        <v>10</v>
      </c>
      <c r="K16" s="80" t="s">
        <v>11</v>
      </c>
      <c r="L16" s="80" t="s">
        <v>12</v>
      </c>
      <c r="M16" s="80" t="s">
        <v>13</v>
      </c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157.42999999981839</v>
      </c>
      <c r="I17" s="81"/>
      <c r="J17" s="81" t="s">
        <v>14</v>
      </c>
      <c r="K17" s="81" t="s">
        <v>14</v>
      </c>
      <c r="L17" s="81" t="s">
        <v>15</v>
      </c>
      <c r="M17" s="81" t="s">
        <v>15</v>
      </c>
    </row>
    <row r="18" spans="2:13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1048011.5899999999</v>
      </c>
      <c r="I18" s="82" t="s">
        <v>17</v>
      </c>
      <c r="J18" s="83" t="s">
        <v>96</v>
      </c>
      <c r="K18" s="83" t="s">
        <v>18</v>
      </c>
      <c r="L18" s="83" t="s">
        <v>19</v>
      </c>
      <c r="M18" s="83" t="s">
        <v>20</v>
      </c>
    </row>
    <row r="19" spans="2:13" x14ac:dyDescent="0.2">
      <c r="B19" s="8">
        <v>2</v>
      </c>
      <c r="C19" s="17">
        <v>45292</v>
      </c>
      <c r="D19" s="58">
        <f>510851-486</f>
        <v>510365</v>
      </c>
      <c r="E19" s="59">
        <v>534201.92000000004</v>
      </c>
      <c r="F19" s="18">
        <f t="shared" ref="F19:F26" si="0">D19-E19</f>
        <v>-23836.920000000042</v>
      </c>
      <c r="G19" s="16">
        <f t="shared" ref="G19:G26" si="1">G18+F19</f>
        <v>1024174.6699999998</v>
      </c>
      <c r="I19" s="84">
        <v>45292</v>
      </c>
      <c r="J19" s="85">
        <v>116313</v>
      </c>
      <c r="K19" s="108">
        <v>116313</v>
      </c>
      <c r="L19" s="87">
        <f t="shared" ref="L19:L26" si="2">J19-K19</f>
        <v>0</v>
      </c>
      <c r="M19" s="88">
        <f>L19</f>
        <v>0</v>
      </c>
    </row>
    <row r="20" spans="2:13" x14ac:dyDescent="0.2">
      <c r="B20" s="8">
        <v>3</v>
      </c>
      <c r="C20" s="19">
        <v>45323</v>
      </c>
      <c r="D20" s="60">
        <f>359631-452</f>
        <v>359179</v>
      </c>
      <c r="E20" s="61">
        <v>351105.85</v>
      </c>
      <c r="F20" s="20">
        <f t="shared" si="0"/>
        <v>8073.1500000000233</v>
      </c>
      <c r="G20" s="21">
        <f t="shared" si="1"/>
        <v>1032247.8199999998</v>
      </c>
      <c r="I20" s="89">
        <v>45323</v>
      </c>
      <c r="J20" s="85">
        <v>109763</v>
      </c>
      <c r="K20" s="86">
        <v>109763</v>
      </c>
      <c r="L20" s="88">
        <f t="shared" si="2"/>
        <v>0</v>
      </c>
      <c r="M20" s="88">
        <f>M19+L20</f>
        <v>0</v>
      </c>
    </row>
    <row r="21" spans="2:13" x14ac:dyDescent="0.2">
      <c r="B21" s="8">
        <v>4</v>
      </c>
      <c r="C21" s="19">
        <v>45352</v>
      </c>
      <c r="D21" s="60">
        <f>218843-323</f>
        <v>218520</v>
      </c>
      <c r="E21" s="61">
        <v>304174.69</v>
      </c>
      <c r="F21" s="20">
        <f t="shared" si="0"/>
        <v>-85654.69</v>
      </c>
      <c r="G21" s="21">
        <f t="shared" si="1"/>
        <v>946593.12999999989</v>
      </c>
      <c r="I21" s="89">
        <v>45352</v>
      </c>
      <c r="J21" s="85">
        <v>76630</v>
      </c>
      <c r="K21" s="85">
        <v>76630</v>
      </c>
      <c r="L21" s="88">
        <f t="shared" si="2"/>
        <v>0</v>
      </c>
      <c r="M21" s="88">
        <f t="shared" ref="M21:M24" si="3">M20+L21</f>
        <v>0</v>
      </c>
    </row>
    <row r="22" spans="2:13" x14ac:dyDescent="0.2">
      <c r="B22" s="8">
        <v>5</v>
      </c>
      <c r="C22" s="19">
        <v>45383</v>
      </c>
      <c r="D22" s="60">
        <f>224183-441</f>
        <v>223742</v>
      </c>
      <c r="E22" s="61">
        <v>183309.48</v>
      </c>
      <c r="F22" s="20">
        <f t="shared" si="0"/>
        <v>40432.51999999999</v>
      </c>
      <c r="G22" s="21">
        <f t="shared" si="1"/>
        <v>987025.64999999991</v>
      </c>
      <c r="I22" s="89">
        <v>45383</v>
      </c>
      <c r="J22" s="85">
        <v>88240</v>
      </c>
      <c r="K22" s="85">
        <v>88240</v>
      </c>
      <c r="L22" s="88">
        <f t="shared" si="2"/>
        <v>0</v>
      </c>
      <c r="M22" s="88">
        <f t="shared" si="3"/>
        <v>0</v>
      </c>
    </row>
    <row r="23" spans="2:13" x14ac:dyDescent="0.2">
      <c r="B23" s="8">
        <v>6</v>
      </c>
      <c r="C23" s="19">
        <v>45413</v>
      </c>
      <c r="D23" s="60">
        <f>325056-539</f>
        <v>324517</v>
      </c>
      <c r="E23" s="61">
        <v>429013.97</v>
      </c>
      <c r="F23" s="20">
        <f t="shared" si="0"/>
        <v>-104496.96999999997</v>
      </c>
      <c r="G23" s="21">
        <f t="shared" si="1"/>
        <v>882528.67999999993</v>
      </c>
      <c r="I23" s="89">
        <v>45413</v>
      </c>
      <c r="J23" s="85">
        <v>127813</v>
      </c>
      <c r="K23" s="90">
        <v>127813</v>
      </c>
      <c r="L23" s="88">
        <f t="shared" si="2"/>
        <v>0</v>
      </c>
      <c r="M23" s="88">
        <f>M22+L23</f>
        <v>0</v>
      </c>
    </row>
    <row r="24" spans="2:13" x14ac:dyDescent="0.2">
      <c r="B24" s="8">
        <v>7</v>
      </c>
      <c r="C24" s="19">
        <v>45444</v>
      </c>
      <c r="D24" s="60">
        <f>472064-650</f>
        <v>471414</v>
      </c>
      <c r="E24" s="61">
        <v>556652.04</v>
      </c>
      <c r="F24" s="22">
        <f t="shared" si="0"/>
        <v>-85238.040000000037</v>
      </c>
      <c r="G24" s="23">
        <f t="shared" si="1"/>
        <v>797290.6399999999</v>
      </c>
      <c r="I24" s="91">
        <v>45444</v>
      </c>
      <c r="J24" s="90">
        <v>157564</v>
      </c>
      <c r="K24" s="106">
        <v>157564</v>
      </c>
      <c r="L24" s="93">
        <f t="shared" si="2"/>
        <v>0</v>
      </c>
      <c r="M24" s="93">
        <f t="shared" si="3"/>
        <v>0</v>
      </c>
    </row>
    <row r="25" spans="2:13" x14ac:dyDescent="0.2">
      <c r="B25" s="24" t="s">
        <v>28</v>
      </c>
      <c r="C25" s="17">
        <v>45474</v>
      </c>
      <c r="D25" s="58">
        <f>445874-0</f>
        <v>445874</v>
      </c>
      <c r="E25" s="59">
        <v>705732.87</v>
      </c>
      <c r="F25" s="18">
        <f t="shared" si="0"/>
        <v>-259858.87</v>
      </c>
      <c r="G25" s="16">
        <f t="shared" si="1"/>
        <v>537431.7699999999</v>
      </c>
      <c r="I25" s="89">
        <v>45474</v>
      </c>
      <c r="J25" s="94">
        <v>144335</v>
      </c>
      <c r="K25" s="107">
        <v>144335</v>
      </c>
      <c r="L25" s="88">
        <f t="shared" si="2"/>
        <v>0</v>
      </c>
      <c r="M25" s="88">
        <f>M24+L25</f>
        <v>0</v>
      </c>
    </row>
    <row r="26" spans="2:13" x14ac:dyDescent="0.2">
      <c r="B26" s="25" t="s">
        <v>29</v>
      </c>
      <c r="C26" s="26">
        <v>45505</v>
      </c>
      <c r="D26" s="62">
        <f>389804-0</f>
        <v>389804</v>
      </c>
      <c r="E26" s="110">
        <f>563502.54+1462</f>
        <v>564964.54</v>
      </c>
      <c r="F26" s="22">
        <f t="shared" si="0"/>
        <v>-175160.54000000004</v>
      </c>
      <c r="G26" s="23">
        <f t="shared" si="1"/>
        <v>362271.22999999986</v>
      </c>
      <c r="I26" s="91">
        <v>45505</v>
      </c>
      <c r="J26" s="96">
        <v>136434</v>
      </c>
      <c r="K26" s="109">
        <f>137895.6-1462</f>
        <v>136433.60000000001</v>
      </c>
      <c r="L26" s="93">
        <f t="shared" si="2"/>
        <v>0.39999999999417923</v>
      </c>
      <c r="M26" s="93">
        <f>M25+L26</f>
        <v>0.39999999999417923</v>
      </c>
    </row>
    <row r="27" spans="2:13" x14ac:dyDescent="0.2">
      <c r="B27" s="9"/>
      <c r="C27" s="27" t="s">
        <v>76</v>
      </c>
      <c r="D27" s="28"/>
      <c r="E27" s="28"/>
      <c r="F27" s="28"/>
      <c r="G27" s="29"/>
      <c r="I27" s="97"/>
      <c r="J27" s="97"/>
      <c r="K27" s="97"/>
      <c r="L27" s="97"/>
      <c r="M27" s="97"/>
    </row>
    <row r="28" spans="2:13" x14ac:dyDescent="0.2">
      <c r="B28" s="6"/>
      <c r="C28" s="5"/>
      <c r="D28" s="5"/>
      <c r="E28" s="5"/>
      <c r="F28" s="5"/>
      <c r="G28" s="16"/>
      <c r="I28" s="98" t="s">
        <v>97</v>
      </c>
      <c r="J28" s="99"/>
      <c r="K28" s="99"/>
      <c r="L28" s="100"/>
      <c r="M28" s="101">
        <f>M24</f>
        <v>0</v>
      </c>
    </row>
    <row r="29" spans="2:13" x14ac:dyDescent="0.2">
      <c r="B29" s="8"/>
      <c r="C29" s="7"/>
      <c r="D29" s="8" t="s">
        <v>30</v>
      </c>
      <c r="E29" s="8" t="s">
        <v>31</v>
      </c>
      <c r="F29" s="7"/>
      <c r="G29" s="21"/>
      <c r="I29" s="97"/>
      <c r="J29" s="97"/>
      <c r="K29" s="97"/>
      <c r="L29" s="97"/>
      <c r="M29" s="102"/>
    </row>
    <row r="30" spans="2:13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98" t="s">
        <v>98</v>
      </c>
      <c r="J30" s="99"/>
      <c r="K30" s="99"/>
      <c r="L30" s="100"/>
      <c r="M30" s="101">
        <f>M28/6</f>
        <v>0</v>
      </c>
    </row>
    <row r="31" spans="2:13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13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-768192</v>
      </c>
      <c r="E34" s="16">
        <f>D68</f>
        <v>512128</v>
      </c>
      <c r="F34" s="5"/>
      <c r="G34" s="16">
        <f t="shared" ref="G34:G38" si="4">D34+E34</f>
        <v>-256064</v>
      </c>
    </row>
    <row r="35" spans="2:7" x14ac:dyDescent="0.2">
      <c r="B35" s="31" t="s">
        <v>44</v>
      </c>
      <c r="C35" s="7" t="s">
        <v>84</v>
      </c>
      <c r="D35" s="21">
        <f>-G14</f>
        <v>-130670.82999999996</v>
      </c>
      <c r="E35" s="21">
        <v>0</v>
      </c>
      <c r="F35" s="7"/>
      <c r="G35" s="21">
        <f t="shared" si="4"/>
        <v>-130670.82999999996</v>
      </c>
    </row>
    <row r="36" spans="2:7" x14ac:dyDescent="0.2">
      <c r="B36" s="31" t="s">
        <v>45</v>
      </c>
      <c r="C36" s="7" t="s">
        <v>87</v>
      </c>
      <c r="D36" s="21">
        <f>-G15</f>
        <v>-194499.80000000016</v>
      </c>
      <c r="E36" s="21">
        <v>0</v>
      </c>
      <c r="F36" s="7"/>
      <c r="G36" s="21">
        <f t="shared" si="4"/>
        <v>-194499.80000000016</v>
      </c>
    </row>
    <row r="37" spans="2:7" x14ac:dyDescent="0.2">
      <c r="B37" s="31" t="s">
        <v>46</v>
      </c>
      <c r="C37" s="7" t="s">
        <v>91</v>
      </c>
      <c r="D37" s="21">
        <f>-G16</f>
        <v>45508.470000000088</v>
      </c>
      <c r="E37" s="21">
        <v>0</v>
      </c>
      <c r="F37" s="7"/>
      <c r="G37" s="21">
        <f t="shared" si="4"/>
        <v>45508.470000000088</v>
      </c>
    </row>
    <row r="38" spans="2:7" x14ac:dyDescent="0.2">
      <c r="B38" s="31" t="s">
        <v>59</v>
      </c>
      <c r="C38" s="32" t="s">
        <v>93</v>
      </c>
      <c r="D38" s="23">
        <f>-G17</f>
        <v>-157.42999999981839</v>
      </c>
      <c r="E38" s="23">
        <v>0</v>
      </c>
      <c r="F38" s="32"/>
      <c r="G38" s="23">
        <f t="shared" si="4"/>
        <v>-157.42999999981839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-535883.58999999985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261407.05000000005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43567.841666666674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1048011.5899999999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-535883.58999999985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512128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261407.05000000005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-250720.95000000004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512128.00000000012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115"/>
      <c r="G60" s="115"/>
    </row>
    <row r="61" spans="2:7" x14ac:dyDescent="0.2">
      <c r="B61" s="36"/>
      <c r="C61" s="9" t="s">
        <v>17</v>
      </c>
      <c r="D61" s="9" t="s">
        <v>104</v>
      </c>
      <c r="E61" s="31"/>
      <c r="F61" s="115"/>
      <c r="G61" s="115"/>
    </row>
    <row r="62" spans="2:7" x14ac:dyDescent="0.2">
      <c r="C62" s="17">
        <v>45292</v>
      </c>
      <c r="D62" s="50">
        <v>0</v>
      </c>
      <c r="E62" s="116"/>
      <c r="F62" s="71"/>
      <c r="G62" s="71"/>
    </row>
    <row r="63" spans="2:7" x14ac:dyDescent="0.2">
      <c r="C63" s="19">
        <v>45323</v>
      </c>
      <c r="D63" s="51">
        <v>0</v>
      </c>
      <c r="E63" s="116"/>
      <c r="F63" s="71"/>
      <c r="G63" s="71"/>
    </row>
    <row r="64" spans="2:7" x14ac:dyDescent="0.2">
      <c r="C64" s="19">
        <v>45352</v>
      </c>
      <c r="D64" s="51">
        <v>128032</v>
      </c>
      <c r="E64" s="116"/>
      <c r="F64" s="71"/>
      <c r="G64" s="71"/>
    </row>
    <row r="65" spans="2:7" x14ac:dyDescent="0.2">
      <c r="C65" s="19">
        <v>45383</v>
      </c>
      <c r="D65" s="51">
        <v>128032</v>
      </c>
      <c r="E65" s="116"/>
      <c r="F65" s="71"/>
      <c r="G65" s="71"/>
    </row>
    <row r="66" spans="2:7" x14ac:dyDescent="0.2">
      <c r="C66" s="19">
        <v>45413</v>
      </c>
      <c r="D66" s="51">
        <v>128032</v>
      </c>
      <c r="E66" s="116"/>
      <c r="F66" s="71"/>
      <c r="G66" s="71"/>
    </row>
    <row r="67" spans="2:7" x14ac:dyDescent="0.2">
      <c r="C67" s="19">
        <v>45444</v>
      </c>
      <c r="D67" s="52">
        <v>128032</v>
      </c>
      <c r="E67" s="116"/>
      <c r="F67" s="71"/>
      <c r="G67" s="71"/>
    </row>
    <row r="68" spans="2:7" x14ac:dyDescent="0.2">
      <c r="C68" s="53" t="s">
        <v>57</v>
      </c>
      <c r="D68" s="39">
        <f>SUM(D62:D67)</f>
        <v>512128</v>
      </c>
      <c r="E68" s="20"/>
      <c r="F68" s="71"/>
      <c r="G68" s="71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8" t="s">
        <v>101</v>
      </c>
      <c r="C4" s="119"/>
      <c r="D4" s="119"/>
      <c r="E4" s="119"/>
      <c r="F4" s="119"/>
      <c r="G4" s="120"/>
      <c r="I4" s="127" t="s">
        <v>102</v>
      </c>
      <c r="J4" s="128"/>
      <c r="K4" s="128"/>
      <c r="L4" s="128"/>
      <c r="M4" s="129"/>
    </row>
    <row r="5" spans="1:13" ht="14.25" customHeight="1" x14ac:dyDescent="0.2">
      <c r="B5" s="121"/>
      <c r="C5" s="122"/>
      <c r="D5" s="122"/>
      <c r="E5" s="122"/>
      <c r="F5" s="122"/>
      <c r="G5" s="123"/>
      <c r="I5" s="130"/>
      <c r="J5" s="131"/>
      <c r="K5" s="131"/>
      <c r="L5" s="131"/>
      <c r="M5" s="132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x14ac:dyDescent="0.2">
      <c r="B12" s="6">
        <v>1</v>
      </c>
      <c r="C12" s="124" t="s">
        <v>22</v>
      </c>
      <c r="D12" s="125"/>
      <c r="E12" s="125"/>
      <c r="F12" s="125"/>
      <c r="G12" s="126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256064</v>
      </c>
      <c r="I13" s="75" t="s">
        <v>103</v>
      </c>
      <c r="J13" s="74"/>
      <c r="K13" s="74"/>
      <c r="L13" s="74"/>
      <c r="M13" s="74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130670.82999999996</v>
      </c>
      <c r="I14" s="74"/>
      <c r="J14" s="74"/>
      <c r="K14" s="74"/>
      <c r="L14" s="74"/>
      <c r="M14" s="74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194499.80000000016</v>
      </c>
      <c r="I15" s="77"/>
      <c r="J15" s="77"/>
      <c r="K15" s="78" t="s">
        <v>7</v>
      </c>
      <c r="L15" s="77"/>
      <c r="M15" s="77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-45508.470000000088</v>
      </c>
      <c r="I16" s="79"/>
      <c r="J16" s="80" t="s">
        <v>8</v>
      </c>
      <c r="K16" s="80" t="s">
        <v>9</v>
      </c>
      <c r="L16" s="79"/>
      <c r="M16" s="79"/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157.42999999981839</v>
      </c>
      <c r="I17" s="79"/>
      <c r="J17" s="80" t="s">
        <v>10</v>
      </c>
      <c r="K17" s="80" t="s">
        <v>11</v>
      </c>
      <c r="L17" s="80" t="s">
        <v>12</v>
      </c>
      <c r="M17" s="80" t="s">
        <v>13</v>
      </c>
    </row>
    <row r="18" spans="2:13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261407.05000000005</v>
      </c>
      <c r="I18" s="81"/>
      <c r="J18" s="81" t="s">
        <v>14</v>
      </c>
      <c r="K18" s="81" t="s">
        <v>14</v>
      </c>
      <c r="L18" s="81" t="s">
        <v>15</v>
      </c>
      <c r="M18" s="81" t="s">
        <v>15</v>
      </c>
    </row>
    <row r="19" spans="2:13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797290.6399999999</v>
      </c>
      <c r="I19" s="82" t="s">
        <v>17</v>
      </c>
      <c r="J19" s="83" t="s">
        <v>96</v>
      </c>
      <c r="K19" s="83" t="s">
        <v>18</v>
      </c>
      <c r="L19" s="83" t="s">
        <v>19</v>
      </c>
      <c r="M19" s="83" t="s">
        <v>20</v>
      </c>
    </row>
    <row r="20" spans="2:13" x14ac:dyDescent="0.2">
      <c r="B20" s="8">
        <v>2</v>
      </c>
      <c r="C20" s="17">
        <v>45474</v>
      </c>
      <c r="D20" s="58">
        <f>445874-0</f>
        <v>445874</v>
      </c>
      <c r="E20" s="59">
        <v>705732.87</v>
      </c>
      <c r="F20" s="18">
        <f t="shared" ref="F20:F27" si="0">D20-E20</f>
        <v>-259858.87</v>
      </c>
      <c r="G20" s="16">
        <f t="shared" ref="G20:G27" si="1">G19+F20</f>
        <v>537431.7699999999</v>
      </c>
      <c r="I20" s="84">
        <v>45474</v>
      </c>
      <c r="J20" s="85">
        <v>144335</v>
      </c>
      <c r="K20" s="108">
        <v>144335</v>
      </c>
      <c r="L20" s="87">
        <f t="shared" ref="L20:L27" si="2">J20-K20</f>
        <v>0</v>
      </c>
      <c r="M20" s="88">
        <f>L20</f>
        <v>0</v>
      </c>
    </row>
    <row r="21" spans="2:13" x14ac:dyDescent="0.2">
      <c r="B21" s="8">
        <v>3</v>
      </c>
      <c r="C21" s="19">
        <v>45505</v>
      </c>
      <c r="D21" s="60">
        <f>389804-0</f>
        <v>389804</v>
      </c>
      <c r="E21" s="61">
        <f>563502.54+1462</f>
        <v>564964.54</v>
      </c>
      <c r="F21" s="20">
        <f t="shared" si="0"/>
        <v>-175160.54000000004</v>
      </c>
      <c r="G21" s="21">
        <f t="shared" si="1"/>
        <v>362271.22999999986</v>
      </c>
      <c r="I21" s="89">
        <v>45505</v>
      </c>
      <c r="J21" s="85">
        <v>136434</v>
      </c>
      <c r="K21" s="111">
        <f>137895.6-1462</f>
        <v>136433.60000000001</v>
      </c>
      <c r="L21" s="88">
        <f t="shared" si="2"/>
        <v>0.39999999999417923</v>
      </c>
      <c r="M21" s="88">
        <f>M20+L21</f>
        <v>0.39999999999417923</v>
      </c>
    </row>
    <row r="22" spans="2:13" x14ac:dyDescent="0.2">
      <c r="B22" s="8">
        <v>4</v>
      </c>
      <c r="C22" s="19">
        <v>45536</v>
      </c>
      <c r="D22" s="60">
        <f>378683-0</f>
        <v>378683</v>
      </c>
      <c r="E22" s="61">
        <f>491629.99</f>
        <v>491629.99</v>
      </c>
      <c r="F22" s="20">
        <f t="shared" si="0"/>
        <v>-112946.98999999999</v>
      </c>
      <c r="G22" s="21">
        <f t="shared" si="1"/>
        <v>249324.23999999987</v>
      </c>
      <c r="I22" s="89">
        <v>45536</v>
      </c>
      <c r="J22" s="85">
        <f>153409</f>
        <v>153409</v>
      </c>
      <c r="K22" s="85">
        <f>153408+1</f>
        <v>153409</v>
      </c>
      <c r="L22" s="88">
        <f t="shared" si="2"/>
        <v>0</v>
      </c>
      <c r="M22" s="88">
        <f t="shared" ref="M22:M25" si="3">M21+L22</f>
        <v>0.39999999999417923</v>
      </c>
    </row>
    <row r="23" spans="2:13" x14ac:dyDescent="0.2">
      <c r="B23" s="8">
        <v>5</v>
      </c>
      <c r="C23" s="19">
        <v>45566</v>
      </c>
      <c r="D23" s="60">
        <f>281876-546</f>
        <v>281330</v>
      </c>
      <c r="E23" s="61">
        <v>441635.41</v>
      </c>
      <c r="F23" s="20">
        <f t="shared" si="0"/>
        <v>-160305.40999999997</v>
      </c>
      <c r="G23" s="21">
        <f t="shared" si="1"/>
        <v>89018.8299999999</v>
      </c>
      <c r="I23" s="89">
        <v>45566</v>
      </c>
      <c r="J23" s="85">
        <v>125575</v>
      </c>
      <c r="K23" s="85">
        <v>125575</v>
      </c>
      <c r="L23" s="88">
        <f t="shared" si="2"/>
        <v>0</v>
      </c>
      <c r="M23" s="88">
        <f t="shared" si="3"/>
        <v>0.39999999999417923</v>
      </c>
    </row>
    <row r="24" spans="2:13" x14ac:dyDescent="0.2">
      <c r="B24" s="8">
        <v>6</v>
      </c>
      <c r="C24" s="19">
        <v>45597</v>
      </c>
      <c r="D24" s="60">
        <f>342460-581</f>
        <v>341879</v>
      </c>
      <c r="E24" s="61">
        <v>371935.34</v>
      </c>
      <c r="F24" s="20">
        <f t="shared" si="0"/>
        <v>-30056.340000000026</v>
      </c>
      <c r="G24" s="21">
        <f t="shared" si="1"/>
        <v>58962.489999999874</v>
      </c>
      <c r="I24" s="89">
        <v>45597</v>
      </c>
      <c r="J24" s="85">
        <v>118833</v>
      </c>
      <c r="K24" s="90">
        <v>118833</v>
      </c>
      <c r="L24" s="88">
        <f t="shared" si="2"/>
        <v>0</v>
      </c>
      <c r="M24" s="88">
        <f>M23+L24</f>
        <v>0.39999999999417923</v>
      </c>
    </row>
    <row r="25" spans="2:13" x14ac:dyDescent="0.2">
      <c r="B25" s="8">
        <v>7</v>
      </c>
      <c r="C25" s="19">
        <v>45627</v>
      </c>
      <c r="D25" s="60">
        <f>538190-687</f>
        <v>537503</v>
      </c>
      <c r="E25" s="61">
        <f>511614.29-1</f>
        <v>511613.29</v>
      </c>
      <c r="F25" s="22">
        <f t="shared" si="0"/>
        <v>25889.710000000021</v>
      </c>
      <c r="G25" s="23">
        <f t="shared" si="1"/>
        <v>84852.199999999895</v>
      </c>
      <c r="I25" s="91">
        <v>45627</v>
      </c>
      <c r="J25" s="90">
        <f>142276</f>
        <v>142276</v>
      </c>
      <c r="K25" s="106">
        <f>142275+1</f>
        <v>142276</v>
      </c>
      <c r="L25" s="93">
        <f t="shared" si="2"/>
        <v>0</v>
      </c>
      <c r="M25" s="93">
        <f t="shared" si="3"/>
        <v>0.39999999999417923</v>
      </c>
    </row>
    <row r="26" spans="2:13" x14ac:dyDescent="0.2">
      <c r="B26" s="24" t="s">
        <v>28</v>
      </c>
      <c r="C26" s="17">
        <v>45658</v>
      </c>
      <c r="D26" s="58">
        <f>698939-629</f>
        <v>698310</v>
      </c>
      <c r="E26" s="113">
        <f>711280.53-3870</f>
        <v>707410.53</v>
      </c>
      <c r="F26" s="18">
        <f t="shared" si="0"/>
        <v>-9100.5300000000279</v>
      </c>
      <c r="G26" s="16">
        <f t="shared" si="1"/>
        <v>75751.669999999867</v>
      </c>
      <c r="I26" s="89">
        <v>45658</v>
      </c>
      <c r="J26" s="94">
        <f>160364</f>
        <v>160364</v>
      </c>
      <c r="K26" s="114">
        <f>156494+3870</f>
        <v>160364</v>
      </c>
      <c r="L26" s="88">
        <f t="shared" si="2"/>
        <v>0</v>
      </c>
      <c r="M26" s="88">
        <f>M25+L26</f>
        <v>0.39999999999417923</v>
      </c>
    </row>
    <row r="27" spans="2:13" x14ac:dyDescent="0.2">
      <c r="B27" s="25" t="s">
        <v>29</v>
      </c>
      <c r="C27" s="26">
        <v>45689</v>
      </c>
      <c r="D27" s="62">
        <f>498158-476</f>
        <v>497682</v>
      </c>
      <c r="E27" s="54">
        <v>0</v>
      </c>
      <c r="F27" s="22">
        <f t="shared" si="0"/>
        <v>497682</v>
      </c>
      <c r="G27" s="23">
        <f t="shared" si="1"/>
        <v>573433.66999999993</v>
      </c>
      <c r="I27" s="91">
        <v>45689</v>
      </c>
      <c r="J27" s="96">
        <f>143574</f>
        <v>143574</v>
      </c>
      <c r="K27" s="112">
        <v>0</v>
      </c>
      <c r="L27" s="93">
        <f t="shared" si="2"/>
        <v>143574</v>
      </c>
      <c r="M27" s="93">
        <f>M26+L27</f>
        <v>143574.39999999999</v>
      </c>
    </row>
    <row r="28" spans="2:13" x14ac:dyDescent="0.2">
      <c r="B28" s="9"/>
      <c r="C28" s="27" t="s">
        <v>79</v>
      </c>
      <c r="D28" s="28"/>
      <c r="E28" s="28"/>
      <c r="F28" s="28"/>
      <c r="G28" s="29"/>
      <c r="I28" s="97"/>
      <c r="J28" s="97"/>
      <c r="K28" s="97"/>
      <c r="L28" s="97"/>
      <c r="M28" s="97"/>
    </row>
    <row r="29" spans="2:13" x14ac:dyDescent="0.2">
      <c r="B29" s="6"/>
      <c r="C29" s="5"/>
      <c r="D29" s="5"/>
      <c r="E29" s="5"/>
      <c r="F29" s="5"/>
      <c r="G29" s="16"/>
      <c r="I29" s="98" t="s">
        <v>97</v>
      </c>
      <c r="J29" s="99"/>
      <c r="K29" s="99"/>
      <c r="L29" s="100"/>
      <c r="M29" s="101">
        <f>M25</f>
        <v>0.39999999999417923</v>
      </c>
    </row>
    <row r="30" spans="2:13" x14ac:dyDescent="0.2">
      <c r="B30" s="8"/>
      <c r="C30" s="7"/>
      <c r="D30" s="8" t="s">
        <v>30</v>
      </c>
      <c r="E30" s="8" t="s">
        <v>31</v>
      </c>
      <c r="F30" s="7"/>
      <c r="G30" s="21"/>
      <c r="I30" s="97"/>
      <c r="J30" s="97"/>
      <c r="K30" s="97"/>
      <c r="L30" s="97"/>
      <c r="M30" s="102"/>
    </row>
    <row r="31" spans="2:13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98" t="s">
        <v>98</v>
      </c>
      <c r="J31" s="99"/>
      <c r="K31" s="99"/>
      <c r="L31" s="100"/>
      <c r="M31" s="101">
        <f>M29/6</f>
        <v>6.6666666665696539E-2</v>
      </c>
    </row>
    <row r="32" spans="2:13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4">-G13</f>
        <v>-256064</v>
      </c>
      <c r="E35" s="16">
        <f>D70</f>
        <v>256064</v>
      </c>
      <c r="F35" s="5"/>
      <c r="G35" s="16">
        <f t="shared" ref="G35:G40" si="5">D35+E35</f>
        <v>0</v>
      </c>
    </row>
    <row r="36" spans="2:7" x14ac:dyDescent="0.2">
      <c r="B36" s="31" t="s">
        <v>44</v>
      </c>
      <c r="C36" s="7" t="s">
        <v>84</v>
      </c>
      <c r="D36" s="21">
        <f t="shared" si="4"/>
        <v>-130670.82999999996</v>
      </c>
      <c r="E36" s="21">
        <v>0</v>
      </c>
      <c r="F36" s="7"/>
      <c r="G36" s="21">
        <f t="shared" si="5"/>
        <v>-130670.82999999996</v>
      </c>
    </row>
    <row r="37" spans="2:7" x14ac:dyDescent="0.2">
      <c r="B37" s="31" t="s">
        <v>45</v>
      </c>
      <c r="C37" s="7" t="s">
        <v>87</v>
      </c>
      <c r="D37" s="21">
        <f t="shared" si="4"/>
        <v>-194499.80000000016</v>
      </c>
      <c r="E37" s="21">
        <v>0</v>
      </c>
      <c r="F37" s="7"/>
      <c r="G37" s="21">
        <f t="shared" si="5"/>
        <v>-194499.80000000016</v>
      </c>
    </row>
    <row r="38" spans="2:7" x14ac:dyDescent="0.2">
      <c r="B38" s="31" t="s">
        <v>46</v>
      </c>
      <c r="C38" s="7" t="s">
        <v>91</v>
      </c>
      <c r="D38" s="21">
        <f t="shared" si="4"/>
        <v>45508.470000000088</v>
      </c>
      <c r="E38" s="21">
        <v>0</v>
      </c>
      <c r="F38" s="7"/>
      <c r="G38" s="21">
        <f t="shared" si="5"/>
        <v>45508.470000000088</v>
      </c>
    </row>
    <row r="39" spans="2:7" x14ac:dyDescent="0.2">
      <c r="B39" s="31" t="s">
        <v>59</v>
      </c>
      <c r="C39" s="7" t="s">
        <v>93</v>
      </c>
      <c r="D39" s="21">
        <f t="shared" si="4"/>
        <v>-157.42999999981839</v>
      </c>
      <c r="E39" s="21">
        <v>0</v>
      </c>
      <c r="F39" s="7"/>
      <c r="G39" s="21">
        <f t="shared" si="5"/>
        <v>-157.42999999981839</v>
      </c>
    </row>
    <row r="40" spans="2:7" x14ac:dyDescent="0.2">
      <c r="B40" s="31" t="s">
        <v>66</v>
      </c>
      <c r="C40" s="32" t="s">
        <v>95</v>
      </c>
      <c r="D40" s="23">
        <f t="shared" si="4"/>
        <v>-261407.05000000005</v>
      </c>
      <c r="E40" s="23">
        <v>0</v>
      </c>
      <c r="F40" s="32"/>
      <c r="G40" s="23">
        <f t="shared" si="5"/>
        <v>-261407.05000000005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-541226.6399999999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-456374.44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-76062.406666666662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797290.6399999999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-541226.6399999999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256064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-456374.44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-712438.44000000018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256064.00000000017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115"/>
      <c r="G62" s="115"/>
    </row>
    <row r="63" spans="2:7" x14ac:dyDescent="0.2">
      <c r="B63" s="36"/>
      <c r="C63" s="9" t="s">
        <v>17</v>
      </c>
      <c r="D63" s="9" t="s">
        <v>104</v>
      </c>
      <c r="E63" s="31"/>
      <c r="F63" s="115"/>
      <c r="G63" s="115"/>
    </row>
    <row r="64" spans="2:7" x14ac:dyDescent="0.2">
      <c r="C64" s="17">
        <v>45474</v>
      </c>
      <c r="D64" s="50">
        <v>128032</v>
      </c>
      <c r="E64" s="116"/>
      <c r="F64" s="71"/>
      <c r="G64" s="71"/>
    </row>
    <row r="65" spans="3:7" x14ac:dyDescent="0.2">
      <c r="C65" s="19">
        <v>45505</v>
      </c>
      <c r="D65" s="51">
        <v>128032</v>
      </c>
      <c r="E65" s="116"/>
      <c r="F65" s="71"/>
      <c r="G65" s="71"/>
    </row>
    <row r="66" spans="3:7" x14ac:dyDescent="0.2">
      <c r="C66" s="19">
        <v>45536</v>
      </c>
      <c r="D66" s="51">
        <v>0</v>
      </c>
      <c r="E66" s="116"/>
      <c r="F66" s="71"/>
      <c r="G66" s="71"/>
    </row>
    <row r="67" spans="3:7" x14ac:dyDescent="0.2">
      <c r="C67" s="19">
        <v>45566</v>
      </c>
      <c r="D67" s="51">
        <v>0</v>
      </c>
      <c r="E67" s="116"/>
      <c r="F67" s="71"/>
      <c r="G67" s="71"/>
    </row>
    <row r="68" spans="3:7" x14ac:dyDescent="0.2">
      <c r="C68" s="19">
        <v>45597</v>
      </c>
      <c r="D68" s="51">
        <v>0</v>
      </c>
      <c r="E68" s="116"/>
      <c r="F68" s="71"/>
      <c r="G68" s="71"/>
    </row>
    <row r="69" spans="3:7" x14ac:dyDescent="0.2">
      <c r="C69" s="19">
        <v>45627</v>
      </c>
      <c r="D69" s="52">
        <v>0</v>
      </c>
      <c r="E69" s="116"/>
      <c r="F69" s="71"/>
      <c r="G69" s="71"/>
    </row>
    <row r="70" spans="3:7" x14ac:dyDescent="0.2">
      <c r="C70" s="53" t="s">
        <v>57</v>
      </c>
      <c r="D70" s="39">
        <f>SUM(D64:D69)</f>
        <v>256064</v>
      </c>
      <c r="E70" s="20"/>
      <c r="F70" s="71"/>
      <c r="G70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2025-03-31T01:08:32Z</dcterms:modified>
</cp:coreProperties>
</file>