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9C9E36A6-4D4B-4CCD-BE21-CEF4763927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8" l="1"/>
  <c r="D24" i="8"/>
  <c r="D23" i="8"/>
  <c r="E21" i="3" l="1"/>
  <c r="K21" i="3"/>
  <c r="K20" i="3"/>
  <c r="E20" i="3"/>
  <c r="D70" i="8"/>
  <c r="E35" i="8" s="1"/>
  <c r="D68" i="6"/>
  <c r="E34" i="6" s="1"/>
  <c r="D66" i="5"/>
  <c r="E33" i="5" s="1"/>
  <c r="D64" i="4"/>
  <c r="D62" i="3"/>
  <c r="D26" i="8" l="1"/>
  <c r="D22" i="8"/>
  <c r="D21" i="8"/>
  <c r="D20" i="8"/>
  <c r="K26" i="8"/>
  <c r="J27" i="8"/>
  <c r="D27" i="8"/>
  <c r="K23" i="3" l="1"/>
  <c r="J23" i="3"/>
  <c r="L23" i="3" s="1"/>
  <c r="K22" i="3"/>
  <c r="J22" i="3"/>
  <c r="L22" i="3" s="1"/>
  <c r="J21" i="3"/>
  <c r="J20" i="3"/>
  <c r="L19" i="3"/>
  <c r="L18" i="3"/>
  <c r="L17" i="3"/>
  <c r="L16" i="3"/>
  <c r="M16" i="3" s="1"/>
  <c r="M17" i="3" s="1"/>
  <c r="M18" i="3" s="1"/>
  <c r="M19" i="3" s="1"/>
  <c r="L20" i="3" l="1"/>
  <c r="M20" i="3" s="1"/>
  <c r="L21" i="3"/>
  <c r="M21" i="3" l="1"/>
  <c r="M25" i="3" s="1"/>
  <c r="M27" i="3" s="1"/>
  <c r="K24" i="4"/>
  <c r="J24" i="4"/>
  <c r="L24" i="4" s="1"/>
  <c r="K23" i="4"/>
  <c r="J23" i="4"/>
  <c r="K22" i="4"/>
  <c r="J22" i="4"/>
  <c r="L22" i="4" s="1"/>
  <c r="K21" i="4"/>
  <c r="J21" i="4"/>
  <c r="L21" i="4" s="1"/>
  <c r="K20" i="4"/>
  <c r="J20" i="4"/>
  <c r="L20" i="4" s="1"/>
  <c r="K19" i="4"/>
  <c r="J19" i="4"/>
  <c r="K18" i="4"/>
  <c r="J18" i="4"/>
  <c r="L18" i="4" s="1"/>
  <c r="K17" i="4"/>
  <c r="J17" i="4"/>
  <c r="L17" i="4" s="1"/>
  <c r="M17" i="4" s="1"/>
  <c r="M18" i="4" s="1"/>
  <c r="L23" i="4" l="1"/>
  <c r="L19" i="4"/>
  <c r="M22" i="3"/>
  <c r="M23" i="3" s="1"/>
  <c r="M19" i="4"/>
  <c r="M20" i="4" s="1"/>
  <c r="M21" i="4" s="1"/>
  <c r="M22" i="4" s="1"/>
  <c r="M26" i="4" s="1"/>
  <c r="M28" i="4" s="1"/>
  <c r="M23" i="4" l="1"/>
  <c r="M24" i="4" s="1"/>
  <c r="K25" i="5"/>
  <c r="J25" i="5"/>
  <c r="L25" i="5" s="1"/>
  <c r="K24" i="5"/>
  <c r="J24" i="5"/>
  <c r="L24" i="5" s="1"/>
  <c r="K23" i="5"/>
  <c r="J23" i="5"/>
  <c r="L23" i="5" s="1"/>
  <c r="K22" i="5"/>
  <c r="J22" i="5"/>
  <c r="K21" i="5"/>
  <c r="L21" i="5" s="1"/>
  <c r="J21" i="5"/>
  <c r="K20" i="5"/>
  <c r="J20" i="5"/>
  <c r="K19" i="5"/>
  <c r="J19" i="5"/>
  <c r="L19" i="5" s="1"/>
  <c r="K18" i="5"/>
  <c r="J18" i="5"/>
  <c r="L18" i="5" s="1"/>
  <c r="M18" i="5" s="1"/>
  <c r="M19" i="5" s="1"/>
  <c r="L22" i="5" l="1"/>
  <c r="L20" i="5"/>
  <c r="M20" i="5" s="1"/>
  <c r="M21" i="5" s="1"/>
  <c r="M22" i="5" s="1"/>
  <c r="M23" i="5" s="1"/>
  <c r="M24" i="5" s="1"/>
  <c r="M25" i="5" s="1"/>
  <c r="M27" i="5" l="1"/>
  <c r="M29" i="5" s="1"/>
  <c r="K26" i="6" l="1"/>
  <c r="J26" i="6"/>
  <c r="L26" i="6" s="1"/>
  <c r="K25" i="6"/>
  <c r="J25" i="6"/>
  <c r="L25" i="6" s="1"/>
  <c r="K24" i="6"/>
  <c r="J24" i="6"/>
  <c r="L24" i="6" s="1"/>
  <c r="K23" i="6"/>
  <c r="J23" i="6"/>
  <c r="L23" i="6" s="1"/>
  <c r="K22" i="6"/>
  <c r="J22" i="6"/>
  <c r="L22" i="6" s="1"/>
  <c r="K21" i="6"/>
  <c r="J21" i="6"/>
  <c r="L21" i="6" s="1"/>
  <c r="K20" i="6"/>
  <c r="J20" i="6"/>
  <c r="L20" i="6" s="1"/>
  <c r="K19" i="6"/>
  <c r="J19" i="6"/>
  <c r="L19" i="6" s="1"/>
  <c r="M19" i="6" s="1"/>
  <c r="M20" i="6" s="1"/>
  <c r="M21" i="6" s="1"/>
  <c r="M22" i="6" l="1"/>
  <c r="M23" i="6" s="1"/>
  <c r="M24" i="6" s="1"/>
  <c r="M25" i="6" s="1"/>
  <c r="M26" i="6" s="1"/>
  <c r="M28" i="6" l="1"/>
  <c r="M30" i="6" s="1"/>
  <c r="J20" i="8"/>
  <c r="L20" i="8" s="1"/>
  <c r="M20" i="8" s="1"/>
  <c r="M21" i="8" s="1"/>
  <c r="K20" i="8"/>
  <c r="J21" i="8"/>
  <c r="K21" i="8"/>
  <c r="L21" i="8"/>
  <c r="J22" i="8"/>
  <c r="K22" i="8"/>
  <c r="L22" i="8"/>
  <c r="J23" i="8"/>
  <c r="L23" i="8" s="1"/>
  <c r="K23" i="8"/>
  <c r="J24" i="8"/>
  <c r="L24" i="8" s="1"/>
  <c r="K24" i="8"/>
  <c r="J25" i="8"/>
  <c r="K25" i="8"/>
  <c r="L25" i="8" s="1"/>
  <c r="J26" i="8"/>
  <c r="L26" i="8"/>
  <c r="L27" i="8"/>
  <c r="M22" i="8" l="1"/>
  <c r="M23" i="8"/>
  <c r="M24" i="8" s="1"/>
  <c r="M25" i="8" s="1"/>
  <c r="M29" i="8" l="1"/>
  <c r="M31" i="8" s="1"/>
  <c r="M26" i="8"/>
  <c r="M27" i="8" s="1"/>
  <c r="D26" i="6" l="1"/>
  <c r="D25" i="6"/>
  <c r="D24" i="6"/>
  <c r="E23" i="6"/>
  <c r="D23" i="6"/>
  <c r="D22" i="6"/>
  <c r="E21" i="6"/>
  <c r="D21" i="6"/>
  <c r="D20" i="6"/>
  <c r="D19" i="6"/>
  <c r="D25" i="5" l="1"/>
  <c r="D24" i="5"/>
  <c r="E23" i="5"/>
  <c r="D23" i="5"/>
  <c r="D22" i="5"/>
  <c r="D21" i="5"/>
  <c r="D20" i="5"/>
  <c r="D19" i="5"/>
  <c r="D18" i="5"/>
  <c r="D24" i="4" l="1"/>
  <c r="D23" i="4"/>
  <c r="D22" i="4"/>
  <c r="D21" i="4"/>
  <c r="E20" i="4"/>
  <c r="D20" i="4"/>
  <c r="E19" i="4"/>
  <c r="D19" i="4"/>
  <c r="D18" i="4"/>
  <c r="E17" i="4"/>
  <c r="D17" i="4"/>
  <c r="D23" i="3" l="1"/>
  <c r="E22" i="3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35" i="8" l="1"/>
  <c r="F27" i="8"/>
  <c r="F26" i="8"/>
  <c r="F25" i="8"/>
  <c r="F24" i="8"/>
  <c r="F23" i="8"/>
  <c r="F22" i="8"/>
  <c r="F21" i="8"/>
  <c r="F20" i="8"/>
  <c r="G35" i="8" l="1"/>
  <c r="G56" i="8"/>
  <c r="D34" i="6" l="1"/>
  <c r="F26" i="6"/>
  <c r="F25" i="6"/>
  <c r="F24" i="6"/>
  <c r="F23" i="6"/>
  <c r="F22" i="6"/>
  <c r="F21" i="6"/>
  <c r="F20" i="6"/>
  <c r="F19" i="6"/>
  <c r="G34" i="6" l="1"/>
  <c r="G54" i="6"/>
  <c r="D33" i="5" l="1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D60" i="2" l="1"/>
  <c r="E30" i="2" s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 s="1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41" i="3"/>
  <c r="G35" i="3" l="1"/>
  <c r="G15" i="5" s="1"/>
  <c r="G44" i="3"/>
  <c r="G15" i="6"/>
  <c r="G15" i="8"/>
  <c r="G22" i="3"/>
  <c r="G23" i="3" s="1"/>
  <c r="G15" i="4" l="1"/>
  <c r="D34" i="4" s="1"/>
  <c r="G34" i="4" s="1"/>
  <c r="G35" i="4" s="1"/>
  <c r="G44" i="4" s="1"/>
  <c r="D35" i="5"/>
  <c r="G35" i="5" s="1"/>
  <c r="D37" i="8"/>
  <c r="G37" i="8" s="1"/>
  <c r="D36" i="6"/>
  <c r="G36" i="6" s="1"/>
  <c r="E9" i="1"/>
  <c r="F9" i="1" s="1"/>
  <c r="G37" i="3"/>
  <c r="G46" i="3"/>
  <c r="G50" i="3" s="1"/>
  <c r="G16" i="4" l="1"/>
  <c r="G43" i="4" s="1"/>
  <c r="G46" i="4" s="1"/>
  <c r="G17" i="4" l="1"/>
  <c r="G18" i="4" s="1"/>
  <c r="G19" i="4" s="1"/>
  <c r="G20" i="4" s="1"/>
  <c r="G21" i="4" s="1"/>
  <c r="G22" i="4" s="1"/>
  <c r="G23" i="4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19" i="6"/>
  <c r="G20" i="6" s="1"/>
  <c r="G21" i="6" s="1"/>
  <c r="G22" i="6" s="1"/>
  <c r="G23" i="6" s="1"/>
  <c r="G24" i="6" s="1"/>
  <c r="G50" i="6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<sst xmlns="http://schemas.openxmlformats.org/spreadsheetml/2006/main" count="529" uniqueCount="106">
  <si>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</si>
  <si>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</si>
  <si>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</si>
  <si>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</si>
  <si>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</si>
  <si>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</si>
  <si>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</si>
  <si>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</si>
  <si>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</si>
  <si>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</si>
  <si>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</si>
  <si>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</si>
  <si>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</si>
  <si>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</si>
  <si>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</si>
  <si>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</si>
  <si>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</si>
  <si>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</si>
  <si>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</si>
  <si>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</si>
  <si>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</si>
  <si>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</si>
  <si>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</si>
  <si>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</si>
  <si>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</si>
  <si>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</si>
  <si>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</si>
  <si>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</si>
  <si>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</si>
  <si>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</si>
  <si>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</si>
  <si>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</si>
  <si>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</si>
  <si>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</si>
  <si>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</si>
  <si>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</si>
  <si>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</si>
  <si>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</si>
  <si>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</si>
  <si>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</si>
  <si>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</si>
  <si>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</si>
  <si>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</si>
  <si>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</si>
  <si>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</si>
  <si>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</si>
  <si>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</si>
  <si>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</si>
  <si>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</si>
  <si>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</si>
  <si>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</si>
  <si>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</si>
  <si>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</si>
  <si>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</si>
  <si>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</si>
  <si>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</si>
  <si>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</si>
  <si>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</si>
  <si>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</si>
  <si>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</si>
  <si>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</si>
  <si>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</si>
  <si>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</si>
  <si>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</si>
  <si>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</si>
  <si>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</si>
  <si>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</si>
  <si>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</si>
  <si>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</si>
  <si>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</si>
  <si>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</si>
  <si>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</si>
  <si>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</si>
  <si>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</si>
  <si>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</si>
  <si>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</si>
  <si>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</si>
  <si>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</si>
  <si>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</si>
  <si>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</si>
  <si>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</si>
  <si>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</si>
  <si>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</si>
  <si>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</si>
  <si>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</si>
  <si>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</si>
  <si>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</si>
  <si>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</si>
  <si>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</si>
  <si>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</si>
  <si>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</si>
  <si>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</si>
  <si>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</si>
  <si>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</si>
  <si>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</si>
  <si>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</si>
  <si>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(1)</t>
  </si>
  <si>
    <t>Cumulative 6-month (Over)/Under Recovery</t>
  </si>
  <si>
    <t>Monthly Recovery (per month for six months)</t>
  </si>
  <si>
    <t>DR1 Response2 - Jackson Surcharge Summary.xlsx</t>
  </si>
  <si>
    <t>Jackson Energy</t>
  </si>
  <si>
    <t>Jackson Energy - Calculation of (Over)/Under Recovery</t>
  </si>
  <si>
    <t>Jackson - Calculation of (Over)/Under Recovery - Direct Surcharge Pass-Throughs</t>
  </si>
  <si>
    <t>Rate B, Rate C</t>
  </si>
  <si>
    <t>2022-00141</t>
  </si>
  <si>
    <t>DR1 Response 2 - Jackson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</si>
</sst>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7" xfId="0" applyNumberFormat="1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3" fillId="0" borderId="0" xfId="1"/>
    <xf numFmtId="0" fontId="1" fillId="0" borderId="0" xfId="1" applyFont="1"/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17" fontId="5" fillId="0" borderId="9" xfId="2" applyNumberFormat="1" applyFont="1" applyFill="1" applyBorder="1"/>
    <xf numFmtId="5" fontId="2" fillId="3" borderId="10" xfId="3" applyNumberFormat="1" applyFont="1" applyFill="1" applyBorder="1" applyAlignment="1">
      <alignment horizontal="right"/>
    </xf>
    <xf numFmtId="5" fontId="2" fillId="3" borderId="0" xfId="3" applyNumberFormat="1" applyFont="1" applyFill="1" applyBorder="1" applyAlignment="1">
      <alignment horizontal="right"/>
    </xf>
    <xf numFmtId="5" fontId="2" fillId="0" borderId="9" xfId="1" applyNumberFormat="1" applyFont="1" applyBorder="1"/>
    <xf numFmtId="5" fontId="2" fillId="0" borderId="10" xfId="1" applyNumberFormat="1" applyFont="1" applyBorder="1"/>
    <xf numFmtId="17" fontId="5" fillId="0" borderId="10" xfId="2" applyNumberFormat="1" applyFont="1" applyFill="1" applyBorder="1"/>
    <xf numFmtId="5" fontId="2" fillId="3" borderId="10" xfId="1" applyNumberFormat="1" applyFont="1" applyFill="1" applyBorder="1"/>
    <xf numFmtId="17" fontId="5" fillId="0" borderId="11" xfId="2" applyNumberFormat="1" applyFont="1" applyFill="1" applyBorder="1"/>
    <xf numFmtId="5" fontId="2" fillId="3" borderId="11" xfId="1" applyNumberFormat="1" applyFont="1" applyFill="1" applyBorder="1"/>
    <xf numFmtId="5" fontId="2" fillId="0" borderId="11" xfId="1" applyNumberFormat="1" applyFont="1" applyBorder="1"/>
    <xf numFmtId="5" fontId="2" fillId="3" borderId="9" xfId="1" applyNumberFormat="1" applyFont="1" applyFill="1" applyBorder="1"/>
    <xf numFmtId="0" fontId="2" fillId="0" borderId="0" xfId="1" applyFont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5" fontId="2" fillId="0" borderId="12" xfId="1" applyNumberFormat="1" applyFont="1" applyBorder="1"/>
    <xf numFmtId="5" fontId="2" fillId="0" borderId="0" xfId="1" applyNumberFormat="1" applyFont="1"/>
    <xf numFmtId="5" fontId="5" fillId="3" borderId="10" xfId="1" applyNumberFormat="1" applyFont="1" applyFill="1" applyBorder="1"/>
    <xf numFmtId="5" fontId="5" fillId="3" borderId="10" xfId="3" applyNumberFormat="1" applyFont="1" applyFill="1" applyBorder="1" applyAlignment="1">
      <alignment horizontal="right"/>
    </xf>
    <xf numFmtId="5" fontId="0" fillId="3" borderId="11" xfId="1" applyNumberFormat="1" applyFont="1" applyFill="1" applyBorder="1"/>
    <xf numFmtId="5" fontId="5" fillId="0" borderId="11" xfId="1" applyNumberFormat="1" applyFont="1" applyFill="1" applyBorder="1"/>
    <xf numFmtId="5" fontId="5" fillId="3" borderId="11" xfId="1" applyNumberFormat="1" applyFont="1" applyFill="1" applyBorder="1"/>
    <xf numFmtId="5" fontId="5" fillId="3" borderId="0" xfId="3" applyNumberFormat="1" applyFont="1" applyFill="1" applyBorder="1" applyAlignment="1">
      <alignment horizontal="right"/>
    </xf>
    <xf numFmtId="5" fontId="2" fillId="0" borderId="10" xfId="3" applyNumberFormat="1" applyFont="1" applyFill="1" applyBorder="1" applyAlignment="1">
      <alignment horizontal="right"/>
    </xf>
    <xf numFmtId="5" fontId="2" fillId="0" borderId="0" xfId="3" applyNumberFormat="1" applyFont="1" applyFill="1" applyBorder="1" applyAlignment="1">
      <alignment horizontal="right"/>
    </xf>
    <xf numFmtId="5" fontId="5" fillId="0" borderId="0" xfId="3" applyNumberFormat="1" applyFont="1" applyFill="1" applyBorder="1" applyAlignment="1">
      <alignment horizontal="right"/>
    </xf>
    <xf numFmtId="5" fontId="5" fillId="0" borderId="10" xfId="3" applyNumberFormat="1" applyFont="1" applyFill="1" applyBorder="1" applyAlignment="1">
      <alignment horizontal="right"/>
    </xf>
    <xf numFmtId="5" fontId="2" fillId="3" borderId="19" xfId="3" applyNumberFormat="1" applyFont="1" applyFill="1" applyBorder="1" applyAlignment="1">
      <alignment horizontal="right"/>
    </xf>
    <xf numFmtId="5" fontId="2" fillId="3" borderId="19" xfId="1" applyNumberFormat="1" applyFont="1" applyFill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1" sqref="C1"/>
    </sheetView>
  </sheetViews>
  <sheetFormatPr defaultColWidth="15.625" defaultRowHeight="14.25" x14ac:dyDescent="0.2"/>
  <sheetData>
    <row r="1" spans="1:6" x14ac:dyDescent="0.2">
      <c r="A1" t="s">
        <v>105</v>
      </c>
    </row>
    <row r="3" spans="1:6" ht="15" x14ac:dyDescent="0.25">
      <c r="C3" s="114" t="s">
        <v>100</v>
      </c>
      <c r="D3" s="114"/>
      <c r="E3" s="114"/>
    </row>
    <row r="4" spans="1:6" ht="15" x14ac:dyDescent="0.25">
      <c r="B4" s="114" t="s">
        <v>0</v>
      </c>
      <c r="C4" s="114"/>
      <c r="D4" s="114"/>
      <c r="E4" s="114"/>
      <c r="F4" s="114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-81747.430000000051</v>
      </c>
      <c r="F8" s="2" t="str">
        <f>IF(E8&gt;0,"Under-Recovery","Over-Recovery")</f>
        <v>Over-Recovery</v>
      </c>
    </row>
    <row r="9" spans="1:6" x14ac:dyDescent="0.2">
      <c r="B9" t="s">
        <v>68</v>
      </c>
      <c r="E9" s="3">
        <f>'B - 11-30-22'!G35</f>
        <v>148059.55000000016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86494.290000000154</v>
      </c>
      <c r="F10" s="2" t="str">
        <f t="shared" si="0"/>
        <v>Under-Recovery</v>
      </c>
    </row>
    <row r="11" spans="1:6" x14ac:dyDescent="0.2">
      <c r="B11" t="s">
        <v>75</v>
      </c>
      <c r="E11" s="3">
        <f>'D - 11-30-23'!G39</f>
        <v>110373.72999999998</v>
      </c>
      <c r="F11" s="2" t="str">
        <f t="shared" si="0"/>
        <v>Under-Recovery</v>
      </c>
    </row>
    <row r="12" spans="1:6" x14ac:dyDescent="0.2">
      <c r="B12" t="s">
        <v>77</v>
      </c>
      <c r="E12" s="64">
        <f>'E - 05-31-24'!G41</f>
        <v>373127.87999999989</v>
      </c>
      <c r="F12" s="2" t="str">
        <f t="shared" si="0"/>
        <v>Under-Recovery</v>
      </c>
    </row>
    <row r="13" spans="1:6" x14ac:dyDescent="0.2">
      <c r="B13" t="s">
        <v>78</v>
      </c>
      <c r="E13" s="64">
        <f>'F - 11-30-24'!G43</f>
        <v>-460523.44999999995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175784.57000000018</v>
      </c>
      <c r="F15" s="2" t="str">
        <f>IF(E15&gt;0,"Under-Recovery","Over-Recovery")</f>
        <v>Under-Recovery</v>
      </c>
    </row>
    <row r="16" spans="1:6" ht="15" thickTop="1" x14ac:dyDescent="0.2"/>
    <row r="20" spans="2:6" ht="15" x14ac:dyDescent="0.25">
      <c r="B20" s="114" t="s">
        <v>4</v>
      </c>
      <c r="C20" s="114"/>
      <c r="D20" s="114"/>
      <c r="E20" s="114"/>
      <c r="F20" s="114"/>
    </row>
    <row r="22" spans="2:6" x14ac:dyDescent="0.2">
      <c r="B22" t="s">
        <v>5</v>
      </c>
      <c r="E22" s="3">
        <f>ROUND(E15/6,0)</f>
        <v>29297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14649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E30" sqref="E3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99</v>
      </c>
    </row>
    <row r="4" spans="1:7" ht="14.25" customHeight="1" x14ac:dyDescent="0.2">
      <c r="B4" s="115" t="s">
        <v>101</v>
      </c>
      <c r="C4" s="116"/>
      <c r="D4" s="116"/>
      <c r="E4" s="116"/>
      <c r="F4" s="116"/>
      <c r="G4" s="117"/>
    </row>
    <row r="5" spans="1:7" ht="14.25" customHeight="1" x14ac:dyDescent="0.2">
      <c r="B5" s="118"/>
      <c r="C5" s="119"/>
      <c r="D5" s="119"/>
      <c r="E5" s="119"/>
      <c r="F5" s="119"/>
      <c r="G5" s="120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121" t="s">
        <v>22</v>
      </c>
      <c r="D12" s="122"/>
      <c r="E12" s="122"/>
      <c r="F12" s="122"/>
      <c r="G12" s="123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729972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729972</v>
      </c>
    </row>
    <row r="15" spans="1:7" x14ac:dyDescent="0.2">
      <c r="B15" s="8">
        <v>2</v>
      </c>
      <c r="C15" s="17">
        <v>44562</v>
      </c>
      <c r="D15" s="58">
        <f>1170947-219</f>
        <v>1170728</v>
      </c>
      <c r="E15" s="59">
        <v>1168411.77</v>
      </c>
      <c r="F15" s="18">
        <f t="shared" ref="F15:F22" si="0">D15-E15</f>
        <v>2316.2299999999814</v>
      </c>
      <c r="G15" s="16">
        <f t="shared" ref="G15:G22" si="1">G14+F15</f>
        <v>732288.23</v>
      </c>
    </row>
    <row r="16" spans="1:7" x14ac:dyDescent="0.2">
      <c r="B16" s="8">
        <v>3</v>
      </c>
      <c r="C16" s="19">
        <v>44593</v>
      </c>
      <c r="D16" s="60">
        <f>924918-74</f>
        <v>924844</v>
      </c>
      <c r="E16" s="61">
        <v>967914.95</v>
      </c>
      <c r="F16" s="20">
        <f t="shared" si="0"/>
        <v>-43070.949999999953</v>
      </c>
      <c r="G16" s="21">
        <f t="shared" si="1"/>
        <v>689217.28</v>
      </c>
    </row>
    <row r="17" spans="2:7" x14ac:dyDescent="0.2">
      <c r="B17" s="8">
        <v>4</v>
      </c>
      <c r="C17" s="19">
        <v>44621</v>
      </c>
      <c r="D17" s="60">
        <f>628346-151</f>
        <v>628195</v>
      </c>
      <c r="E17" s="61">
        <v>606572.80000000005</v>
      </c>
      <c r="F17" s="20">
        <f t="shared" si="0"/>
        <v>21622.199999999953</v>
      </c>
      <c r="G17" s="21">
        <f t="shared" si="1"/>
        <v>710839.48</v>
      </c>
    </row>
    <row r="18" spans="2:7" x14ac:dyDescent="0.2">
      <c r="B18" s="8">
        <v>5</v>
      </c>
      <c r="C18" s="19">
        <v>44652</v>
      </c>
      <c r="D18" s="60">
        <f>719864-218</f>
        <v>719646</v>
      </c>
      <c r="E18" s="61">
        <v>734427.02</v>
      </c>
      <c r="F18" s="20">
        <f t="shared" si="0"/>
        <v>-14781.020000000019</v>
      </c>
      <c r="G18" s="21">
        <f t="shared" si="1"/>
        <v>696058.46</v>
      </c>
    </row>
    <row r="19" spans="2:7" x14ac:dyDescent="0.2">
      <c r="B19" s="8">
        <v>6</v>
      </c>
      <c r="C19" s="19">
        <v>44682</v>
      </c>
      <c r="D19" s="60">
        <f>758026-230</f>
        <v>757796</v>
      </c>
      <c r="E19" s="61">
        <v>806490.86</v>
      </c>
      <c r="F19" s="20">
        <f t="shared" si="0"/>
        <v>-48694.859999999986</v>
      </c>
      <c r="G19" s="21">
        <f t="shared" si="1"/>
        <v>647363.6</v>
      </c>
    </row>
    <row r="20" spans="2:7" x14ac:dyDescent="0.2">
      <c r="B20" s="8">
        <v>7</v>
      </c>
      <c r="C20" s="19">
        <v>44713</v>
      </c>
      <c r="D20" s="60">
        <f>1037779-0</f>
        <v>1037779</v>
      </c>
      <c r="E20" s="61">
        <v>1036918.03</v>
      </c>
      <c r="F20" s="22">
        <f t="shared" si="0"/>
        <v>860.96999999997206</v>
      </c>
      <c r="G20" s="23">
        <f t="shared" si="1"/>
        <v>648224.56999999995</v>
      </c>
    </row>
    <row r="21" spans="2:7" x14ac:dyDescent="0.2">
      <c r="B21" s="24" t="s">
        <v>28</v>
      </c>
      <c r="C21" s="17">
        <v>44743</v>
      </c>
      <c r="D21" s="58">
        <f>1160440-249</f>
        <v>1160191</v>
      </c>
      <c r="E21" s="59">
        <v>1083250.1399999999</v>
      </c>
      <c r="F21" s="18">
        <f t="shared" si="0"/>
        <v>76940.860000000102</v>
      </c>
      <c r="G21" s="16">
        <f t="shared" si="1"/>
        <v>725165.43</v>
      </c>
    </row>
    <row r="22" spans="2:7" x14ac:dyDescent="0.2">
      <c r="B22" s="25" t="s">
        <v>29</v>
      </c>
      <c r="C22" s="26">
        <v>44774</v>
      </c>
      <c r="D22" s="62">
        <f>905746-0</f>
        <v>905746</v>
      </c>
      <c r="E22" s="63">
        <v>865732.41</v>
      </c>
      <c r="F22" s="22">
        <f t="shared" si="0"/>
        <v>40013.589999999967</v>
      </c>
      <c r="G22" s="23">
        <f t="shared" si="1"/>
        <v>765179.02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5" t="s">
        <v>82</v>
      </c>
      <c r="D30" s="39">
        <f>-G13</f>
        <v>-729972</v>
      </c>
      <c r="E30" s="39">
        <f>D60</f>
        <v>0</v>
      </c>
      <c r="F30" s="65"/>
      <c r="G30" s="39">
        <f>D30+E30</f>
        <v>-729972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-729972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-81747.430000000051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-13624.571666666676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729972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-729972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-81747.430000000051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-81747.430000000051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112"/>
      <c r="G52" s="112"/>
    </row>
    <row r="53" spans="2:7" x14ac:dyDescent="0.2">
      <c r="B53" s="36"/>
      <c r="C53" s="9" t="s">
        <v>17</v>
      </c>
      <c r="D53" s="9" t="s">
        <v>104</v>
      </c>
      <c r="E53" s="31"/>
      <c r="F53" s="112"/>
      <c r="G53" s="112"/>
    </row>
    <row r="54" spans="2:7" x14ac:dyDescent="0.2">
      <c r="C54" s="17">
        <v>44562</v>
      </c>
      <c r="D54" s="50">
        <v>0</v>
      </c>
      <c r="E54" s="113"/>
      <c r="F54" s="71"/>
      <c r="G54" s="71"/>
    </row>
    <row r="55" spans="2:7" x14ac:dyDescent="0.2">
      <c r="C55" s="19">
        <v>44593</v>
      </c>
      <c r="D55" s="51">
        <v>0</v>
      </c>
      <c r="E55" s="113"/>
      <c r="F55" s="71"/>
      <c r="G55" s="71"/>
    </row>
    <row r="56" spans="2:7" x14ac:dyDescent="0.2">
      <c r="C56" s="19">
        <v>44621</v>
      </c>
      <c r="D56" s="51">
        <v>0</v>
      </c>
      <c r="E56" s="113"/>
      <c r="F56" s="71"/>
      <c r="G56" s="71"/>
    </row>
    <row r="57" spans="2:7" x14ac:dyDescent="0.2">
      <c r="C57" s="19">
        <v>44652</v>
      </c>
      <c r="D57" s="51">
        <v>0</v>
      </c>
      <c r="E57" s="113"/>
      <c r="F57" s="71"/>
      <c r="G57" s="71"/>
    </row>
    <row r="58" spans="2:7" x14ac:dyDescent="0.2">
      <c r="C58" s="19">
        <v>44682</v>
      </c>
      <c r="D58" s="51">
        <v>0</v>
      </c>
      <c r="E58" s="113"/>
      <c r="F58" s="71"/>
      <c r="G58" s="71"/>
    </row>
    <row r="59" spans="2:7" x14ac:dyDescent="0.2">
      <c r="C59" s="19">
        <v>44713</v>
      </c>
      <c r="D59" s="52">
        <v>0</v>
      </c>
      <c r="E59" s="113"/>
      <c r="F59" s="71"/>
      <c r="G59" s="71"/>
    </row>
    <row r="60" spans="2:7" x14ac:dyDescent="0.2">
      <c r="C60" s="53" t="s">
        <v>57</v>
      </c>
      <c r="D60" s="39">
        <f>SUM(D54:D59)</f>
        <v>0</v>
      </c>
      <c r="E60" s="20"/>
      <c r="F60" s="71"/>
      <c r="G6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workbookViewId="0">
      <selection activeCell="E21" sqref="E21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13" x14ac:dyDescent="0.2">
      <c r="A1" t="s">
        <v>99</v>
      </c>
    </row>
    <row r="4" spans="1:13" ht="14.25" customHeight="1" x14ac:dyDescent="0.2">
      <c r="B4" s="115" t="s">
        <v>101</v>
      </c>
      <c r="C4" s="116"/>
      <c r="D4" s="116"/>
      <c r="E4" s="116"/>
      <c r="F4" s="116"/>
      <c r="G4" s="117"/>
      <c r="I4" s="124" t="s">
        <v>102</v>
      </c>
      <c r="J4" s="125"/>
      <c r="K4" s="125"/>
      <c r="L4" s="125"/>
      <c r="M4" s="126"/>
    </row>
    <row r="5" spans="1:13" ht="14.25" customHeight="1" x14ac:dyDescent="0.2">
      <c r="B5" s="118"/>
      <c r="C5" s="119"/>
      <c r="D5" s="119"/>
      <c r="E5" s="119"/>
      <c r="F5" s="119"/>
      <c r="G5" s="120"/>
      <c r="I5" s="127"/>
      <c r="J5" s="128"/>
      <c r="K5" s="128"/>
      <c r="L5" s="128"/>
      <c r="M5" s="129"/>
    </row>
    <row r="6" spans="1:13" ht="15" x14ac:dyDescent="0.2">
      <c r="I6" s="74"/>
      <c r="J6" s="74"/>
      <c r="K6" s="74"/>
      <c r="L6" s="74"/>
      <c r="M6" s="7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ht="15.75" x14ac:dyDescent="0.25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  <c r="I9" s="75" t="s">
        <v>103</v>
      </c>
      <c r="J9" s="74"/>
      <c r="K9" s="74"/>
      <c r="L9" s="74"/>
      <c r="M9" s="74"/>
    </row>
    <row r="10" spans="1:13" ht="15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  <c r="I10" s="74"/>
      <c r="J10" s="74"/>
      <c r="K10" s="74"/>
      <c r="L10" s="74"/>
      <c r="M10" s="74"/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6"/>
      <c r="J11" s="76"/>
      <c r="K11" s="77" t="s">
        <v>7</v>
      </c>
      <c r="L11" s="76"/>
      <c r="M11" s="76"/>
    </row>
    <row r="12" spans="1:13" x14ac:dyDescent="0.2">
      <c r="B12" s="6">
        <v>1</v>
      </c>
      <c r="C12" s="121" t="s">
        <v>22</v>
      </c>
      <c r="D12" s="122"/>
      <c r="E12" s="122"/>
      <c r="F12" s="122"/>
      <c r="G12" s="123"/>
      <c r="I12" s="78"/>
      <c r="J12" s="79" t="s">
        <v>8</v>
      </c>
      <c r="K12" s="79" t="s">
        <v>9</v>
      </c>
      <c r="L12" s="78"/>
      <c r="M12" s="78"/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729972</v>
      </c>
      <c r="I13" s="78"/>
      <c r="J13" s="79" t="s">
        <v>10</v>
      </c>
      <c r="K13" s="79" t="s">
        <v>11</v>
      </c>
      <c r="L13" s="79" t="s">
        <v>12</v>
      </c>
      <c r="M13" s="79" t="s">
        <v>13</v>
      </c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-81747.430000000051</v>
      </c>
      <c r="I14" s="80"/>
      <c r="J14" s="80" t="s">
        <v>14</v>
      </c>
      <c r="K14" s="80" t="s">
        <v>14</v>
      </c>
      <c r="L14" s="80" t="s">
        <v>15</v>
      </c>
      <c r="M14" s="80" t="s">
        <v>15</v>
      </c>
    </row>
    <row r="15" spans="1:13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648224.56999999995</v>
      </c>
      <c r="I15" s="81" t="s">
        <v>17</v>
      </c>
      <c r="J15" s="82" t="s">
        <v>96</v>
      </c>
      <c r="K15" s="82" t="s">
        <v>18</v>
      </c>
      <c r="L15" s="82" t="s">
        <v>19</v>
      </c>
      <c r="M15" s="82" t="s">
        <v>20</v>
      </c>
    </row>
    <row r="16" spans="1:13" x14ac:dyDescent="0.2">
      <c r="B16" s="8">
        <v>2</v>
      </c>
      <c r="C16" s="17">
        <v>44743</v>
      </c>
      <c r="D16" s="58">
        <f>1160440-249</f>
        <v>1160191</v>
      </c>
      <c r="E16" s="59">
        <v>1083250.1399999999</v>
      </c>
      <c r="F16" s="18">
        <f t="shared" ref="F16:F23" si="0">D16-E16</f>
        <v>76940.860000000102</v>
      </c>
      <c r="G16" s="16">
        <f t="shared" ref="G16:G23" si="1">G15+F16</f>
        <v>725165.43</v>
      </c>
      <c r="I16" s="83">
        <v>44743</v>
      </c>
      <c r="J16" s="106">
        <v>0</v>
      </c>
      <c r="K16" s="107">
        <v>0</v>
      </c>
      <c r="L16" s="86">
        <f t="shared" ref="L16:L23" si="2">J16-K16</f>
        <v>0</v>
      </c>
      <c r="M16" s="87">
        <f>L16</f>
        <v>0</v>
      </c>
    </row>
    <row r="17" spans="2:13" x14ac:dyDescent="0.2">
      <c r="B17" s="8">
        <v>3</v>
      </c>
      <c r="C17" s="19">
        <v>44774</v>
      </c>
      <c r="D17" s="60">
        <f>905746-0</f>
        <v>905746</v>
      </c>
      <c r="E17" s="61">
        <v>865732.41</v>
      </c>
      <c r="F17" s="20">
        <f t="shared" si="0"/>
        <v>40013.589999999967</v>
      </c>
      <c r="G17" s="21">
        <f t="shared" si="1"/>
        <v>765179.02</v>
      </c>
      <c r="I17" s="88">
        <v>44774</v>
      </c>
      <c r="J17" s="106">
        <v>0</v>
      </c>
      <c r="K17" s="108">
        <v>0</v>
      </c>
      <c r="L17" s="87">
        <f t="shared" si="2"/>
        <v>0</v>
      </c>
      <c r="M17" s="87">
        <f>M16+L17</f>
        <v>0</v>
      </c>
    </row>
    <row r="18" spans="2:13" x14ac:dyDescent="0.2">
      <c r="B18" s="8">
        <v>4</v>
      </c>
      <c r="C18" s="19">
        <v>44805</v>
      </c>
      <c r="D18" s="60">
        <f>635740-0</f>
        <v>635740</v>
      </c>
      <c r="E18" s="61">
        <v>611345.56999999995</v>
      </c>
      <c r="F18" s="20">
        <f t="shared" si="0"/>
        <v>24394.430000000051</v>
      </c>
      <c r="G18" s="21">
        <f t="shared" si="1"/>
        <v>789573.45000000007</v>
      </c>
      <c r="I18" s="88">
        <v>44805</v>
      </c>
      <c r="J18" s="106">
        <v>0</v>
      </c>
      <c r="K18" s="106">
        <v>0</v>
      </c>
      <c r="L18" s="87">
        <f t="shared" si="2"/>
        <v>0</v>
      </c>
      <c r="M18" s="87">
        <f t="shared" ref="M18:M21" si="3">M17+L18</f>
        <v>0</v>
      </c>
    </row>
    <row r="19" spans="2:13" x14ac:dyDescent="0.2">
      <c r="B19" s="8">
        <v>5</v>
      </c>
      <c r="C19" s="19">
        <v>44835</v>
      </c>
      <c r="D19" s="60">
        <f>771060-192</f>
        <v>770868</v>
      </c>
      <c r="E19" s="61">
        <v>716273.72</v>
      </c>
      <c r="F19" s="20">
        <f t="shared" si="0"/>
        <v>54594.280000000028</v>
      </c>
      <c r="G19" s="21">
        <f t="shared" si="1"/>
        <v>844167.7300000001</v>
      </c>
      <c r="I19" s="88">
        <v>44835</v>
      </c>
      <c r="J19" s="106">
        <v>0</v>
      </c>
      <c r="K19" s="109">
        <v>0</v>
      </c>
      <c r="L19" s="87">
        <f t="shared" si="2"/>
        <v>0</v>
      </c>
      <c r="M19" s="87">
        <f t="shared" si="3"/>
        <v>0</v>
      </c>
    </row>
    <row r="20" spans="2:13" x14ac:dyDescent="0.2">
      <c r="B20" s="8">
        <v>6</v>
      </c>
      <c r="C20" s="19">
        <v>44866</v>
      </c>
      <c r="D20" s="60">
        <f>910671-213</f>
        <v>910458</v>
      </c>
      <c r="E20" s="61">
        <f>972322.08-7616</f>
        <v>964706.08</v>
      </c>
      <c r="F20" s="20">
        <f t="shared" si="0"/>
        <v>-54248.079999999958</v>
      </c>
      <c r="G20" s="21">
        <f t="shared" si="1"/>
        <v>789919.65000000014</v>
      </c>
      <c r="I20" s="88">
        <v>44866</v>
      </c>
      <c r="J20" s="110">
        <f>48633+37055</f>
        <v>85688</v>
      </c>
      <c r="K20" s="111">
        <f>34103.81+43968.37+7616</f>
        <v>85688.18</v>
      </c>
      <c r="L20" s="87">
        <f t="shared" si="2"/>
        <v>-0.17999999999301508</v>
      </c>
      <c r="M20" s="87">
        <f t="shared" si="3"/>
        <v>-0.17999999999301508</v>
      </c>
    </row>
    <row r="21" spans="2:13" x14ac:dyDescent="0.2">
      <c r="B21" s="8">
        <v>7</v>
      </c>
      <c r="C21" s="19">
        <v>44896</v>
      </c>
      <c r="D21" s="60">
        <f>1328942-228</f>
        <v>1328714</v>
      </c>
      <c r="E21" s="61">
        <f>1329712.53-7363</f>
        <v>1322349.53</v>
      </c>
      <c r="F21" s="22">
        <f t="shared" si="0"/>
        <v>6364.4699999999721</v>
      </c>
      <c r="G21" s="23">
        <f t="shared" si="1"/>
        <v>796284.12000000011</v>
      </c>
      <c r="I21" s="90">
        <v>44896</v>
      </c>
      <c r="J21" s="91">
        <f>48549+41423</f>
        <v>89972</v>
      </c>
      <c r="K21" s="102">
        <f>38120.86+44488.52+7363</f>
        <v>89972.38</v>
      </c>
      <c r="L21" s="92">
        <f t="shared" si="2"/>
        <v>-0.38000000000465661</v>
      </c>
      <c r="M21" s="92">
        <f t="shared" si="3"/>
        <v>-0.55999999999767169</v>
      </c>
    </row>
    <row r="22" spans="2:13" x14ac:dyDescent="0.2">
      <c r="B22" s="24" t="s">
        <v>28</v>
      </c>
      <c r="C22" s="17">
        <v>44927</v>
      </c>
      <c r="D22" s="58">
        <f>1020439-198</f>
        <v>1020241</v>
      </c>
      <c r="E22" s="59">
        <f>883497.35</f>
        <v>883497.35</v>
      </c>
      <c r="F22" s="18">
        <f t="shared" si="0"/>
        <v>136743.65000000002</v>
      </c>
      <c r="G22" s="16">
        <f t="shared" si="1"/>
        <v>933027.77000000014</v>
      </c>
      <c r="I22" s="88">
        <v>44927</v>
      </c>
      <c r="J22" s="93">
        <f>48424+47063</f>
        <v>95487</v>
      </c>
      <c r="K22" s="93">
        <f>47063+48424</f>
        <v>95487</v>
      </c>
      <c r="L22" s="87">
        <f t="shared" si="2"/>
        <v>0</v>
      </c>
      <c r="M22" s="87">
        <f>M21+L22</f>
        <v>-0.55999999999767169</v>
      </c>
    </row>
    <row r="23" spans="2:13" x14ac:dyDescent="0.2">
      <c r="B23" s="25" t="s">
        <v>29</v>
      </c>
      <c r="C23" s="26">
        <v>44958</v>
      </c>
      <c r="D23" s="62">
        <f>524144-132</f>
        <v>524012</v>
      </c>
      <c r="E23" s="63">
        <v>447240.55</v>
      </c>
      <c r="F23" s="22">
        <f t="shared" si="0"/>
        <v>76771.450000000012</v>
      </c>
      <c r="G23" s="23">
        <f t="shared" si="1"/>
        <v>1009799.2200000002</v>
      </c>
      <c r="I23" s="90">
        <v>44958</v>
      </c>
      <c r="J23" s="91">
        <f>28555+27527</f>
        <v>56082</v>
      </c>
      <c r="K23" s="104">
        <f>27527+28555</f>
        <v>56082</v>
      </c>
      <c r="L23" s="92">
        <f t="shared" si="2"/>
        <v>0</v>
      </c>
      <c r="M23" s="92">
        <f>M22+L23</f>
        <v>-0.55999999999767169</v>
      </c>
    </row>
    <row r="24" spans="2:13" x14ac:dyDescent="0.2">
      <c r="B24" s="9"/>
      <c r="C24" s="27" t="s">
        <v>65</v>
      </c>
      <c r="D24" s="28"/>
      <c r="E24" s="28"/>
      <c r="F24" s="28"/>
      <c r="G24" s="29"/>
      <c r="I24" s="94"/>
      <c r="J24" s="94"/>
      <c r="K24" s="94"/>
      <c r="L24" s="94"/>
      <c r="M24" s="94"/>
    </row>
    <row r="25" spans="2:13" x14ac:dyDescent="0.2">
      <c r="B25" s="6"/>
      <c r="C25" s="5"/>
      <c r="D25" s="5"/>
      <c r="E25" s="5"/>
      <c r="F25" s="5"/>
      <c r="G25" s="16"/>
      <c r="I25" s="95" t="s">
        <v>97</v>
      </c>
      <c r="J25" s="96"/>
      <c r="K25" s="96"/>
      <c r="L25" s="97"/>
      <c r="M25" s="98">
        <f>M21</f>
        <v>-0.55999999999767169</v>
      </c>
    </row>
    <row r="26" spans="2:13" x14ac:dyDescent="0.2">
      <c r="B26" s="8"/>
      <c r="C26" s="7"/>
      <c r="D26" s="8" t="s">
        <v>30</v>
      </c>
      <c r="E26" s="8" t="s">
        <v>31</v>
      </c>
      <c r="F26" s="7"/>
      <c r="G26" s="21"/>
      <c r="I26" s="94"/>
      <c r="J26" s="94"/>
      <c r="K26" s="94"/>
      <c r="L26" s="94"/>
      <c r="M26" s="99"/>
    </row>
    <row r="27" spans="2:13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  <c r="I27" s="95" t="s">
        <v>98</v>
      </c>
      <c r="J27" s="96"/>
      <c r="K27" s="96"/>
      <c r="L27" s="97"/>
      <c r="M27" s="98">
        <f>M25/6</f>
        <v>-9.3333333332945287E-2</v>
      </c>
    </row>
    <row r="28" spans="2:13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13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13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13" x14ac:dyDescent="0.2">
      <c r="B31" s="24" t="s">
        <v>43</v>
      </c>
      <c r="C31" s="5" t="s">
        <v>82</v>
      </c>
      <c r="D31" s="16">
        <f>-G13</f>
        <v>-729972</v>
      </c>
      <c r="E31" s="16">
        <f>D62</f>
        <v>0</v>
      </c>
      <c r="F31" s="5"/>
      <c r="G31" s="16">
        <f>D31+E31</f>
        <v>-729972</v>
      </c>
    </row>
    <row r="32" spans="2:13" x14ac:dyDescent="0.2">
      <c r="B32" s="31" t="s">
        <v>44</v>
      </c>
      <c r="C32" s="32" t="s">
        <v>84</v>
      </c>
      <c r="D32" s="23">
        <f>-G14</f>
        <v>81747.430000000051</v>
      </c>
      <c r="E32" s="23">
        <v>0</v>
      </c>
      <c r="F32" s="32"/>
      <c r="G32" s="23">
        <f>D32+E32</f>
        <v>81747.430000000051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-648224.56999999995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148059.55000000016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24676.591666666693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648224.56999999995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-648224.56999999995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148059.55000000016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148059.55000000016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112"/>
      <c r="G54" s="112"/>
    </row>
    <row r="55" spans="2:7" x14ac:dyDescent="0.2">
      <c r="B55" s="36"/>
      <c r="C55" s="9" t="s">
        <v>17</v>
      </c>
      <c r="D55" s="9" t="s">
        <v>104</v>
      </c>
      <c r="E55" s="31"/>
      <c r="F55" s="112"/>
      <c r="G55" s="112"/>
    </row>
    <row r="56" spans="2:7" x14ac:dyDescent="0.2">
      <c r="C56" s="17">
        <v>44743</v>
      </c>
      <c r="D56" s="50">
        <v>0</v>
      </c>
      <c r="E56" s="113"/>
      <c r="F56" s="71"/>
      <c r="G56" s="71"/>
    </row>
    <row r="57" spans="2:7" x14ac:dyDescent="0.2">
      <c r="C57" s="19">
        <v>44774</v>
      </c>
      <c r="D57" s="51">
        <v>0</v>
      </c>
      <c r="E57" s="113"/>
      <c r="F57" s="71"/>
      <c r="G57" s="71"/>
    </row>
    <row r="58" spans="2:7" x14ac:dyDescent="0.2">
      <c r="C58" s="19">
        <v>44805</v>
      </c>
      <c r="D58" s="51">
        <v>0</v>
      </c>
      <c r="E58" s="113"/>
      <c r="F58" s="71"/>
      <c r="G58" s="71"/>
    </row>
    <row r="59" spans="2:7" x14ac:dyDescent="0.2">
      <c r="C59" s="19">
        <v>44835</v>
      </c>
      <c r="D59" s="51">
        <v>0</v>
      </c>
      <c r="E59" s="113"/>
      <c r="F59" s="71"/>
      <c r="G59" s="71"/>
    </row>
    <row r="60" spans="2:7" x14ac:dyDescent="0.2">
      <c r="C60" s="19">
        <v>44866</v>
      </c>
      <c r="D60" s="51">
        <v>0</v>
      </c>
      <c r="E60" s="113"/>
      <c r="F60" s="71"/>
      <c r="G60" s="71"/>
    </row>
    <row r="61" spans="2:7" x14ac:dyDescent="0.2">
      <c r="C61" s="19">
        <v>44896</v>
      </c>
      <c r="D61" s="52">
        <v>0</v>
      </c>
      <c r="E61" s="113"/>
      <c r="F61" s="71"/>
      <c r="G61" s="71"/>
    </row>
    <row r="62" spans="2:7" x14ac:dyDescent="0.2">
      <c r="C62" s="53" t="s">
        <v>57</v>
      </c>
      <c r="D62" s="39">
        <f>SUM(D56:D61)</f>
        <v>0</v>
      </c>
      <c r="E62" s="20"/>
      <c r="F62" s="71"/>
      <c r="G62" s="71"/>
    </row>
    <row r="63" spans="2:7" x14ac:dyDescent="0.2">
      <c r="F63" s="44"/>
      <c r="G63" s="44"/>
    </row>
  </sheetData>
  <mergeCells count="3">
    <mergeCell ref="B4:G5"/>
    <mergeCell ref="C12:G12"/>
    <mergeCell ref="I4:M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5"/>
  <sheetViews>
    <sheetView workbookViewId="0">
      <selection activeCell="E32" sqref="E3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99</v>
      </c>
    </row>
    <row r="4" spans="1:13" ht="14.25" customHeight="1" x14ac:dyDescent="0.2">
      <c r="B4" s="115" t="s">
        <v>101</v>
      </c>
      <c r="C4" s="116"/>
      <c r="D4" s="116"/>
      <c r="E4" s="116"/>
      <c r="F4" s="116"/>
      <c r="G4" s="117"/>
      <c r="I4" s="124" t="s">
        <v>102</v>
      </c>
      <c r="J4" s="125"/>
      <c r="K4" s="125"/>
      <c r="L4" s="125"/>
      <c r="M4" s="126"/>
    </row>
    <row r="5" spans="1:13" ht="14.25" customHeight="1" x14ac:dyDescent="0.2">
      <c r="B5" s="118"/>
      <c r="C5" s="119"/>
      <c r="D5" s="119"/>
      <c r="E5" s="119"/>
      <c r="F5" s="119"/>
      <c r="G5" s="120"/>
      <c r="I5" s="127"/>
      <c r="J5" s="128"/>
      <c r="K5" s="128"/>
      <c r="L5" s="128"/>
      <c r="M5" s="129"/>
    </row>
    <row r="6" spans="1:13" ht="15" x14ac:dyDescent="0.2">
      <c r="I6" s="74"/>
      <c r="J6" s="74"/>
      <c r="K6" s="74"/>
      <c r="L6" s="74"/>
      <c r="M6" s="7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ht="15.75" x14ac:dyDescent="0.25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  <c r="I10" s="75" t="s">
        <v>103</v>
      </c>
      <c r="J10" s="74"/>
      <c r="K10" s="74"/>
      <c r="L10" s="74"/>
      <c r="M10" s="74"/>
    </row>
    <row r="11" spans="1:13" ht="15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4"/>
      <c r="J11" s="74"/>
      <c r="K11" s="74"/>
      <c r="L11" s="74"/>
      <c r="M11" s="74"/>
    </row>
    <row r="12" spans="1:13" x14ac:dyDescent="0.2">
      <c r="B12" s="6">
        <v>1</v>
      </c>
      <c r="C12" s="121" t="s">
        <v>22</v>
      </c>
      <c r="D12" s="122"/>
      <c r="E12" s="122"/>
      <c r="F12" s="122"/>
      <c r="G12" s="123"/>
      <c r="I12" s="76"/>
      <c r="J12" s="76"/>
      <c r="K12" s="77" t="s">
        <v>7</v>
      </c>
      <c r="L12" s="76"/>
      <c r="M12" s="76"/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729972</v>
      </c>
      <c r="I13" s="78"/>
      <c r="J13" s="79" t="s">
        <v>8</v>
      </c>
      <c r="K13" s="79" t="s">
        <v>9</v>
      </c>
      <c r="L13" s="78"/>
      <c r="M13" s="78"/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-81747.430000000051</v>
      </c>
      <c r="I14" s="78"/>
      <c r="J14" s="79" t="s">
        <v>10</v>
      </c>
      <c r="K14" s="79" t="s">
        <v>11</v>
      </c>
      <c r="L14" s="79" t="s">
        <v>12</v>
      </c>
      <c r="M14" s="79" t="s">
        <v>13</v>
      </c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148059.55000000016</v>
      </c>
      <c r="I15" s="80"/>
      <c r="J15" s="80" t="s">
        <v>14</v>
      </c>
      <c r="K15" s="80" t="s">
        <v>14</v>
      </c>
      <c r="L15" s="80" t="s">
        <v>15</v>
      </c>
      <c r="M15" s="80" t="s">
        <v>15</v>
      </c>
    </row>
    <row r="16" spans="1:13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796284.12000000011</v>
      </c>
      <c r="I16" s="81" t="s">
        <v>17</v>
      </c>
      <c r="J16" s="82" t="s">
        <v>96</v>
      </c>
      <c r="K16" s="82" t="s">
        <v>18</v>
      </c>
      <c r="L16" s="82" t="s">
        <v>19</v>
      </c>
      <c r="M16" s="82" t="s">
        <v>20</v>
      </c>
    </row>
    <row r="17" spans="2:13" x14ac:dyDescent="0.2">
      <c r="B17" s="8">
        <v>2</v>
      </c>
      <c r="C17" s="17">
        <v>44927</v>
      </c>
      <c r="D17" s="58">
        <f>1020439-198</f>
        <v>1020241</v>
      </c>
      <c r="E17" s="59">
        <f>883497.35</f>
        <v>883497.35</v>
      </c>
      <c r="F17" s="18">
        <f t="shared" ref="F17:F24" si="0">D17-E17</f>
        <v>136743.65000000002</v>
      </c>
      <c r="G17" s="16">
        <f t="shared" ref="G17:G24" si="1">G16+F17</f>
        <v>933027.77000000014</v>
      </c>
      <c r="I17" s="83">
        <v>44927</v>
      </c>
      <c r="J17" s="84">
        <f>48424+47063</f>
        <v>95487</v>
      </c>
      <c r="K17" s="85">
        <f>47063+48424</f>
        <v>95487</v>
      </c>
      <c r="L17" s="86">
        <f t="shared" ref="L17:L24" si="2">J17-K17</f>
        <v>0</v>
      </c>
      <c r="M17" s="87">
        <f>L17</f>
        <v>0</v>
      </c>
    </row>
    <row r="18" spans="2:13" x14ac:dyDescent="0.2">
      <c r="B18" s="8">
        <v>3</v>
      </c>
      <c r="C18" s="19">
        <v>44958</v>
      </c>
      <c r="D18" s="60">
        <f>524144-132</f>
        <v>524012</v>
      </c>
      <c r="E18" s="61">
        <v>447240.55</v>
      </c>
      <c r="F18" s="20">
        <f t="shared" si="0"/>
        <v>76771.450000000012</v>
      </c>
      <c r="G18" s="21">
        <f t="shared" si="1"/>
        <v>1009799.2200000002</v>
      </c>
      <c r="I18" s="88">
        <v>44958</v>
      </c>
      <c r="J18" s="84">
        <f>28555+27527</f>
        <v>56082</v>
      </c>
      <c r="K18" s="105">
        <f>27527+28555</f>
        <v>56082</v>
      </c>
      <c r="L18" s="87">
        <f t="shared" si="2"/>
        <v>0</v>
      </c>
      <c r="M18" s="87">
        <f>M17+L18</f>
        <v>0</v>
      </c>
    </row>
    <row r="19" spans="2:13" x14ac:dyDescent="0.2">
      <c r="B19" s="8">
        <v>4</v>
      </c>
      <c r="C19" s="19">
        <v>44986</v>
      </c>
      <c r="D19" s="60">
        <f>668046-168</f>
        <v>667878</v>
      </c>
      <c r="E19" s="61">
        <f>654440.47</f>
        <v>654440.47</v>
      </c>
      <c r="F19" s="20">
        <f t="shared" si="0"/>
        <v>13437.530000000028</v>
      </c>
      <c r="G19" s="21">
        <f t="shared" si="1"/>
        <v>1023236.7500000002</v>
      </c>
      <c r="I19" s="88">
        <v>44986</v>
      </c>
      <c r="J19" s="84">
        <f>41555+45090</f>
        <v>86645</v>
      </c>
      <c r="K19" s="84">
        <f>45090+41555</f>
        <v>86645</v>
      </c>
      <c r="L19" s="87">
        <f t="shared" si="2"/>
        <v>0</v>
      </c>
      <c r="M19" s="87">
        <f t="shared" ref="M19:M22" si="3">M18+L19</f>
        <v>0</v>
      </c>
    </row>
    <row r="20" spans="2:13" x14ac:dyDescent="0.2">
      <c r="B20" s="8">
        <v>5</v>
      </c>
      <c r="C20" s="19">
        <v>45017</v>
      </c>
      <c r="D20" s="60">
        <f>654418-229</f>
        <v>654189</v>
      </c>
      <c r="E20" s="61">
        <f>691778.44</f>
        <v>691778.44</v>
      </c>
      <c r="F20" s="20">
        <f t="shared" si="0"/>
        <v>-37589.439999999944</v>
      </c>
      <c r="G20" s="21">
        <f t="shared" si="1"/>
        <v>985647.31000000029</v>
      </c>
      <c r="I20" s="88">
        <v>45017</v>
      </c>
      <c r="J20" s="84">
        <f>55120+62000</f>
        <v>117120</v>
      </c>
      <c r="K20" s="101">
        <f>62000+55120</f>
        <v>117120</v>
      </c>
      <c r="L20" s="87">
        <f t="shared" si="2"/>
        <v>0</v>
      </c>
      <c r="M20" s="87">
        <f t="shared" si="3"/>
        <v>0</v>
      </c>
    </row>
    <row r="21" spans="2:13" x14ac:dyDescent="0.2">
      <c r="B21" s="8">
        <v>6</v>
      </c>
      <c r="C21" s="19">
        <v>45047</v>
      </c>
      <c r="D21" s="60">
        <f>646432-222</f>
        <v>646210</v>
      </c>
      <c r="E21" s="61">
        <v>670429.39</v>
      </c>
      <c r="F21" s="20">
        <f t="shared" si="0"/>
        <v>-24219.390000000014</v>
      </c>
      <c r="G21" s="21">
        <f t="shared" si="1"/>
        <v>961427.92000000027</v>
      </c>
      <c r="I21" s="88">
        <v>45047</v>
      </c>
      <c r="J21" s="84">
        <f>58482+72800</f>
        <v>131282</v>
      </c>
      <c r="K21" s="89">
        <f>72800+58482</f>
        <v>131282</v>
      </c>
      <c r="L21" s="87">
        <f t="shared" si="2"/>
        <v>0</v>
      </c>
      <c r="M21" s="87">
        <f t="shared" si="3"/>
        <v>0</v>
      </c>
    </row>
    <row r="22" spans="2:13" x14ac:dyDescent="0.2">
      <c r="B22" s="8">
        <v>7</v>
      </c>
      <c r="C22" s="19">
        <v>45078</v>
      </c>
      <c r="D22" s="60">
        <f>733600-262</f>
        <v>733338</v>
      </c>
      <c r="E22" s="61">
        <v>811987.51</v>
      </c>
      <c r="F22" s="22">
        <f t="shared" si="0"/>
        <v>-78649.510000000009</v>
      </c>
      <c r="G22" s="23">
        <f t="shared" si="1"/>
        <v>882778.41000000027</v>
      </c>
      <c r="I22" s="90">
        <v>45078</v>
      </c>
      <c r="J22" s="91">
        <f>62883+76867</f>
        <v>139750</v>
      </c>
      <c r="K22" s="102">
        <f>76867+62883</f>
        <v>139750</v>
      </c>
      <c r="L22" s="92">
        <f t="shared" si="2"/>
        <v>0</v>
      </c>
      <c r="M22" s="92">
        <f t="shared" si="3"/>
        <v>0</v>
      </c>
    </row>
    <row r="23" spans="2:13" x14ac:dyDescent="0.2">
      <c r="B23" s="24" t="s">
        <v>28</v>
      </c>
      <c r="C23" s="17">
        <v>45108</v>
      </c>
      <c r="D23" s="58">
        <f>990951-271</f>
        <v>990680</v>
      </c>
      <c r="E23" s="59">
        <v>1049511.97</v>
      </c>
      <c r="F23" s="18">
        <f t="shared" si="0"/>
        <v>-58831.969999999972</v>
      </c>
      <c r="G23" s="16">
        <f t="shared" si="1"/>
        <v>823946.44000000029</v>
      </c>
      <c r="I23" s="88">
        <v>45108</v>
      </c>
      <c r="J23" s="89">
        <f>66390+87731</f>
        <v>154121</v>
      </c>
      <c r="K23" s="89">
        <f>87731+66390</f>
        <v>154121</v>
      </c>
      <c r="L23" s="87">
        <f t="shared" si="2"/>
        <v>0</v>
      </c>
      <c r="M23" s="87">
        <f>M22+L23</f>
        <v>0</v>
      </c>
    </row>
    <row r="24" spans="2:13" x14ac:dyDescent="0.2">
      <c r="B24" s="25" t="s">
        <v>29</v>
      </c>
      <c r="C24" s="26">
        <v>45139</v>
      </c>
      <c r="D24" s="62">
        <f>1016146-0</f>
        <v>1016146</v>
      </c>
      <c r="E24" s="63">
        <v>925248.43</v>
      </c>
      <c r="F24" s="22">
        <f t="shared" si="0"/>
        <v>90897.569999999949</v>
      </c>
      <c r="G24" s="23">
        <f t="shared" si="1"/>
        <v>914844.01000000024</v>
      </c>
      <c r="I24" s="90">
        <v>45139</v>
      </c>
      <c r="J24" s="91">
        <f>76114+95429</f>
        <v>171543</v>
      </c>
      <c r="K24" s="104">
        <f>95429+76114</f>
        <v>171543</v>
      </c>
      <c r="L24" s="92">
        <f t="shared" si="2"/>
        <v>0</v>
      </c>
      <c r="M24" s="92">
        <f>M23+L24</f>
        <v>0</v>
      </c>
    </row>
    <row r="25" spans="2:13" x14ac:dyDescent="0.2">
      <c r="B25" s="9"/>
      <c r="C25" s="27" t="s">
        <v>70</v>
      </c>
      <c r="D25" s="28"/>
      <c r="E25" s="28"/>
      <c r="F25" s="28"/>
      <c r="G25" s="29"/>
      <c r="I25" s="94"/>
      <c r="J25" s="94"/>
      <c r="K25" s="94"/>
      <c r="L25" s="94"/>
      <c r="M25" s="94"/>
    </row>
    <row r="26" spans="2:13" x14ac:dyDescent="0.2">
      <c r="B26" s="6"/>
      <c r="C26" s="5"/>
      <c r="D26" s="5"/>
      <c r="E26" s="5"/>
      <c r="F26" s="5"/>
      <c r="G26" s="16"/>
      <c r="I26" s="95" t="s">
        <v>97</v>
      </c>
      <c r="J26" s="96"/>
      <c r="K26" s="96"/>
      <c r="L26" s="97"/>
      <c r="M26" s="98">
        <f>M22</f>
        <v>0</v>
      </c>
    </row>
    <row r="27" spans="2:13" x14ac:dyDescent="0.2">
      <c r="B27" s="8"/>
      <c r="C27" s="7"/>
      <c r="D27" s="8" t="s">
        <v>30</v>
      </c>
      <c r="E27" s="8" t="s">
        <v>31</v>
      </c>
      <c r="F27" s="7"/>
      <c r="G27" s="21"/>
      <c r="I27" s="94"/>
      <c r="J27" s="94"/>
      <c r="K27" s="94"/>
      <c r="L27" s="94"/>
      <c r="M27" s="99"/>
    </row>
    <row r="28" spans="2:13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  <c r="I28" s="95" t="s">
        <v>98</v>
      </c>
      <c r="J28" s="96"/>
      <c r="K28" s="96"/>
      <c r="L28" s="97"/>
      <c r="M28" s="98">
        <f>M26/6</f>
        <v>0</v>
      </c>
    </row>
    <row r="29" spans="2:13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13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13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13" x14ac:dyDescent="0.2">
      <c r="B32" s="24" t="s">
        <v>43</v>
      </c>
      <c r="C32" s="5" t="s">
        <v>82</v>
      </c>
      <c r="D32" s="16">
        <f>-G13</f>
        <v>-729972</v>
      </c>
      <c r="E32" s="16">
        <f>D64</f>
        <v>0</v>
      </c>
      <c r="F32" s="5"/>
      <c r="G32" s="16">
        <f t="shared" ref="G32:G34" si="4">D32+E32</f>
        <v>-729972</v>
      </c>
    </row>
    <row r="33" spans="2:7" x14ac:dyDescent="0.2">
      <c r="B33" s="31" t="s">
        <v>44</v>
      </c>
      <c r="C33" s="66" t="s">
        <v>84</v>
      </c>
      <c r="D33" s="21">
        <f>-G14</f>
        <v>81747.430000000051</v>
      </c>
      <c r="E33" s="21">
        <v>0</v>
      </c>
      <c r="F33" s="7"/>
      <c r="G33" s="21">
        <f t="shared" si="4"/>
        <v>81747.430000000051</v>
      </c>
    </row>
    <row r="34" spans="2:7" x14ac:dyDescent="0.2">
      <c r="B34" s="31" t="s">
        <v>45</v>
      </c>
      <c r="C34" s="49" t="s">
        <v>87</v>
      </c>
      <c r="D34" s="23">
        <f>-G15</f>
        <v>-148059.55000000016</v>
      </c>
      <c r="E34" s="23">
        <v>0</v>
      </c>
      <c r="F34" s="32"/>
      <c r="G34" s="23">
        <f t="shared" si="4"/>
        <v>-148059.55000000016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-796284.12000000011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86494.290000000154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14415.715000000026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796284.12000000011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-796284.12000000011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86494.290000000154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86494.290000000095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112"/>
      <c r="G56" s="112"/>
    </row>
    <row r="57" spans="2:7" x14ac:dyDescent="0.2">
      <c r="B57" s="36"/>
      <c r="C57" s="9" t="s">
        <v>17</v>
      </c>
      <c r="D57" s="9" t="s">
        <v>104</v>
      </c>
      <c r="E57" s="31"/>
      <c r="F57" s="112"/>
      <c r="G57" s="112"/>
    </row>
    <row r="58" spans="2:7" x14ac:dyDescent="0.2">
      <c r="C58" s="17">
        <v>44927</v>
      </c>
      <c r="D58" s="50">
        <v>0</v>
      </c>
      <c r="E58" s="113"/>
      <c r="F58" s="71"/>
      <c r="G58" s="71"/>
    </row>
    <row r="59" spans="2:7" x14ac:dyDescent="0.2">
      <c r="C59" s="19">
        <v>44958</v>
      </c>
      <c r="D59" s="51">
        <v>0</v>
      </c>
      <c r="E59" s="113"/>
      <c r="F59" s="71"/>
      <c r="G59" s="71"/>
    </row>
    <row r="60" spans="2:7" x14ac:dyDescent="0.2">
      <c r="C60" s="19">
        <v>44986</v>
      </c>
      <c r="D60" s="51">
        <v>0</v>
      </c>
      <c r="E60" s="113"/>
      <c r="F60" s="71"/>
      <c r="G60" s="71"/>
    </row>
    <row r="61" spans="2:7" x14ac:dyDescent="0.2">
      <c r="C61" s="19">
        <v>45017</v>
      </c>
      <c r="D61" s="51">
        <v>0</v>
      </c>
      <c r="E61" s="113"/>
      <c r="F61" s="71"/>
      <c r="G61" s="71"/>
    </row>
    <row r="62" spans="2:7" x14ac:dyDescent="0.2">
      <c r="C62" s="19">
        <v>45047</v>
      </c>
      <c r="D62" s="51">
        <v>0</v>
      </c>
      <c r="E62" s="113"/>
      <c r="F62" s="71"/>
      <c r="G62" s="71"/>
    </row>
    <row r="63" spans="2:7" x14ac:dyDescent="0.2">
      <c r="C63" s="19">
        <v>45078</v>
      </c>
      <c r="D63" s="52">
        <v>0</v>
      </c>
      <c r="E63" s="113"/>
      <c r="F63" s="71"/>
      <c r="G63" s="71"/>
    </row>
    <row r="64" spans="2:7" x14ac:dyDescent="0.2">
      <c r="C64" s="53" t="s">
        <v>57</v>
      </c>
      <c r="D64" s="39">
        <f>SUM(D58:D63)</f>
        <v>0</v>
      </c>
      <c r="E64" s="20"/>
      <c r="F64" s="71"/>
      <c r="G64" s="71"/>
    </row>
    <row r="65" spans="6:7" x14ac:dyDescent="0.2">
      <c r="F65" s="44"/>
      <c r="G65" s="44"/>
    </row>
  </sheetData>
  <mergeCells count="3">
    <mergeCell ref="B4:G5"/>
    <mergeCell ref="C12:G12"/>
    <mergeCell ref="I4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7"/>
  <sheetViews>
    <sheetView topLeftCell="A20" workbookViewId="0">
      <selection activeCell="E33" sqref="E33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99</v>
      </c>
    </row>
    <row r="4" spans="1:13" ht="14.25" customHeight="1" x14ac:dyDescent="0.2">
      <c r="A4" s="55"/>
      <c r="B4" s="115" t="s">
        <v>101</v>
      </c>
      <c r="C4" s="116"/>
      <c r="D4" s="116"/>
      <c r="E4" s="116"/>
      <c r="F4" s="116"/>
      <c r="G4" s="117"/>
      <c r="I4" s="124" t="s">
        <v>102</v>
      </c>
      <c r="J4" s="125"/>
      <c r="K4" s="125"/>
      <c r="L4" s="125"/>
      <c r="M4" s="126"/>
    </row>
    <row r="5" spans="1:13" ht="14.25" customHeight="1" x14ac:dyDescent="0.2">
      <c r="A5" s="55"/>
      <c r="B5" s="118"/>
      <c r="C5" s="119"/>
      <c r="D5" s="119"/>
      <c r="E5" s="119"/>
      <c r="F5" s="119"/>
      <c r="G5" s="120"/>
      <c r="I5" s="127"/>
      <c r="J5" s="128"/>
      <c r="K5" s="128"/>
      <c r="L5" s="128"/>
      <c r="M5" s="129"/>
    </row>
    <row r="6" spans="1:13" ht="15" x14ac:dyDescent="0.2">
      <c r="A6" s="55"/>
      <c r="I6" s="74"/>
      <c r="J6" s="74"/>
      <c r="K6" s="74"/>
      <c r="L6" s="74"/>
      <c r="M6" s="74"/>
    </row>
    <row r="7" spans="1:13" x14ac:dyDescent="0.2">
      <c r="A7" s="55"/>
      <c r="B7" s="5"/>
      <c r="C7" s="5"/>
      <c r="D7" s="5"/>
      <c r="E7" s="6" t="s">
        <v>7</v>
      </c>
      <c r="F7" s="5"/>
      <c r="G7" s="5"/>
    </row>
    <row r="8" spans="1:13" x14ac:dyDescent="0.2">
      <c r="A8" s="55"/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A9" s="55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A10" s="55"/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ht="15.75" x14ac:dyDescent="0.25">
      <c r="A11" s="55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5" t="s">
        <v>103</v>
      </c>
      <c r="J11" s="74"/>
      <c r="K11" s="74"/>
      <c r="L11" s="74"/>
      <c r="M11" s="74"/>
    </row>
    <row r="12" spans="1:13" ht="15" x14ac:dyDescent="0.2">
      <c r="A12" s="55"/>
      <c r="B12" s="6">
        <v>1</v>
      </c>
      <c r="C12" s="121" t="s">
        <v>22</v>
      </c>
      <c r="D12" s="122"/>
      <c r="E12" s="122"/>
      <c r="F12" s="122"/>
      <c r="G12" s="123"/>
      <c r="I12" s="74"/>
      <c r="J12" s="74"/>
      <c r="K12" s="74"/>
      <c r="L12" s="74"/>
      <c r="M12" s="74"/>
    </row>
    <row r="13" spans="1:13" x14ac:dyDescent="0.2">
      <c r="A13" s="55"/>
      <c r="B13" s="6" t="s">
        <v>23</v>
      </c>
      <c r="C13" s="12" t="s">
        <v>80</v>
      </c>
      <c r="D13" s="12"/>
      <c r="E13" s="12"/>
      <c r="F13" s="13"/>
      <c r="G13" s="14">
        <v>729972</v>
      </c>
      <c r="I13" s="76"/>
      <c r="J13" s="76"/>
      <c r="K13" s="77" t="s">
        <v>7</v>
      </c>
      <c r="L13" s="76"/>
      <c r="M13" s="76"/>
    </row>
    <row r="14" spans="1:13" x14ac:dyDescent="0.2">
      <c r="A14" s="55"/>
      <c r="B14" s="8" t="s">
        <v>24</v>
      </c>
      <c r="C14" s="12" t="s">
        <v>81</v>
      </c>
      <c r="D14" s="12"/>
      <c r="E14" s="12"/>
      <c r="F14" s="13"/>
      <c r="G14" s="57">
        <f>'A - 05-31-22'!G33</f>
        <v>-81747.430000000051</v>
      </c>
      <c r="I14" s="78"/>
      <c r="J14" s="79" t="s">
        <v>8</v>
      </c>
      <c r="K14" s="79" t="s">
        <v>9</v>
      </c>
      <c r="L14" s="78"/>
      <c r="M14" s="78"/>
    </row>
    <row r="15" spans="1:13" x14ac:dyDescent="0.2">
      <c r="A15" s="55"/>
      <c r="B15" s="8" t="s">
        <v>25</v>
      </c>
      <c r="C15" s="12" t="s">
        <v>86</v>
      </c>
      <c r="D15" s="12"/>
      <c r="E15" s="12"/>
      <c r="F15" s="13"/>
      <c r="G15" s="57">
        <f>'B - 11-30-22'!G35</f>
        <v>148059.55000000016</v>
      </c>
      <c r="I15" s="78"/>
      <c r="J15" s="79" t="s">
        <v>10</v>
      </c>
      <c r="K15" s="79" t="s">
        <v>11</v>
      </c>
      <c r="L15" s="79" t="s">
        <v>12</v>
      </c>
      <c r="M15" s="79" t="s">
        <v>13</v>
      </c>
    </row>
    <row r="16" spans="1:13" x14ac:dyDescent="0.2">
      <c r="A16" s="55"/>
      <c r="B16" s="8" t="s">
        <v>26</v>
      </c>
      <c r="C16" s="12" t="s">
        <v>89</v>
      </c>
      <c r="D16" s="12"/>
      <c r="E16" s="12"/>
      <c r="F16" s="15"/>
      <c r="G16" s="58">
        <f>'C - 05-31-23'!G37</f>
        <v>86494.290000000154</v>
      </c>
      <c r="I16" s="80"/>
      <c r="J16" s="80" t="s">
        <v>14</v>
      </c>
      <c r="K16" s="80" t="s">
        <v>14</v>
      </c>
      <c r="L16" s="80" t="s">
        <v>15</v>
      </c>
      <c r="M16" s="80" t="s">
        <v>15</v>
      </c>
    </row>
    <row r="17" spans="1:13" x14ac:dyDescent="0.2">
      <c r="A17" s="55"/>
      <c r="B17" s="9" t="s">
        <v>58</v>
      </c>
      <c r="C17" s="12" t="s">
        <v>27</v>
      </c>
      <c r="D17" s="12"/>
      <c r="E17" s="12"/>
      <c r="F17" s="15"/>
      <c r="G17" s="16">
        <f>G13+G14+G15+G16</f>
        <v>882778.41000000027</v>
      </c>
      <c r="I17" s="81" t="s">
        <v>17</v>
      </c>
      <c r="J17" s="82" t="s">
        <v>96</v>
      </c>
      <c r="K17" s="82" t="s">
        <v>18</v>
      </c>
      <c r="L17" s="82" t="s">
        <v>19</v>
      </c>
      <c r="M17" s="82" t="s">
        <v>20</v>
      </c>
    </row>
    <row r="18" spans="1:13" x14ac:dyDescent="0.2">
      <c r="A18" s="55"/>
      <c r="B18" s="8">
        <v>2</v>
      </c>
      <c r="C18" s="17">
        <v>45108</v>
      </c>
      <c r="D18" s="58">
        <f>990951-271</f>
        <v>990680</v>
      </c>
      <c r="E18" s="59">
        <v>1049511.97</v>
      </c>
      <c r="F18" s="18">
        <f t="shared" ref="F18:F25" si="0">D18-E18</f>
        <v>-58831.969999999972</v>
      </c>
      <c r="G18" s="16">
        <f t="shared" ref="G18:G25" si="1">G17+F18</f>
        <v>823946.44000000029</v>
      </c>
      <c r="I18" s="17">
        <v>45108</v>
      </c>
      <c r="J18" s="84">
        <f>66390+87731</f>
        <v>154121</v>
      </c>
      <c r="K18" s="85">
        <f>87731+66390</f>
        <v>154121</v>
      </c>
      <c r="L18" s="86">
        <f t="shared" ref="L18:L25" si="2">J18-K18</f>
        <v>0</v>
      </c>
      <c r="M18" s="87">
        <f>L18</f>
        <v>0</v>
      </c>
    </row>
    <row r="19" spans="1:13" x14ac:dyDescent="0.2">
      <c r="A19" s="55"/>
      <c r="B19" s="8">
        <v>3</v>
      </c>
      <c r="C19" s="19">
        <v>45139</v>
      </c>
      <c r="D19" s="60">
        <f>1016146-0</f>
        <v>1016146</v>
      </c>
      <c r="E19" s="61">
        <v>925248.43</v>
      </c>
      <c r="F19" s="20">
        <f t="shared" si="0"/>
        <v>90897.569999999949</v>
      </c>
      <c r="G19" s="21">
        <f t="shared" si="1"/>
        <v>914844.01000000024</v>
      </c>
      <c r="I19" s="19">
        <v>45139</v>
      </c>
      <c r="J19" s="84">
        <f>76114+95429</f>
        <v>171543</v>
      </c>
      <c r="K19" s="105">
        <f>95429+76114</f>
        <v>171543</v>
      </c>
      <c r="L19" s="87">
        <f t="shared" si="2"/>
        <v>0</v>
      </c>
      <c r="M19" s="87">
        <f>M18+L19</f>
        <v>0</v>
      </c>
    </row>
    <row r="20" spans="1:13" x14ac:dyDescent="0.2">
      <c r="A20" s="55"/>
      <c r="B20" s="8">
        <v>4</v>
      </c>
      <c r="C20" s="19">
        <v>45170</v>
      </c>
      <c r="D20" s="60">
        <f>662838-0</f>
        <v>662838</v>
      </c>
      <c r="E20" s="61">
        <v>592134.24</v>
      </c>
      <c r="F20" s="20">
        <f t="shared" si="0"/>
        <v>70703.760000000009</v>
      </c>
      <c r="G20" s="21">
        <f t="shared" si="1"/>
        <v>985547.77000000025</v>
      </c>
      <c r="I20" s="19">
        <v>45170</v>
      </c>
      <c r="J20" s="84">
        <f>55139+85250</f>
        <v>140389</v>
      </c>
      <c r="K20" s="84">
        <f>85250+55139</f>
        <v>140389</v>
      </c>
      <c r="L20" s="87">
        <f t="shared" si="2"/>
        <v>0</v>
      </c>
      <c r="M20" s="87">
        <f t="shared" ref="M20:M23" si="3">M19+L20</f>
        <v>0</v>
      </c>
    </row>
    <row r="21" spans="1:13" x14ac:dyDescent="0.2">
      <c r="A21" s="55"/>
      <c r="B21" s="8">
        <v>5</v>
      </c>
      <c r="C21" s="19">
        <v>45200</v>
      </c>
      <c r="D21" s="60">
        <f>591938-207</f>
        <v>591731</v>
      </c>
      <c r="E21" s="61">
        <v>590969.74</v>
      </c>
      <c r="F21" s="20">
        <f t="shared" si="0"/>
        <v>761.26000000000931</v>
      </c>
      <c r="G21" s="21">
        <f t="shared" si="1"/>
        <v>986309.03000000026</v>
      </c>
      <c r="I21" s="19">
        <v>45200</v>
      </c>
      <c r="J21" s="84">
        <f>53552+93438</f>
        <v>146990</v>
      </c>
      <c r="K21" s="101">
        <f>93438+53552</f>
        <v>146990</v>
      </c>
      <c r="L21" s="87">
        <f t="shared" si="2"/>
        <v>0</v>
      </c>
      <c r="M21" s="87">
        <f t="shared" si="3"/>
        <v>0</v>
      </c>
    </row>
    <row r="22" spans="1:13" x14ac:dyDescent="0.2">
      <c r="A22" s="55"/>
      <c r="B22" s="8">
        <v>6</v>
      </c>
      <c r="C22" s="19">
        <v>45231</v>
      </c>
      <c r="D22" s="60">
        <f>935440-245</f>
        <v>935195</v>
      </c>
      <c r="E22" s="61">
        <v>882475.59</v>
      </c>
      <c r="F22" s="20">
        <f t="shared" si="0"/>
        <v>52719.410000000033</v>
      </c>
      <c r="G22" s="21">
        <f t="shared" si="1"/>
        <v>1039028.4400000003</v>
      </c>
      <c r="I22" s="19">
        <v>45231</v>
      </c>
      <c r="J22" s="84">
        <f>55472+98967</f>
        <v>154439</v>
      </c>
      <c r="K22" s="89">
        <f>98967+55472</f>
        <v>154439</v>
      </c>
      <c r="L22" s="87">
        <f t="shared" si="2"/>
        <v>0</v>
      </c>
      <c r="M22" s="87">
        <f t="shared" si="3"/>
        <v>0</v>
      </c>
    </row>
    <row r="23" spans="1:13" x14ac:dyDescent="0.2">
      <c r="A23" s="55"/>
      <c r="B23" s="8">
        <v>7</v>
      </c>
      <c r="C23" s="19">
        <v>45261</v>
      </c>
      <c r="D23" s="60">
        <f>1057608-251</f>
        <v>1057357</v>
      </c>
      <c r="E23" s="61">
        <f>1103233.3</f>
        <v>1103233.3</v>
      </c>
      <c r="F23" s="22">
        <f t="shared" si="0"/>
        <v>-45876.300000000047</v>
      </c>
      <c r="G23" s="23">
        <f t="shared" si="1"/>
        <v>993152.14000000025</v>
      </c>
      <c r="I23" s="19">
        <v>45261</v>
      </c>
      <c r="J23" s="91">
        <f>50686+99308</f>
        <v>149994</v>
      </c>
      <c r="K23" s="102">
        <f>99308+50686</f>
        <v>149994</v>
      </c>
      <c r="L23" s="92">
        <f t="shared" si="2"/>
        <v>0</v>
      </c>
      <c r="M23" s="92">
        <f t="shared" si="3"/>
        <v>0</v>
      </c>
    </row>
    <row r="24" spans="1:13" x14ac:dyDescent="0.2">
      <c r="A24" s="55"/>
      <c r="B24" s="24" t="s">
        <v>28</v>
      </c>
      <c r="C24" s="17">
        <v>45292</v>
      </c>
      <c r="D24" s="58">
        <f>1365042-232</f>
        <v>1364810</v>
      </c>
      <c r="E24" s="59">
        <v>1199633.3799999999</v>
      </c>
      <c r="F24" s="18">
        <f t="shared" si="0"/>
        <v>165176.62000000011</v>
      </c>
      <c r="G24" s="16">
        <f t="shared" si="1"/>
        <v>1158328.7600000002</v>
      </c>
      <c r="I24" s="17">
        <v>45292</v>
      </c>
      <c r="J24" s="89">
        <f>52898+94216</f>
        <v>147114</v>
      </c>
      <c r="K24" s="89">
        <f>94216+52898</f>
        <v>147114</v>
      </c>
      <c r="L24" s="87">
        <f t="shared" si="2"/>
        <v>0</v>
      </c>
      <c r="M24" s="87">
        <f>M23+L24</f>
        <v>0</v>
      </c>
    </row>
    <row r="25" spans="1:13" x14ac:dyDescent="0.2">
      <c r="A25" s="55"/>
      <c r="B25" s="25" t="s">
        <v>29</v>
      </c>
      <c r="C25" s="26">
        <v>45323</v>
      </c>
      <c r="D25" s="62">
        <f>930950-214</f>
        <v>930736</v>
      </c>
      <c r="E25" s="63">
        <v>791271.88</v>
      </c>
      <c r="F25" s="22">
        <f t="shared" si="0"/>
        <v>139464.12</v>
      </c>
      <c r="G25" s="23">
        <f t="shared" si="1"/>
        <v>1297792.8800000004</v>
      </c>
      <c r="I25" s="26">
        <v>45323</v>
      </c>
      <c r="J25" s="91">
        <f>52553+105366</f>
        <v>157919</v>
      </c>
      <c r="K25" s="104">
        <f>105366+52553</f>
        <v>157919</v>
      </c>
      <c r="L25" s="92">
        <f t="shared" si="2"/>
        <v>0</v>
      </c>
      <c r="M25" s="92">
        <f>M24+L25</f>
        <v>0</v>
      </c>
    </row>
    <row r="26" spans="1:13" x14ac:dyDescent="0.2">
      <c r="A26" s="55"/>
      <c r="B26" s="9"/>
      <c r="C26" s="27" t="s">
        <v>74</v>
      </c>
      <c r="D26" s="28"/>
      <c r="E26" s="28"/>
      <c r="F26" s="28"/>
      <c r="G26" s="29"/>
      <c r="I26" s="94"/>
      <c r="J26" s="94"/>
      <c r="K26" s="94"/>
      <c r="L26" s="94"/>
      <c r="M26" s="94"/>
    </row>
    <row r="27" spans="1:13" x14ac:dyDescent="0.2">
      <c r="A27" s="55"/>
      <c r="B27" s="6"/>
      <c r="C27" s="5"/>
      <c r="D27" s="5"/>
      <c r="E27" s="5"/>
      <c r="F27" s="5"/>
      <c r="G27" s="16"/>
      <c r="I27" s="95" t="s">
        <v>97</v>
      </c>
      <c r="J27" s="96"/>
      <c r="K27" s="96"/>
      <c r="L27" s="97"/>
      <c r="M27" s="98">
        <f>M23</f>
        <v>0</v>
      </c>
    </row>
    <row r="28" spans="1:13" x14ac:dyDescent="0.2">
      <c r="A28" s="55"/>
      <c r="B28" s="8"/>
      <c r="C28" s="7"/>
      <c r="D28" s="8" t="s">
        <v>30</v>
      </c>
      <c r="E28" s="8" t="s">
        <v>31</v>
      </c>
      <c r="F28" s="7"/>
      <c r="G28" s="21"/>
      <c r="I28" s="94"/>
      <c r="J28" s="94"/>
      <c r="K28" s="94"/>
      <c r="L28" s="94"/>
      <c r="M28" s="99"/>
    </row>
    <row r="29" spans="1:13" x14ac:dyDescent="0.2">
      <c r="A29" s="55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  <c r="I29" s="95" t="s">
        <v>98</v>
      </c>
      <c r="J29" s="96"/>
      <c r="K29" s="96"/>
      <c r="L29" s="97"/>
      <c r="M29" s="98">
        <f>M27/6</f>
        <v>0</v>
      </c>
    </row>
    <row r="30" spans="1:13" x14ac:dyDescent="0.2">
      <c r="A30" s="55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13" x14ac:dyDescent="0.2">
      <c r="A31" s="55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13" x14ac:dyDescent="0.2">
      <c r="A32" s="55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5"/>
      <c r="B33" s="24" t="s">
        <v>43</v>
      </c>
      <c r="C33" s="67" t="s">
        <v>90</v>
      </c>
      <c r="D33" s="68">
        <f>-G13</f>
        <v>-729972</v>
      </c>
      <c r="E33" s="68">
        <f>D66</f>
        <v>0</v>
      </c>
      <c r="F33" s="43"/>
      <c r="G33" s="69">
        <f t="shared" ref="G33:G36" si="4">D33+E33</f>
        <v>-729972</v>
      </c>
    </row>
    <row r="34" spans="1:7" x14ac:dyDescent="0.2">
      <c r="A34" s="55"/>
      <c r="B34" s="31" t="s">
        <v>44</v>
      </c>
      <c r="C34" s="70" t="s">
        <v>84</v>
      </c>
      <c r="D34" s="71">
        <f>-G14</f>
        <v>81747.430000000051</v>
      </c>
      <c r="E34" s="71">
        <v>0</v>
      </c>
      <c r="F34" s="44"/>
      <c r="G34" s="45">
        <f t="shared" si="4"/>
        <v>81747.430000000051</v>
      </c>
    </row>
    <row r="35" spans="1:7" x14ac:dyDescent="0.2">
      <c r="A35" s="55"/>
      <c r="B35" s="31" t="s">
        <v>45</v>
      </c>
      <c r="C35" s="70" t="s">
        <v>87</v>
      </c>
      <c r="D35" s="71">
        <f>-G15</f>
        <v>-148059.55000000016</v>
      </c>
      <c r="E35" s="71">
        <v>0</v>
      </c>
      <c r="F35" s="44"/>
      <c r="G35" s="45">
        <f t="shared" si="4"/>
        <v>-148059.55000000016</v>
      </c>
    </row>
    <row r="36" spans="1:7" x14ac:dyDescent="0.2">
      <c r="A36" s="55"/>
      <c r="B36" s="31" t="s">
        <v>46</v>
      </c>
      <c r="C36" s="72" t="s">
        <v>91</v>
      </c>
      <c r="D36" s="73">
        <f>-G16</f>
        <v>-86494.290000000154</v>
      </c>
      <c r="E36" s="73">
        <v>0</v>
      </c>
      <c r="F36" s="48"/>
      <c r="G36" s="46">
        <f t="shared" si="4"/>
        <v>-86494.290000000154</v>
      </c>
    </row>
    <row r="37" spans="1:7" x14ac:dyDescent="0.2">
      <c r="A37" s="55"/>
      <c r="B37" s="9" t="s">
        <v>59</v>
      </c>
      <c r="C37" s="33"/>
      <c r="D37" s="34"/>
      <c r="E37" s="34"/>
      <c r="F37" s="35" t="s">
        <v>47</v>
      </c>
      <c r="G37" s="23">
        <f>G33+G34+G35+G36</f>
        <v>-882778.41000000027</v>
      </c>
    </row>
    <row r="38" spans="1:7" x14ac:dyDescent="0.2">
      <c r="A38" s="55"/>
      <c r="B38" s="36"/>
      <c r="G38" s="37"/>
    </row>
    <row r="39" spans="1:7" x14ac:dyDescent="0.2">
      <c r="A39" s="55"/>
      <c r="B39" s="10">
        <v>9</v>
      </c>
      <c r="C39" s="38" t="s">
        <v>60</v>
      </c>
      <c r="D39" s="12"/>
      <c r="E39" s="12"/>
      <c r="F39" s="13"/>
      <c r="G39" s="39">
        <f>G23+G37</f>
        <v>110373.72999999998</v>
      </c>
    </row>
    <row r="40" spans="1:7" x14ac:dyDescent="0.2">
      <c r="A40" s="55"/>
      <c r="B40" s="36"/>
      <c r="G40" s="37"/>
    </row>
    <row r="41" spans="1:7" x14ac:dyDescent="0.2">
      <c r="A41" s="55"/>
      <c r="B41" s="10">
        <v>10</v>
      </c>
      <c r="C41" s="38" t="s">
        <v>62</v>
      </c>
      <c r="D41" s="12"/>
      <c r="E41" s="12"/>
      <c r="F41" s="13"/>
      <c r="G41" s="39">
        <f>G39/6</f>
        <v>18395.621666666662</v>
      </c>
    </row>
    <row r="42" spans="1:7" x14ac:dyDescent="0.2">
      <c r="A42" s="55"/>
    </row>
    <row r="43" spans="1:7" x14ac:dyDescent="0.2">
      <c r="A43" s="55"/>
      <c r="B43" s="5"/>
      <c r="C43" s="40" t="s">
        <v>48</v>
      </c>
      <c r="D43" s="41"/>
      <c r="E43" s="41"/>
      <c r="F43" s="41"/>
      <c r="G43" s="42"/>
    </row>
    <row r="44" spans="1:7" x14ac:dyDescent="0.2">
      <c r="A44" s="55"/>
      <c r="B44" s="5"/>
      <c r="C44" s="43"/>
      <c r="D44" s="43"/>
      <c r="E44" s="43"/>
      <c r="F44" s="43"/>
      <c r="G44" s="15"/>
    </row>
    <row r="45" spans="1:7" x14ac:dyDescent="0.2">
      <c r="A45" s="55"/>
      <c r="B45" s="8">
        <v>11</v>
      </c>
      <c r="C45" s="44" t="s">
        <v>49</v>
      </c>
      <c r="D45" s="44"/>
      <c r="E45" s="44"/>
      <c r="F45" s="44"/>
      <c r="G45" s="45">
        <f>G17</f>
        <v>882778.41000000027</v>
      </c>
    </row>
    <row r="46" spans="1:7" x14ac:dyDescent="0.2">
      <c r="A46" s="55"/>
      <c r="B46" s="8">
        <v>12</v>
      </c>
      <c r="C46" s="44" t="s">
        <v>50</v>
      </c>
      <c r="D46" s="44"/>
      <c r="E46" s="44"/>
      <c r="F46" s="44"/>
      <c r="G46" s="46">
        <f>G37</f>
        <v>-882778.41000000027</v>
      </c>
    </row>
    <row r="47" spans="1:7" x14ac:dyDescent="0.2">
      <c r="A47" s="55"/>
      <c r="B47" s="8"/>
      <c r="C47" s="44"/>
      <c r="D47" s="44"/>
      <c r="E47" s="44"/>
      <c r="F47" s="44"/>
      <c r="G47" s="45"/>
    </row>
    <row r="48" spans="1:7" ht="15" thickBot="1" x14ac:dyDescent="0.25">
      <c r="A48" s="55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5"/>
      <c r="B49" s="8"/>
      <c r="C49" s="44"/>
      <c r="D49" s="44"/>
      <c r="E49" s="44"/>
      <c r="F49" s="44"/>
      <c r="G49" s="45"/>
    </row>
    <row r="50" spans="1:7" x14ac:dyDescent="0.2">
      <c r="A50" s="55"/>
      <c r="B50" s="8">
        <v>14</v>
      </c>
      <c r="C50" s="44" t="s">
        <v>52</v>
      </c>
      <c r="D50" s="44"/>
      <c r="E50" s="44"/>
      <c r="F50" s="44"/>
      <c r="G50" s="45">
        <f>G39</f>
        <v>110373.72999999998</v>
      </c>
    </row>
    <row r="51" spans="1:7" x14ac:dyDescent="0.2">
      <c r="A51" s="55"/>
      <c r="B51" s="8"/>
      <c r="C51" s="44"/>
      <c r="D51" s="44"/>
      <c r="E51" s="44"/>
      <c r="F51" s="44"/>
      <c r="G51" s="45"/>
    </row>
    <row r="52" spans="1:7" x14ac:dyDescent="0.2">
      <c r="A52" s="55"/>
      <c r="B52" s="8">
        <v>15</v>
      </c>
      <c r="C52" s="44" t="s">
        <v>53</v>
      </c>
      <c r="D52" s="44"/>
      <c r="E52" s="44"/>
      <c r="F52" s="44"/>
      <c r="G52" s="46">
        <f>SUM(F18:F23)</f>
        <v>110373.72999999998</v>
      </c>
    </row>
    <row r="53" spans="1:7" x14ac:dyDescent="0.2">
      <c r="A53" s="55"/>
      <c r="B53" s="8"/>
      <c r="C53" s="44"/>
      <c r="D53" s="44"/>
      <c r="E53" s="44"/>
      <c r="F53" s="44"/>
      <c r="G53" s="45"/>
    </row>
    <row r="54" spans="1:7" ht="15" thickBot="1" x14ac:dyDescent="0.25">
      <c r="A54" s="55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5"/>
      <c r="B55" s="32"/>
      <c r="C55" s="48"/>
      <c r="D55" s="48"/>
      <c r="E55" s="48"/>
      <c r="F55" s="48"/>
      <c r="G55" s="49"/>
    </row>
    <row r="56" spans="1:7" x14ac:dyDescent="0.2">
      <c r="A56" s="55"/>
    </row>
    <row r="57" spans="1:7" x14ac:dyDescent="0.2">
      <c r="A57" s="55"/>
      <c r="B57" t="s">
        <v>55</v>
      </c>
    </row>
    <row r="58" spans="1:7" x14ac:dyDescent="0.2">
      <c r="A58" s="55"/>
      <c r="B58" s="36"/>
      <c r="C58" s="5"/>
      <c r="D58" s="6" t="s">
        <v>56</v>
      </c>
      <c r="E58" s="31"/>
      <c r="F58" s="112"/>
      <c r="G58" s="112"/>
    </row>
    <row r="59" spans="1:7" x14ac:dyDescent="0.2">
      <c r="B59" s="36"/>
      <c r="C59" s="9" t="s">
        <v>17</v>
      </c>
      <c r="D59" s="9" t="s">
        <v>104</v>
      </c>
      <c r="E59" s="31"/>
      <c r="F59" s="112"/>
      <c r="G59" s="112"/>
    </row>
    <row r="60" spans="1:7" x14ac:dyDescent="0.2">
      <c r="C60" s="17">
        <v>45108</v>
      </c>
      <c r="D60" s="50">
        <v>0</v>
      </c>
      <c r="E60" s="113"/>
      <c r="F60" s="71"/>
      <c r="G60" s="71"/>
    </row>
    <row r="61" spans="1:7" x14ac:dyDescent="0.2">
      <c r="C61" s="19">
        <v>45139</v>
      </c>
      <c r="D61" s="51">
        <v>0</v>
      </c>
      <c r="E61" s="113"/>
      <c r="F61" s="71"/>
      <c r="G61" s="71"/>
    </row>
    <row r="62" spans="1:7" x14ac:dyDescent="0.2">
      <c r="C62" s="19">
        <v>45170</v>
      </c>
      <c r="D62" s="51">
        <v>0</v>
      </c>
      <c r="E62" s="113"/>
      <c r="F62" s="71"/>
      <c r="G62" s="71"/>
    </row>
    <row r="63" spans="1:7" x14ac:dyDescent="0.2">
      <c r="C63" s="19">
        <v>45200</v>
      </c>
      <c r="D63" s="51">
        <v>0</v>
      </c>
      <c r="E63" s="113"/>
      <c r="F63" s="71"/>
      <c r="G63" s="71"/>
    </row>
    <row r="64" spans="1:7" x14ac:dyDescent="0.2">
      <c r="C64" s="19">
        <v>45231</v>
      </c>
      <c r="D64" s="51">
        <v>0</v>
      </c>
      <c r="E64" s="113"/>
      <c r="F64" s="71"/>
      <c r="G64" s="71"/>
    </row>
    <row r="65" spans="3:7" x14ac:dyDescent="0.2">
      <c r="C65" s="19">
        <v>45261</v>
      </c>
      <c r="D65" s="52">
        <v>0</v>
      </c>
      <c r="E65" s="113"/>
      <c r="F65" s="71"/>
      <c r="G65" s="71"/>
    </row>
    <row r="66" spans="3:7" x14ac:dyDescent="0.2">
      <c r="C66" s="53" t="s">
        <v>57</v>
      </c>
      <c r="D66" s="39">
        <f>SUM(D60:D65)</f>
        <v>0</v>
      </c>
      <c r="E66" s="20"/>
      <c r="F66" s="71"/>
      <c r="G66" s="71"/>
    </row>
    <row r="67" spans="3:7" x14ac:dyDescent="0.2">
      <c r="F67" s="44"/>
      <c r="G67" s="44"/>
    </row>
  </sheetData>
  <mergeCells count="3">
    <mergeCell ref="B4:G5"/>
    <mergeCell ref="C12:G12"/>
    <mergeCell ref="I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7"/>
  <sheetViews>
    <sheetView workbookViewId="0">
      <selection activeCell="E37" sqref="E37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99</v>
      </c>
    </row>
    <row r="4" spans="1:13" ht="14.25" customHeight="1" x14ac:dyDescent="0.2">
      <c r="B4" s="115" t="s">
        <v>101</v>
      </c>
      <c r="C4" s="116"/>
      <c r="D4" s="116"/>
      <c r="E4" s="116"/>
      <c r="F4" s="116"/>
      <c r="G4" s="117"/>
      <c r="I4" s="124" t="s">
        <v>102</v>
      </c>
      <c r="J4" s="125"/>
      <c r="K4" s="125"/>
      <c r="L4" s="125"/>
      <c r="M4" s="126"/>
    </row>
    <row r="5" spans="1:13" ht="14.25" customHeight="1" x14ac:dyDescent="0.2">
      <c r="B5" s="118"/>
      <c r="C5" s="119"/>
      <c r="D5" s="119"/>
      <c r="E5" s="119"/>
      <c r="F5" s="119"/>
      <c r="G5" s="120"/>
      <c r="I5" s="127"/>
      <c r="J5" s="128"/>
      <c r="K5" s="128"/>
      <c r="L5" s="128"/>
      <c r="M5" s="129"/>
    </row>
    <row r="6" spans="1:13" ht="15" x14ac:dyDescent="0.2">
      <c r="I6" s="74"/>
      <c r="J6" s="74"/>
      <c r="K6" s="74"/>
      <c r="L6" s="74"/>
      <c r="M6" s="7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ht="15.75" x14ac:dyDescent="0.25">
      <c r="B12" s="6">
        <v>1</v>
      </c>
      <c r="C12" s="121" t="s">
        <v>22</v>
      </c>
      <c r="D12" s="122"/>
      <c r="E12" s="122"/>
      <c r="F12" s="122"/>
      <c r="G12" s="123"/>
      <c r="I12" s="75" t="s">
        <v>103</v>
      </c>
      <c r="J12" s="74"/>
      <c r="K12" s="74"/>
      <c r="L12" s="74"/>
      <c r="M12" s="74"/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729972</v>
      </c>
      <c r="I13" s="74"/>
      <c r="J13" s="74"/>
      <c r="K13" s="74"/>
      <c r="L13" s="74"/>
      <c r="M13" s="74"/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-81747.430000000051</v>
      </c>
      <c r="I14" s="76"/>
      <c r="J14" s="76"/>
      <c r="K14" s="77" t="s">
        <v>7</v>
      </c>
      <c r="L14" s="76"/>
      <c r="M14" s="76"/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148059.55000000016</v>
      </c>
      <c r="I15" s="78"/>
      <c r="J15" s="79" t="s">
        <v>8</v>
      </c>
      <c r="K15" s="79" t="s">
        <v>9</v>
      </c>
      <c r="L15" s="78"/>
      <c r="M15" s="78"/>
    </row>
    <row r="16" spans="1:13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86494.290000000154</v>
      </c>
      <c r="I16" s="78"/>
      <c r="J16" s="79" t="s">
        <v>10</v>
      </c>
      <c r="K16" s="79" t="s">
        <v>11</v>
      </c>
      <c r="L16" s="79" t="s">
        <v>12</v>
      </c>
      <c r="M16" s="79" t="s">
        <v>13</v>
      </c>
    </row>
    <row r="17" spans="2:13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110373.72999999998</v>
      </c>
      <c r="I17" s="80"/>
      <c r="J17" s="80" t="s">
        <v>14</v>
      </c>
      <c r="K17" s="80" t="s">
        <v>14</v>
      </c>
      <c r="L17" s="80" t="s">
        <v>15</v>
      </c>
      <c r="M17" s="80" t="s">
        <v>15</v>
      </c>
    </row>
    <row r="18" spans="2:13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993152.14000000025</v>
      </c>
      <c r="I18" s="81" t="s">
        <v>17</v>
      </c>
      <c r="J18" s="82" t="s">
        <v>96</v>
      </c>
      <c r="K18" s="82" t="s">
        <v>18</v>
      </c>
      <c r="L18" s="82" t="s">
        <v>19</v>
      </c>
      <c r="M18" s="82" t="s">
        <v>20</v>
      </c>
    </row>
    <row r="19" spans="2:13" x14ac:dyDescent="0.2">
      <c r="B19" s="8">
        <v>2</v>
      </c>
      <c r="C19" s="17">
        <v>45292</v>
      </c>
      <c r="D19" s="58">
        <f>1365042-232</f>
        <v>1364810</v>
      </c>
      <c r="E19" s="59">
        <v>1199633.3799999999</v>
      </c>
      <c r="F19" s="18">
        <f t="shared" ref="F19:F26" si="0">D19-E19</f>
        <v>165176.62000000011</v>
      </c>
      <c r="G19" s="16">
        <f t="shared" ref="G19:G26" si="1">G18+F19</f>
        <v>1158328.7600000002</v>
      </c>
      <c r="I19" s="17">
        <v>45292</v>
      </c>
      <c r="J19" s="89">
        <f>52898+94216</f>
        <v>147114</v>
      </c>
      <c r="K19" s="89">
        <f>94216+52898</f>
        <v>147114</v>
      </c>
      <c r="L19" s="86">
        <f t="shared" ref="L19:L26" si="2">J19-K19</f>
        <v>0</v>
      </c>
      <c r="M19" s="87">
        <f>L19</f>
        <v>0</v>
      </c>
    </row>
    <row r="20" spans="2:13" x14ac:dyDescent="0.2">
      <c r="B20" s="8">
        <v>3</v>
      </c>
      <c r="C20" s="19">
        <v>45323</v>
      </c>
      <c r="D20" s="60">
        <f>930950-214</f>
        <v>930736</v>
      </c>
      <c r="E20" s="61">
        <v>791271.88</v>
      </c>
      <c r="F20" s="20">
        <f t="shared" si="0"/>
        <v>139464.12</v>
      </c>
      <c r="G20" s="21">
        <f t="shared" si="1"/>
        <v>1297792.8800000004</v>
      </c>
      <c r="I20" s="19">
        <v>45323</v>
      </c>
      <c r="J20" s="89">
        <f>52553+105366</f>
        <v>157919</v>
      </c>
      <c r="K20" s="100">
        <f>105366+52553</f>
        <v>157919</v>
      </c>
      <c r="L20" s="87">
        <f t="shared" si="2"/>
        <v>0</v>
      </c>
      <c r="M20" s="87">
        <f>M19+L20</f>
        <v>0</v>
      </c>
    </row>
    <row r="21" spans="2:13" x14ac:dyDescent="0.2">
      <c r="B21" s="8">
        <v>4</v>
      </c>
      <c r="C21" s="19">
        <v>45352</v>
      </c>
      <c r="D21" s="60">
        <f>537919-151</f>
        <v>537768</v>
      </c>
      <c r="E21" s="61">
        <f>480907.48</f>
        <v>480907.48</v>
      </c>
      <c r="F21" s="20">
        <f t="shared" si="0"/>
        <v>56860.520000000019</v>
      </c>
      <c r="G21" s="21">
        <f t="shared" si="1"/>
        <v>1354653.4000000004</v>
      </c>
      <c r="I21" s="19">
        <v>45352</v>
      </c>
      <c r="J21" s="84">
        <f>36730+78998</f>
        <v>115728</v>
      </c>
      <c r="K21" s="84">
        <f>78998+36730</f>
        <v>115728</v>
      </c>
      <c r="L21" s="87">
        <f t="shared" si="2"/>
        <v>0</v>
      </c>
      <c r="M21" s="87">
        <f t="shared" ref="M21:M24" si="3">M20+L21</f>
        <v>0</v>
      </c>
    </row>
    <row r="22" spans="2:13" x14ac:dyDescent="0.2">
      <c r="B22" s="8">
        <v>5</v>
      </c>
      <c r="C22" s="19">
        <v>45383</v>
      </c>
      <c r="D22" s="60">
        <f>542798-207</f>
        <v>542591</v>
      </c>
      <c r="E22" s="61">
        <v>723364.64</v>
      </c>
      <c r="F22" s="20">
        <f t="shared" si="0"/>
        <v>-180773.64</v>
      </c>
      <c r="G22" s="21">
        <f t="shared" si="1"/>
        <v>1173879.7600000002</v>
      </c>
      <c r="I22" s="19">
        <v>45383</v>
      </c>
      <c r="J22" s="84">
        <f>44717+91582</f>
        <v>136299</v>
      </c>
      <c r="K22" s="101">
        <f>91582+44717</f>
        <v>136299</v>
      </c>
      <c r="L22" s="87">
        <f t="shared" si="2"/>
        <v>0</v>
      </c>
      <c r="M22" s="87">
        <f t="shared" si="3"/>
        <v>0</v>
      </c>
    </row>
    <row r="23" spans="2:13" x14ac:dyDescent="0.2">
      <c r="B23" s="8">
        <v>6</v>
      </c>
      <c r="C23" s="19">
        <v>45413</v>
      </c>
      <c r="D23" s="60">
        <f>725042-246</f>
        <v>724796</v>
      </c>
      <c r="E23" s="61">
        <f>899559.15</f>
        <v>899559.15</v>
      </c>
      <c r="F23" s="20">
        <f t="shared" si="0"/>
        <v>-174763.15000000002</v>
      </c>
      <c r="G23" s="21">
        <f t="shared" si="1"/>
        <v>999116.61000000022</v>
      </c>
      <c r="I23" s="19">
        <v>45413</v>
      </c>
      <c r="J23" s="84">
        <f>61594+120170</f>
        <v>181764</v>
      </c>
      <c r="K23" s="89">
        <f>120170+61594</f>
        <v>181764</v>
      </c>
      <c r="L23" s="87">
        <f t="shared" si="2"/>
        <v>0</v>
      </c>
      <c r="M23" s="87">
        <f t="shared" si="3"/>
        <v>0</v>
      </c>
    </row>
    <row r="24" spans="2:13" x14ac:dyDescent="0.2">
      <c r="B24" s="8">
        <v>7</v>
      </c>
      <c r="C24" s="19">
        <v>45444</v>
      </c>
      <c r="D24" s="60">
        <f>1062822-294</f>
        <v>1062528</v>
      </c>
      <c r="E24" s="61">
        <v>1182012.5900000001</v>
      </c>
      <c r="F24" s="22">
        <f t="shared" si="0"/>
        <v>-119484.59000000008</v>
      </c>
      <c r="G24" s="23">
        <f t="shared" si="1"/>
        <v>879632.02000000014</v>
      </c>
      <c r="I24" s="19">
        <v>45444</v>
      </c>
      <c r="J24" s="91">
        <f>74927+128888</f>
        <v>203815</v>
      </c>
      <c r="K24" s="102">
        <f>128888+74927</f>
        <v>203815</v>
      </c>
      <c r="L24" s="92">
        <f t="shared" si="2"/>
        <v>0</v>
      </c>
      <c r="M24" s="92">
        <f t="shared" si="3"/>
        <v>0</v>
      </c>
    </row>
    <row r="25" spans="2:13" x14ac:dyDescent="0.2">
      <c r="B25" s="24" t="s">
        <v>28</v>
      </c>
      <c r="C25" s="17">
        <v>45474</v>
      </c>
      <c r="D25" s="58">
        <f>1038233-0</f>
        <v>1038233</v>
      </c>
      <c r="E25" s="59">
        <v>1226214.8899999999</v>
      </c>
      <c r="F25" s="18">
        <f t="shared" si="0"/>
        <v>-187981.8899999999</v>
      </c>
      <c r="G25" s="16">
        <f t="shared" si="1"/>
        <v>691650.13000000024</v>
      </c>
      <c r="I25" s="17">
        <v>45474</v>
      </c>
      <c r="J25" s="89">
        <f>66618+120123</f>
        <v>186741</v>
      </c>
      <c r="K25" s="89">
        <f>120123+66618</f>
        <v>186741</v>
      </c>
      <c r="L25" s="87">
        <f t="shared" si="2"/>
        <v>0</v>
      </c>
      <c r="M25" s="87">
        <f>M24+L25</f>
        <v>0</v>
      </c>
    </row>
    <row r="26" spans="2:13" x14ac:dyDescent="0.2">
      <c r="B26" s="25" t="s">
        <v>29</v>
      </c>
      <c r="C26" s="26">
        <v>45505</v>
      </c>
      <c r="D26" s="62">
        <f>887283-0</f>
        <v>887283</v>
      </c>
      <c r="E26" s="63">
        <v>1008962.9</v>
      </c>
      <c r="F26" s="22">
        <f t="shared" si="0"/>
        <v>-121679.90000000002</v>
      </c>
      <c r="G26" s="23">
        <f t="shared" si="1"/>
        <v>569970.23000000021</v>
      </c>
      <c r="I26" s="26">
        <v>45505</v>
      </c>
      <c r="J26" s="91">
        <f>61666+109574</f>
        <v>171240</v>
      </c>
      <c r="K26" s="104">
        <f>109574+61666</f>
        <v>171240</v>
      </c>
      <c r="L26" s="92">
        <f t="shared" si="2"/>
        <v>0</v>
      </c>
      <c r="M26" s="92">
        <f>M25+L26</f>
        <v>0</v>
      </c>
    </row>
    <row r="27" spans="2:13" x14ac:dyDescent="0.2">
      <c r="B27" s="9"/>
      <c r="C27" s="27" t="s">
        <v>76</v>
      </c>
      <c r="D27" s="28"/>
      <c r="E27" s="28"/>
      <c r="F27" s="28"/>
      <c r="G27" s="29"/>
      <c r="I27" s="94"/>
      <c r="J27" s="94"/>
      <c r="K27" s="94"/>
      <c r="L27" s="94"/>
      <c r="M27" s="94"/>
    </row>
    <row r="28" spans="2:13" x14ac:dyDescent="0.2">
      <c r="B28" s="6"/>
      <c r="C28" s="5"/>
      <c r="D28" s="5"/>
      <c r="E28" s="5"/>
      <c r="F28" s="5"/>
      <c r="G28" s="16"/>
      <c r="I28" s="95" t="s">
        <v>97</v>
      </c>
      <c r="J28" s="96"/>
      <c r="K28" s="96"/>
      <c r="L28" s="97"/>
      <c r="M28" s="98">
        <f>M24</f>
        <v>0</v>
      </c>
    </row>
    <row r="29" spans="2:13" x14ac:dyDescent="0.2">
      <c r="B29" s="8"/>
      <c r="C29" s="7"/>
      <c r="D29" s="8" t="s">
        <v>30</v>
      </c>
      <c r="E29" s="8" t="s">
        <v>31</v>
      </c>
      <c r="F29" s="7"/>
      <c r="G29" s="21"/>
      <c r="I29" s="94"/>
      <c r="J29" s="94"/>
      <c r="K29" s="94"/>
      <c r="L29" s="94"/>
      <c r="M29" s="99"/>
    </row>
    <row r="30" spans="2:13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  <c r="I30" s="95" t="s">
        <v>98</v>
      </c>
      <c r="J30" s="96"/>
      <c r="K30" s="96"/>
      <c r="L30" s="97"/>
      <c r="M30" s="98">
        <f>M28/6</f>
        <v>0</v>
      </c>
    </row>
    <row r="31" spans="2:13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13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-729972</v>
      </c>
      <c r="E34" s="16">
        <f>D68</f>
        <v>486648</v>
      </c>
      <c r="F34" s="5"/>
      <c r="G34" s="16">
        <f t="shared" ref="G34:G38" si="4">D34+E34</f>
        <v>-243324</v>
      </c>
    </row>
    <row r="35" spans="2:7" x14ac:dyDescent="0.2">
      <c r="B35" s="31" t="s">
        <v>44</v>
      </c>
      <c r="C35" s="7" t="s">
        <v>84</v>
      </c>
      <c r="D35" s="21">
        <f>-G14</f>
        <v>81747.430000000051</v>
      </c>
      <c r="E35" s="21">
        <v>0</v>
      </c>
      <c r="F35" s="7"/>
      <c r="G35" s="21">
        <f t="shared" si="4"/>
        <v>81747.430000000051</v>
      </c>
    </row>
    <row r="36" spans="2:7" x14ac:dyDescent="0.2">
      <c r="B36" s="31" t="s">
        <v>45</v>
      </c>
      <c r="C36" s="7" t="s">
        <v>87</v>
      </c>
      <c r="D36" s="21">
        <f>-G15</f>
        <v>-148059.55000000016</v>
      </c>
      <c r="E36" s="21">
        <v>0</v>
      </c>
      <c r="F36" s="7"/>
      <c r="G36" s="21">
        <f t="shared" si="4"/>
        <v>-148059.55000000016</v>
      </c>
    </row>
    <row r="37" spans="2:7" x14ac:dyDescent="0.2">
      <c r="B37" s="31" t="s">
        <v>46</v>
      </c>
      <c r="C37" s="7" t="s">
        <v>91</v>
      </c>
      <c r="D37" s="21">
        <f>-G16</f>
        <v>-86494.290000000154</v>
      </c>
      <c r="E37" s="21">
        <v>0</v>
      </c>
      <c r="F37" s="7"/>
      <c r="G37" s="21">
        <f t="shared" si="4"/>
        <v>-86494.290000000154</v>
      </c>
    </row>
    <row r="38" spans="2:7" x14ac:dyDescent="0.2">
      <c r="B38" s="31" t="s">
        <v>59</v>
      </c>
      <c r="C38" s="32" t="s">
        <v>93</v>
      </c>
      <c r="D38" s="23">
        <f>-G17</f>
        <v>-110373.72999999998</v>
      </c>
      <c r="E38" s="23">
        <v>0</v>
      </c>
      <c r="F38" s="32"/>
      <c r="G38" s="23">
        <f t="shared" si="4"/>
        <v>-110373.72999999998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-506504.14000000025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373127.87999999989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62187.979999999981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993152.14000000025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-506504.14000000025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486648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373127.87999999989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-113520.12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486647.99999999988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112"/>
      <c r="G60" s="112"/>
    </row>
    <row r="61" spans="2:7" x14ac:dyDescent="0.2">
      <c r="B61" s="36"/>
      <c r="C61" s="9" t="s">
        <v>17</v>
      </c>
      <c r="D61" s="9" t="s">
        <v>104</v>
      </c>
      <c r="E61" s="31"/>
      <c r="F61" s="112"/>
      <c r="G61" s="112"/>
    </row>
    <row r="62" spans="2:7" x14ac:dyDescent="0.2">
      <c r="C62" s="17">
        <v>45292</v>
      </c>
      <c r="D62" s="50">
        <v>0</v>
      </c>
      <c r="E62" s="113"/>
      <c r="F62" s="71"/>
      <c r="G62" s="71"/>
    </row>
    <row r="63" spans="2:7" x14ac:dyDescent="0.2">
      <c r="C63" s="19">
        <v>45323</v>
      </c>
      <c r="D63" s="51">
        <v>0</v>
      </c>
      <c r="E63" s="113"/>
      <c r="F63" s="71"/>
      <c r="G63" s="71"/>
    </row>
    <row r="64" spans="2:7" x14ac:dyDescent="0.2">
      <c r="C64" s="19">
        <v>45352</v>
      </c>
      <c r="D64" s="51">
        <v>121662</v>
      </c>
      <c r="E64" s="113"/>
      <c r="F64" s="71"/>
      <c r="G64" s="71"/>
    </row>
    <row r="65" spans="2:7" x14ac:dyDescent="0.2">
      <c r="C65" s="19">
        <v>45383</v>
      </c>
      <c r="D65" s="51">
        <v>121662</v>
      </c>
      <c r="E65" s="113"/>
      <c r="F65" s="71"/>
      <c r="G65" s="71"/>
    </row>
    <row r="66" spans="2:7" x14ac:dyDescent="0.2">
      <c r="C66" s="19">
        <v>45413</v>
      </c>
      <c r="D66" s="51">
        <v>121662</v>
      </c>
      <c r="E66" s="113"/>
      <c r="F66" s="71"/>
      <c r="G66" s="71"/>
    </row>
    <row r="67" spans="2:7" x14ac:dyDescent="0.2">
      <c r="C67" s="19">
        <v>45444</v>
      </c>
      <c r="D67" s="52">
        <v>121662</v>
      </c>
      <c r="E67" s="113"/>
      <c r="F67" s="71"/>
      <c r="G67" s="71"/>
    </row>
    <row r="68" spans="2:7" x14ac:dyDescent="0.2">
      <c r="C68" s="53" t="s">
        <v>57</v>
      </c>
      <c r="D68" s="39">
        <f>SUM(D62:D67)</f>
        <v>486648</v>
      </c>
      <c r="E68" s="20"/>
      <c r="F68" s="71"/>
      <c r="G68" s="71"/>
    </row>
    <row r="69" spans="2:7" x14ac:dyDescent="0.2">
      <c r="F69" s="44"/>
      <c r="G69" s="44"/>
    </row>
    <row r="79" spans="2:7" x14ac:dyDescent="0.2">
      <c r="B79" s="55"/>
    </row>
    <row r="80" spans="2:7" x14ac:dyDescent="0.2">
      <c r="B80" s="55"/>
    </row>
    <row r="81" spans="2:2" x14ac:dyDescent="0.2">
      <c r="B81" s="55"/>
    </row>
    <row r="82" spans="2:2" x14ac:dyDescent="0.2">
      <c r="B82" s="55"/>
    </row>
    <row r="83" spans="2:2" x14ac:dyDescent="0.2">
      <c r="B83" s="55"/>
    </row>
    <row r="84" spans="2:2" x14ac:dyDescent="0.2">
      <c r="B84" s="55"/>
    </row>
    <row r="85" spans="2:2" x14ac:dyDescent="0.2">
      <c r="B85" s="55"/>
    </row>
    <row r="86" spans="2:2" x14ac:dyDescent="0.2">
      <c r="B86" s="55"/>
    </row>
    <row r="87" spans="2:2" x14ac:dyDescent="0.2">
      <c r="B87" s="55"/>
    </row>
  </sheetData>
  <mergeCells count="3">
    <mergeCell ref="B4:G5"/>
    <mergeCell ref="C12:G12"/>
    <mergeCell ref="I4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workbookViewId="0">
      <selection activeCell="D25" sqref="D25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99</v>
      </c>
    </row>
    <row r="4" spans="1:13" ht="14.25" customHeight="1" x14ac:dyDescent="0.2">
      <c r="B4" s="115" t="s">
        <v>101</v>
      </c>
      <c r="C4" s="116"/>
      <c r="D4" s="116"/>
      <c r="E4" s="116"/>
      <c r="F4" s="116"/>
      <c r="G4" s="117"/>
      <c r="I4" s="124" t="s">
        <v>102</v>
      </c>
      <c r="J4" s="125"/>
      <c r="K4" s="125"/>
      <c r="L4" s="125"/>
      <c r="M4" s="126"/>
    </row>
    <row r="5" spans="1:13" ht="14.25" customHeight="1" x14ac:dyDescent="0.2">
      <c r="B5" s="118"/>
      <c r="C5" s="119"/>
      <c r="D5" s="119"/>
      <c r="E5" s="119"/>
      <c r="F5" s="119"/>
      <c r="G5" s="120"/>
      <c r="I5" s="127"/>
      <c r="J5" s="128"/>
      <c r="K5" s="128"/>
      <c r="L5" s="128"/>
      <c r="M5" s="129"/>
    </row>
    <row r="6" spans="1:13" ht="15" x14ac:dyDescent="0.2">
      <c r="I6" s="74"/>
      <c r="J6" s="74"/>
      <c r="K6" s="74"/>
      <c r="L6" s="74"/>
      <c r="M6" s="7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ht="15.75" x14ac:dyDescent="0.25">
      <c r="B12" s="6">
        <v>1</v>
      </c>
      <c r="C12" s="121" t="s">
        <v>22</v>
      </c>
      <c r="D12" s="122"/>
      <c r="E12" s="122"/>
      <c r="F12" s="122"/>
      <c r="G12" s="123"/>
      <c r="I12" s="75"/>
      <c r="J12" s="74"/>
      <c r="K12" s="74"/>
      <c r="L12" s="74"/>
      <c r="M12" s="74"/>
    </row>
    <row r="13" spans="1:13" ht="15.75" x14ac:dyDescent="0.25">
      <c r="B13" s="6" t="s">
        <v>23</v>
      </c>
      <c r="C13" s="12" t="s">
        <v>80</v>
      </c>
      <c r="D13" s="12"/>
      <c r="E13" s="12"/>
      <c r="F13" s="13"/>
      <c r="G13" s="14">
        <v>243324</v>
      </c>
      <c r="I13" s="75" t="s">
        <v>103</v>
      </c>
      <c r="J13" s="74"/>
      <c r="K13" s="74"/>
      <c r="L13" s="74"/>
      <c r="M13" s="74"/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-81747.430000000051</v>
      </c>
      <c r="I14" s="74"/>
      <c r="J14" s="74"/>
      <c r="K14" s="74"/>
      <c r="L14" s="74"/>
      <c r="M14" s="74"/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148059.55000000016</v>
      </c>
      <c r="I15" s="76"/>
      <c r="J15" s="76"/>
      <c r="K15" s="77" t="s">
        <v>7</v>
      </c>
      <c r="L15" s="76"/>
      <c r="M15" s="76"/>
    </row>
    <row r="16" spans="1:13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86494.290000000154</v>
      </c>
      <c r="I16" s="78"/>
      <c r="J16" s="79" t="s">
        <v>8</v>
      </c>
      <c r="K16" s="79" t="s">
        <v>9</v>
      </c>
      <c r="L16" s="78"/>
      <c r="M16" s="78"/>
    </row>
    <row r="17" spans="2:13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110373.72999999998</v>
      </c>
      <c r="I17" s="78"/>
      <c r="J17" s="79" t="s">
        <v>10</v>
      </c>
      <c r="K17" s="79" t="s">
        <v>11</v>
      </c>
      <c r="L17" s="79" t="s">
        <v>12</v>
      </c>
      <c r="M17" s="79" t="s">
        <v>13</v>
      </c>
    </row>
    <row r="18" spans="2:13" x14ac:dyDescent="0.2">
      <c r="B18" s="8" t="s">
        <v>64</v>
      </c>
      <c r="C18" s="12" t="s">
        <v>94</v>
      </c>
      <c r="D18" s="12"/>
      <c r="E18" s="12"/>
      <c r="F18" s="15"/>
      <c r="G18" s="58">
        <f>'E - 05-31-24'!G41</f>
        <v>373127.87999999989</v>
      </c>
      <c r="I18" s="80"/>
      <c r="J18" s="80" t="s">
        <v>14</v>
      </c>
      <c r="K18" s="80" t="s">
        <v>14</v>
      </c>
      <c r="L18" s="80" t="s">
        <v>15</v>
      </c>
      <c r="M18" s="80" t="s">
        <v>15</v>
      </c>
    </row>
    <row r="19" spans="2:13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879632.02000000014</v>
      </c>
      <c r="I19" s="81" t="s">
        <v>17</v>
      </c>
      <c r="J19" s="82" t="s">
        <v>96</v>
      </c>
      <c r="K19" s="82" t="s">
        <v>18</v>
      </c>
      <c r="L19" s="82" t="s">
        <v>19</v>
      </c>
      <c r="M19" s="82" t="s">
        <v>20</v>
      </c>
    </row>
    <row r="20" spans="2:13" x14ac:dyDescent="0.2">
      <c r="B20" s="8">
        <v>2</v>
      </c>
      <c r="C20" s="17">
        <v>45474</v>
      </c>
      <c r="D20" s="58">
        <f>1038233-0</f>
        <v>1038233</v>
      </c>
      <c r="E20" s="59">
        <v>1226214.8899999999</v>
      </c>
      <c r="F20" s="18">
        <f t="shared" ref="F20:F27" si="0">D20-E20</f>
        <v>-187981.8899999999</v>
      </c>
      <c r="G20" s="16">
        <f t="shared" ref="G20:G27" si="1">G19+F20</f>
        <v>691650.13000000024</v>
      </c>
      <c r="I20" s="17">
        <v>45474</v>
      </c>
      <c r="J20" s="89">
        <f>66618+120123</f>
        <v>186741</v>
      </c>
      <c r="K20" s="89">
        <f>120123+66618</f>
        <v>186741</v>
      </c>
      <c r="L20" s="86">
        <f t="shared" ref="L20:L27" si="2">J20-K20</f>
        <v>0</v>
      </c>
      <c r="M20" s="87">
        <f>L20</f>
        <v>0</v>
      </c>
    </row>
    <row r="21" spans="2:13" x14ac:dyDescent="0.2">
      <c r="B21" s="8">
        <v>3</v>
      </c>
      <c r="C21" s="19">
        <v>45505</v>
      </c>
      <c r="D21" s="60">
        <f>887283-0</f>
        <v>887283</v>
      </c>
      <c r="E21" s="61">
        <v>1008962.9</v>
      </c>
      <c r="F21" s="20">
        <f t="shared" si="0"/>
        <v>-121679.90000000002</v>
      </c>
      <c r="G21" s="21">
        <f t="shared" si="1"/>
        <v>569970.23000000021</v>
      </c>
      <c r="I21" s="19">
        <v>45505</v>
      </c>
      <c r="J21" s="89">
        <f>61666+109574</f>
        <v>171240</v>
      </c>
      <c r="K21" s="100">
        <f>109574+61666</f>
        <v>171240</v>
      </c>
      <c r="L21" s="87">
        <f t="shared" si="2"/>
        <v>0</v>
      </c>
      <c r="M21" s="87">
        <f>M20+L21</f>
        <v>0</v>
      </c>
    </row>
    <row r="22" spans="2:13" x14ac:dyDescent="0.2">
      <c r="B22" s="8">
        <v>4</v>
      </c>
      <c r="C22" s="19">
        <v>45536</v>
      </c>
      <c r="D22" s="60">
        <f>827598-0</f>
        <v>827598</v>
      </c>
      <c r="E22" s="61">
        <v>889802.23999999999</v>
      </c>
      <c r="F22" s="20">
        <f t="shared" si="0"/>
        <v>-62204.239999999991</v>
      </c>
      <c r="G22" s="21">
        <f t="shared" si="1"/>
        <v>507765.99000000022</v>
      </c>
      <c r="I22" s="19">
        <v>45536</v>
      </c>
      <c r="J22" s="84">
        <f>67740+120383</f>
        <v>188123</v>
      </c>
      <c r="K22" s="84">
        <f>120383+67740</f>
        <v>188123</v>
      </c>
      <c r="L22" s="87">
        <f t="shared" si="2"/>
        <v>0</v>
      </c>
      <c r="M22" s="87">
        <f t="shared" ref="M22:M25" si="3">M21+L22</f>
        <v>0</v>
      </c>
    </row>
    <row r="23" spans="2:13" x14ac:dyDescent="0.2">
      <c r="B23" s="8">
        <v>5</v>
      </c>
      <c r="C23" s="19">
        <v>45566</v>
      </c>
      <c r="D23" s="60">
        <f>683112-243</f>
        <v>682869</v>
      </c>
      <c r="E23" s="61">
        <v>810898.08</v>
      </c>
      <c r="F23" s="20">
        <f t="shared" si="0"/>
        <v>-128029.07999999996</v>
      </c>
      <c r="G23" s="21">
        <f t="shared" si="1"/>
        <v>379736.91000000027</v>
      </c>
      <c r="I23" s="19">
        <v>45566</v>
      </c>
      <c r="J23" s="84">
        <f>56360+89998</f>
        <v>146358</v>
      </c>
      <c r="K23" s="101">
        <f>89998+56360</f>
        <v>146358</v>
      </c>
      <c r="L23" s="87">
        <f t="shared" si="2"/>
        <v>0</v>
      </c>
      <c r="M23" s="87">
        <f t="shared" si="3"/>
        <v>0</v>
      </c>
    </row>
    <row r="24" spans="2:13" x14ac:dyDescent="0.2">
      <c r="B24" s="8">
        <v>6</v>
      </c>
      <c r="C24" s="19">
        <v>45597</v>
      </c>
      <c r="D24" s="60">
        <f>876390-259</f>
        <v>876131</v>
      </c>
      <c r="E24" s="61">
        <v>1001374.23</v>
      </c>
      <c r="F24" s="20">
        <f t="shared" si="0"/>
        <v>-125243.22999999998</v>
      </c>
      <c r="G24" s="21">
        <f t="shared" si="1"/>
        <v>254493.68000000028</v>
      </c>
      <c r="I24" s="19">
        <v>45597</v>
      </c>
      <c r="J24" s="84">
        <f>48006+75955</f>
        <v>123961</v>
      </c>
      <c r="K24" s="89">
        <f>75955+48006</f>
        <v>123961</v>
      </c>
      <c r="L24" s="87">
        <f t="shared" si="2"/>
        <v>0</v>
      </c>
      <c r="M24" s="87">
        <f t="shared" si="3"/>
        <v>0</v>
      </c>
    </row>
    <row r="25" spans="2:13" x14ac:dyDescent="0.2">
      <c r="B25" s="8">
        <v>7</v>
      </c>
      <c r="C25" s="19">
        <v>45627</v>
      </c>
      <c r="D25" s="60">
        <f>1435497-307</f>
        <v>1435190</v>
      </c>
      <c r="E25" s="61">
        <v>1513899.11</v>
      </c>
      <c r="F25" s="22">
        <f t="shared" si="0"/>
        <v>-78709.110000000102</v>
      </c>
      <c r="G25" s="23">
        <f t="shared" si="1"/>
        <v>175784.57000000018</v>
      </c>
      <c r="I25" s="19">
        <v>45627</v>
      </c>
      <c r="J25" s="91">
        <f>51235+88052</f>
        <v>139287</v>
      </c>
      <c r="K25" s="102">
        <f>88052+51235</f>
        <v>139287</v>
      </c>
      <c r="L25" s="92">
        <f t="shared" si="2"/>
        <v>0</v>
      </c>
      <c r="M25" s="92">
        <f t="shared" si="3"/>
        <v>0</v>
      </c>
    </row>
    <row r="26" spans="2:13" x14ac:dyDescent="0.2">
      <c r="B26" s="24" t="s">
        <v>28</v>
      </c>
      <c r="C26" s="17">
        <v>45658</v>
      </c>
      <c r="D26" s="58">
        <f>1878690-280</f>
        <v>1878410</v>
      </c>
      <c r="E26" s="59">
        <v>1748784.15</v>
      </c>
      <c r="F26" s="18">
        <f t="shared" si="0"/>
        <v>129625.85000000009</v>
      </c>
      <c r="G26" s="16">
        <f t="shared" si="1"/>
        <v>305410.42000000027</v>
      </c>
      <c r="I26" s="17">
        <v>45658</v>
      </c>
      <c r="J26" s="89">
        <f>55071+88732</f>
        <v>143803</v>
      </c>
      <c r="K26" s="89">
        <f>88732+55071</f>
        <v>143803</v>
      </c>
      <c r="L26" s="87">
        <f t="shared" si="2"/>
        <v>0</v>
      </c>
      <c r="M26" s="87">
        <f>M25+L26</f>
        <v>0</v>
      </c>
    </row>
    <row r="27" spans="2:13" x14ac:dyDescent="0.2">
      <c r="B27" s="25" t="s">
        <v>29</v>
      </c>
      <c r="C27" s="26">
        <v>45689</v>
      </c>
      <c r="D27" s="62">
        <f>1285930-211</f>
        <v>1285719</v>
      </c>
      <c r="E27" s="54">
        <v>0</v>
      </c>
      <c r="F27" s="22">
        <f t="shared" si="0"/>
        <v>1285719</v>
      </c>
      <c r="G27" s="23">
        <f t="shared" si="1"/>
        <v>1591129.4200000004</v>
      </c>
      <c r="I27" s="26">
        <v>45689</v>
      </c>
      <c r="J27" s="91">
        <f>51300+81987</f>
        <v>133287</v>
      </c>
      <c r="K27" s="103">
        <v>0</v>
      </c>
      <c r="L27" s="92">
        <f t="shared" si="2"/>
        <v>133287</v>
      </c>
      <c r="M27" s="92">
        <f>M26+L27</f>
        <v>133287</v>
      </c>
    </row>
    <row r="28" spans="2:13" x14ac:dyDescent="0.2">
      <c r="B28" s="9"/>
      <c r="C28" s="27" t="s">
        <v>79</v>
      </c>
      <c r="D28" s="28"/>
      <c r="E28" s="28"/>
      <c r="F28" s="28"/>
      <c r="G28" s="29"/>
      <c r="I28" s="94"/>
      <c r="J28" s="94"/>
      <c r="K28" s="94"/>
      <c r="L28" s="94"/>
      <c r="M28" s="94"/>
    </row>
    <row r="29" spans="2:13" x14ac:dyDescent="0.2">
      <c r="B29" s="6"/>
      <c r="C29" s="5"/>
      <c r="D29" s="5"/>
      <c r="E29" s="5"/>
      <c r="F29" s="5"/>
      <c r="G29" s="16"/>
      <c r="I29" s="95" t="s">
        <v>97</v>
      </c>
      <c r="J29" s="96"/>
      <c r="K29" s="96"/>
      <c r="L29" s="97"/>
      <c r="M29" s="98">
        <f>M25</f>
        <v>0</v>
      </c>
    </row>
    <row r="30" spans="2:13" x14ac:dyDescent="0.2">
      <c r="B30" s="8"/>
      <c r="C30" s="7"/>
      <c r="D30" s="8" t="s">
        <v>30</v>
      </c>
      <c r="E30" s="8" t="s">
        <v>31</v>
      </c>
      <c r="F30" s="7"/>
      <c r="G30" s="21"/>
      <c r="I30" s="94"/>
      <c r="J30" s="94"/>
      <c r="K30" s="94"/>
      <c r="L30" s="94"/>
      <c r="M30" s="99"/>
    </row>
    <row r="31" spans="2:13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  <c r="I31" s="95" t="s">
        <v>98</v>
      </c>
      <c r="J31" s="96"/>
      <c r="K31" s="96"/>
      <c r="L31" s="97"/>
      <c r="M31" s="98">
        <f>M29/6</f>
        <v>0</v>
      </c>
    </row>
    <row r="32" spans="2:13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4">-G13</f>
        <v>-243324</v>
      </c>
      <c r="E35" s="16">
        <f>D70</f>
        <v>243324</v>
      </c>
      <c r="F35" s="5"/>
      <c r="G35" s="16">
        <f t="shared" ref="G35:G40" si="5">D35+E35</f>
        <v>0</v>
      </c>
    </row>
    <row r="36" spans="2:7" x14ac:dyDescent="0.2">
      <c r="B36" s="31" t="s">
        <v>44</v>
      </c>
      <c r="C36" s="7" t="s">
        <v>84</v>
      </c>
      <c r="D36" s="21">
        <f t="shared" si="4"/>
        <v>81747.430000000051</v>
      </c>
      <c r="E36" s="21">
        <v>0</v>
      </c>
      <c r="F36" s="7"/>
      <c r="G36" s="21">
        <f t="shared" si="5"/>
        <v>81747.430000000051</v>
      </c>
    </row>
    <row r="37" spans="2:7" x14ac:dyDescent="0.2">
      <c r="B37" s="31" t="s">
        <v>45</v>
      </c>
      <c r="C37" s="7" t="s">
        <v>87</v>
      </c>
      <c r="D37" s="21">
        <f t="shared" si="4"/>
        <v>-148059.55000000016</v>
      </c>
      <c r="E37" s="21">
        <v>0</v>
      </c>
      <c r="F37" s="7"/>
      <c r="G37" s="21">
        <f t="shared" si="5"/>
        <v>-148059.55000000016</v>
      </c>
    </row>
    <row r="38" spans="2:7" x14ac:dyDescent="0.2">
      <c r="B38" s="31" t="s">
        <v>46</v>
      </c>
      <c r="C38" s="7" t="s">
        <v>91</v>
      </c>
      <c r="D38" s="21">
        <f t="shared" si="4"/>
        <v>-86494.290000000154</v>
      </c>
      <c r="E38" s="21">
        <v>0</v>
      </c>
      <c r="F38" s="7"/>
      <c r="G38" s="21">
        <f t="shared" si="5"/>
        <v>-86494.290000000154</v>
      </c>
    </row>
    <row r="39" spans="2:7" x14ac:dyDescent="0.2">
      <c r="B39" s="31" t="s">
        <v>59</v>
      </c>
      <c r="C39" s="7" t="s">
        <v>93</v>
      </c>
      <c r="D39" s="21">
        <f t="shared" si="4"/>
        <v>-110373.72999999998</v>
      </c>
      <c r="E39" s="21">
        <v>0</v>
      </c>
      <c r="F39" s="7"/>
      <c r="G39" s="21">
        <f t="shared" si="5"/>
        <v>-110373.72999999998</v>
      </c>
    </row>
    <row r="40" spans="2:7" x14ac:dyDescent="0.2">
      <c r="B40" s="31" t="s">
        <v>66</v>
      </c>
      <c r="C40" s="32" t="s">
        <v>95</v>
      </c>
      <c r="D40" s="23">
        <f t="shared" si="4"/>
        <v>-373127.87999999989</v>
      </c>
      <c r="E40" s="23">
        <v>0</v>
      </c>
      <c r="F40" s="32"/>
      <c r="G40" s="23">
        <f t="shared" si="5"/>
        <v>-373127.87999999989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-636308.02000000014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-460523.44999999995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-76753.908333333326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879632.02000000014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-636308.02000000014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243324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-460523.44999999995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-703847.45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243324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112"/>
      <c r="G62" s="112"/>
    </row>
    <row r="63" spans="2:7" x14ac:dyDescent="0.2">
      <c r="B63" s="36"/>
      <c r="C63" s="9" t="s">
        <v>17</v>
      </c>
      <c r="D63" s="9" t="s">
        <v>104</v>
      </c>
      <c r="E63" s="31"/>
      <c r="F63" s="112"/>
      <c r="G63" s="112"/>
    </row>
    <row r="64" spans="2:7" x14ac:dyDescent="0.2">
      <c r="C64" s="17">
        <v>45474</v>
      </c>
      <c r="D64" s="50">
        <v>121662</v>
      </c>
      <c r="E64" s="113"/>
      <c r="F64" s="71"/>
      <c r="G64" s="71"/>
    </row>
    <row r="65" spans="3:7" x14ac:dyDescent="0.2">
      <c r="C65" s="19">
        <v>45505</v>
      </c>
      <c r="D65" s="51">
        <v>121662</v>
      </c>
      <c r="E65" s="113"/>
      <c r="F65" s="71"/>
      <c r="G65" s="71"/>
    </row>
    <row r="66" spans="3:7" x14ac:dyDescent="0.2">
      <c r="C66" s="19">
        <v>45536</v>
      </c>
      <c r="D66" s="51">
        <v>0</v>
      </c>
      <c r="E66" s="113"/>
      <c r="F66" s="71"/>
      <c r="G66" s="71"/>
    </row>
    <row r="67" spans="3:7" x14ac:dyDescent="0.2">
      <c r="C67" s="19">
        <v>45566</v>
      </c>
      <c r="D67" s="51">
        <v>0</v>
      </c>
      <c r="E67" s="113"/>
      <c r="F67" s="71"/>
      <c r="G67" s="71"/>
    </row>
    <row r="68" spans="3:7" x14ac:dyDescent="0.2">
      <c r="C68" s="19">
        <v>45597</v>
      </c>
      <c r="D68" s="51">
        <v>0</v>
      </c>
      <c r="E68" s="113"/>
      <c r="F68" s="71"/>
      <c r="G68" s="71"/>
    </row>
    <row r="69" spans="3:7" x14ac:dyDescent="0.2">
      <c r="C69" s="19">
        <v>45627</v>
      </c>
      <c r="D69" s="52">
        <v>0</v>
      </c>
      <c r="E69" s="113"/>
      <c r="F69" s="71"/>
      <c r="G69" s="71"/>
    </row>
    <row r="70" spans="3:7" x14ac:dyDescent="0.2">
      <c r="C70" s="53" t="s">
        <v>57</v>
      </c>
      <c r="D70" s="39">
        <f>SUM(D64:D69)</f>
        <v>243324</v>
      </c>
      <c r="E70" s="20"/>
      <c r="F70" s="71"/>
      <c r="G70" s="71"/>
    </row>
    <row r="71" spans="3:7" x14ac:dyDescent="0.2">
      <c r="F71" s="44"/>
      <c r="G71" s="44"/>
    </row>
  </sheetData>
  <mergeCells count="3">
    <mergeCell ref="B4:G5"/>
    <mergeCell ref="C12:G12"/>
    <mergeCell ref="I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2025-03-31T01:14:46Z</dcterms:modified>
</cp:coreProperties>
</file>