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57E3493E-C94E-441F-9F9C-36F2B26715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8" l="1"/>
  <c r="E35" i="8" s="1"/>
  <c r="D68" i="6"/>
  <c r="E34" i="6" s="1"/>
  <c r="D66" i="5"/>
  <c r="D64" i="4"/>
  <c r="D62" i="3"/>
  <c r="D60" i="2"/>
  <c r="E26" i="8" l="1"/>
  <c r="D27" i="8"/>
  <c r="D26" i="8" l="1"/>
  <c r="E25" i="8"/>
  <c r="D25" i="8"/>
  <c r="E24" i="8"/>
  <c r="D24" i="8"/>
  <c r="E23" i="8"/>
  <c r="D23" i="8"/>
  <c r="E22" i="8"/>
  <c r="D22" i="8"/>
  <c r="E21" i="8"/>
  <c r="D21" i="8"/>
  <c r="E20" i="8"/>
  <c r="D20" i="8"/>
  <c r="E26" i="6" l="1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25" i="5" l="1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D24" i="4" l="1"/>
  <c r="D23" i="4"/>
  <c r="D22" i="4"/>
  <c r="E21" i="4"/>
  <c r="D21" i="4"/>
  <c r="D20" i="4"/>
  <c r="E19" i="4"/>
  <c r="D19" i="4"/>
  <c r="D18" i="4"/>
  <c r="D17" i="4"/>
  <c r="D23" i="3" l="1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35" i="8" l="1"/>
  <c r="G35" i="8" s="1"/>
  <c r="F27" i="8"/>
  <c r="F26" i="8"/>
  <c r="F25" i="8"/>
  <c r="F24" i="8"/>
  <c r="F23" i="8"/>
  <c r="F22" i="8"/>
  <c r="F21" i="8"/>
  <c r="F20" i="8"/>
  <c r="G56" i="8" l="1"/>
  <c r="D34" i="6" l="1"/>
  <c r="F26" i="6"/>
  <c r="F25" i="6"/>
  <c r="F24" i="6"/>
  <c r="F23" i="6"/>
  <c r="F22" i="6"/>
  <c r="F21" i="6"/>
  <c r="F20" i="6"/>
  <c r="F19" i="6"/>
  <c r="G34" i="6" l="1"/>
  <c r="G54" i="6"/>
  <c r="E33" i="5" l="1"/>
  <c r="D33" i="5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E30" i="2" l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/>
  <c r="G42" i="2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35" i="3" s="1"/>
  <c r="G41" i="3"/>
  <c r="G44" i="3" l="1"/>
  <c r="G15" i="5"/>
  <c r="G15" i="4"/>
  <c r="G15" i="6"/>
  <c r="G15" i="8"/>
  <c r="G22" i="3"/>
  <c r="G23" i="3" s="1"/>
  <c r="D35" i="5" l="1"/>
  <c r="G35" i="5" s="1"/>
  <c r="D37" i="8"/>
  <c r="G37" i="8" s="1"/>
  <c r="D36" i="6"/>
  <c r="G36" i="6" s="1"/>
  <c r="D34" i="4"/>
  <c r="G34" i="4" s="1"/>
  <c r="G35" i="4" s="1"/>
  <c r="G44" i="4" s="1"/>
  <c r="G16" i="4"/>
  <c r="E9" i="1"/>
  <c r="F9" i="1" s="1"/>
  <c r="G37" i="3"/>
  <c r="G46" i="3"/>
  <c r="G50" i="3" s="1"/>
  <c r="G43" i="4" l="1"/>
  <c r="G46" i="4" s="1"/>
  <c r="G17" i="4"/>
  <c r="G18" i="4" s="1"/>
  <c r="G19" i="4" s="1"/>
  <c r="G20" i="4" s="1"/>
  <c r="G21" i="4" s="1"/>
  <c r="G22" i="4" s="1"/>
  <c r="G23" i="4" l="1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50" i="6" s="1"/>
  <c r="G19" i="6"/>
  <c r="G20" i="6" s="1"/>
  <c r="G21" i="6" s="1"/>
  <c r="G22" i="6" s="1"/>
  <c r="G23" i="6" s="1"/>
  <c r="G24" i="6" s="1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<sst xmlns="http://schemas.openxmlformats.org/spreadsheetml/2006/main" count="429" uniqueCount="101">
  <si>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</si>
  <si>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</si>
  <si>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</si>
  <si>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</si>
  <si>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</si>
  <si>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</si>
  <si>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</si>
  <si>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</si>
  <si>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</si>
  <si>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</si>
  <si>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</si>
  <si>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</si>
  <si>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</si>
  <si>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</si>
  <si>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</si>
  <si>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</si>
  <si>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</si>
  <si>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</si>
  <si>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</si>
  <si>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</si>
  <si>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</si>
  <si>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</si>
  <si>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</si>
  <si>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</si>
  <si>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</si>
  <si>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</si>
  <si>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</si>
  <si>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</si>
  <si>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</si>
  <si>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</si>
  <si>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</si>
  <si>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</si>
  <si>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</si>
  <si>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</si>
  <si>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</si>
  <si>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</si>
  <si>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</si>
  <si>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</si>
  <si>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</si>
  <si>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</si>
  <si>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</si>
  <si>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</si>
  <si>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</si>
  <si>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</si>
  <si>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</si>
  <si>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</si>
  <si>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</si>
  <si>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</si>
  <si>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</si>
  <si>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</si>
  <si>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</si>
  <si>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</si>
  <si>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</si>
  <si>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</si>
  <si>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</si>
  <si>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</si>
  <si>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</si>
  <si>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</si>
  <si>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</si>
  <si>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</si>
  <si>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</si>
  <si>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</si>
  <si>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</si>
  <si>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</si>
  <si>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</si>
  <si>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</si>
  <si>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</si>
  <si>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</si>
  <si>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</si>
  <si>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</si>
  <si>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</si>
  <si>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</si>
  <si>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</si>
  <si>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</si>
  <si>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</si>
  <si>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</si>
  <si>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</si>
  <si>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</si>
  <si>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</si>
  <si>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</si>
  <si>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</si>
  <si>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</si>
  <si>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</si>
  <si>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</si>
  <si>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</si>
  <si>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</si>
  <si>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</si>
  <si>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</si>
  <si>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</si>
  <si>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</si>
  <si>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</si>
  <si>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</si>
  <si>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</si>
  <si>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</si>
  <si>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</si>
  <si>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</si>
  <si>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DR1 Response2 - Grayson Surcharge Summary.xlsx</t>
  </si>
  <si>
    <t>Grayson</t>
  </si>
  <si>
    <t>Grayson - Calculation of (Over)/Under Recovery</t>
  </si>
  <si>
    <t>2022-00141</t>
  </si>
  <si>
    <t>DR1 Response 2 - Grayson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</si>
</sst>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B4" sqref="B4:F4"/>
    </sheetView>
  </sheetViews>
  <sheetFormatPr defaultColWidth="15.625" defaultRowHeight="14.25" x14ac:dyDescent="0.2"/>
  <sheetData>
    <row r="1" spans="1:6" x14ac:dyDescent="0.2">
      <c r="A1" t="s">
        <v>100</v>
      </c>
    </row>
    <row r="3" spans="1:6" ht="15" x14ac:dyDescent="0.25">
      <c r="C3" s="76" t="s">
        <v>97</v>
      </c>
      <c r="D3" s="76"/>
      <c r="E3" s="76"/>
    </row>
    <row r="4" spans="1:6" ht="15" x14ac:dyDescent="0.25">
      <c r="B4" s="76" t="s">
        <v>0</v>
      </c>
      <c r="C4" s="76"/>
      <c r="D4" s="76"/>
      <c r="E4" s="76"/>
      <c r="F4" s="76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47908</v>
      </c>
      <c r="F8" s="2" t="str">
        <f>IF(E8&gt;0,"Under-Recovery","Over-Recovery")</f>
        <v>Under-Recovery</v>
      </c>
    </row>
    <row r="9" spans="1:6" x14ac:dyDescent="0.2">
      <c r="B9" t="s">
        <v>68</v>
      </c>
      <c r="E9" s="3">
        <f>'B - 11-30-22'!G35</f>
        <v>62959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71765</v>
      </c>
      <c r="F10" s="2" t="str">
        <f t="shared" si="0"/>
        <v>Under-Recovery</v>
      </c>
    </row>
    <row r="11" spans="1:6" x14ac:dyDescent="0.2">
      <c r="B11" t="s">
        <v>75</v>
      </c>
      <c r="E11" s="3">
        <f>'D - 11-30-23'!G39</f>
        <v>-15288</v>
      </c>
      <c r="F11" s="2" t="str">
        <f t="shared" si="0"/>
        <v>Over-Recovery</v>
      </c>
    </row>
    <row r="12" spans="1:6" x14ac:dyDescent="0.2">
      <c r="B12" t="s">
        <v>77</v>
      </c>
      <c r="E12" s="64">
        <f>'E - 05-31-24'!G41</f>
        <v>105136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-52328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220152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76" t="s">
        <v>4</v>
      </c>
      <c r="C20" s="76"/>
      <c r="D20" s="76"/>
      <c r="E20" s="76"/>
      <c r="F20" s="76"/>
    </row>
    <row r="22" spans="2:6" x14ac:dyDescent="0.2">
      <c r="B22" t="s">
        <v>5</v>
      </c>
      <c r="E22" s="3">
        <f>ROUND(E15/6,0)</f>
        <v>36692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18346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-35546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-35546</v>
      </c>
    </row>
    <row r="15" spans="1:7" x14ac:dyDescent="0.2">
      <c r="B15" s="8">
        <v>2</v>
      </c>
      <c r="C15" s="17">
        <v>44562</v>
      </c>
      <c r="D15" s="58">
        <f>317427-13</f>
        <v>317414</v>
      </c>
      <c r="E15" s="59">
        <v>422485</v>
      </c>
      <c r="F15" s="18">
        <f t="shared" ref="F15:F22" si="0">D15-E15</f>
        <v>-105071</v>
      </c>
      <c r="G15" s="16">
        <f t="shared" ref="G15:G22" si="1">G14+F15</f>
        <v>-140617</v>
      </c>
    </row>
    <row r="16" spans="1:7" x14ac:dyDescent="0.2">
      <c r="B16" s="8">
        <v>3</v>
      </c>
      <c r="C16" s="19">
        <v>44593</v>
      </c>
      <c r="D16" s="60">
        <f>270415-14</f>
        <v>270401</v>
      </c>
      <c r="E16" s="61">
        <v>266038</v>
      </c>
      <c r="F16" s="20">
        <f t="shared" si="0"/>
        <v>4363</v>
      </c>
      <c r="G16" s="21">
        <f t="shared" si="1"/>
        <v>-136254</v>
      </c>
    </row>
    <row r="17" spans="2:7" x14ac:dyDescent="0.2">
      <c r="B17" s="8">
        <v>4</v>
      </c>
      <c r="C17" s="19">
        <v>44621</v>
      </c>
      <c r="D17" s="60">
        <f>189927-11</f>
        <v>189916</v>
      </c>
      <c r="E17" s="61">
        <v>247758</v>
      </c>
      <c r="F17" s="20">
        <f t="shared" si="0"/>
        <v>-57842</v>
      </c>
      <c r="G17" s="21">
        <f t="shared" si="1"/>
        <v>-194096</v>
      </c>
    </row>
    <row r="18" spans="2:7" x14ac:dyDescent="0.2">
      <c r="B18" s="8">
        <v>5</v>
      </c>
      <c r="C18" s="19">
        <v>44652</v>
      </c>
      <c r="D18" s="60">
        <f>228966-18</f>
        <v>228948</v>
      </c>
      <c r="E18" s="61">
        <v>167253</v>
      </c>
      <c r="F18" s="20">
        <f t="shared" si="0"/>
        <v>61695</v>
      </c>
      <c r="G18" s="21">
        <f t="shared" si="1"/>
        <v>-132401</v>
      </c>
    </row>
    <row r="19" spans="2:7" x14ac:dyDescent="0.2">
      <c r="B19" s="8">
        <v>6</v>
      </c>
      <c r="C19" s="19">
        <v>44682</v>
      </c>
      <c r="D19" s="60">
        <f>246668-19</f>
        <v>246649</v>
      </c>
      <c r="E19" s="61">
        <v>200687</v>
      </c>
      <c r="F19" s="20">
        <f t="shared" si="0"/>
        <v>45962</v>
      </c>
      <c r="G19" s="21">
        <f t="shared" si="1"/>
        <v>-86439</v>
      </c>
    </row>
    <row r="20" spans="2:7" x14ac:dyDescent="0.2">
      <c r="B20" s="8">
        <v>7</v>
      </c>
      <c r="C20" s="19">
        <v>44713</v>
      </c>
      <c r="D20" s="60">
        <f>321143-21</f>
        <v>321122</v>
      </c>
      <c r="E20" s="61">
        <v>222321</v>
      </c>
      <c r="F20" s="22">
        <f t="shared" si="0"/>
        <v>98801</v>
      </c>
      <c r="G20" s="23">
        <f t="shared" si="1"/>
        <v>12362</v>
      </c>
    </row>
    <row r="21" spans="2:7" x14ac:dyDescent="0.2">
      <c r="B21" s="24" t="s">
        <v>28</v>
      </c>
      <c r="C21" s="17">
        <v>44743</v>
      </c>
      <c r="D21" s="58">
        <f>362983-21</f>
        <v>362962</v>
      </c>
      <c r="E21" s="59">
        <v>297952</v>
      </c>
      <c r="F21" s="18">
        <f t="shared" si="0"/>
        <v>65010</v>
      </c>
      <c r="G21" s="16">
        <f t="shared" si="1"/>
        <v>77372</v>
      </c>
    </row>
    <row r="22" spans="2:7" x14ac:dyDescent="0.2">
      <c r="B22" s="25" t="s">
        <v>29</v>
      </c>
      <c r="C22" s="26">
        <v>44774</v>
      </c>
      <c r="D22" s="62">
        <f>275079-18</f>
        <v>275061</v>
      </c>
      <c r="E22" s="63">
        <v>345610</v>
      </c>
      <c r="F22" s="22">
        <f t="shared" si="0"/>
        <v>-70549</v>
      </c>
      <c r="G22" s="23">
        <f t="shared" si="1"/>
        <v>6823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5" t="s">
        <v>82</v>
      </c>
      <c r="D30" s="39">
        <f>-G13</f>
        <v>35546</v>
      </c>
      <c r="E30" s="39">
        <f>D60</f>
        <v>0</v>
      </c>
      <c r="F30" s="65"/>
      <c r="G30" s="39">
        <f>D30+E30</f>
        <v>35546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35546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47908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7984.666666666667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-35546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35546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47908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47908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74"/>
      <c r="G52" s="74"/>
    </row>
    <row r="53" spans="2:7" x14ac:dyDescent="0.2">
      <c r="B53" s="36"/>
      <c r="C53" s="9" t="s">
        <v>17</v>
      </c>
      <c r="D53" s="9" t="s">
        <v>99</v>
      </c>
      <c r="E53" s="31"/>
      <c r="F53" s="74"/>
      <c r="G53" s="74"/>
    </row>
    <row r="54" spans="2:7" x14ac:dyDescent="0.2">
      <c r="C54" s="17">
        <v>44562</v>
      </c>
      <c r="D54" s="50">
        <v>0</v>
      </c>
      <c r="E54" s="75"/>
      <c r="F54" s="71"/>
      <c r="G54" s="71"/>
    </row>
    <row r="55" spans="2:7" x14ac:dyDescent="0.2">
      <c r="C55" s="19">
        <v>44593</v>
      </c>
      <c r="D55" s="51">
        <v>0</v>
      </c>
      <c r="E55" s="75"/>
      <c r="F55" s="71"/>
      <c r="G55" s="71"/>
    </row>
    <row r="56" spans="2:7" x14ac:dyDescent="0.2">
      <c r="C56" s="19">
        <v>44621</v>
      </c>
      <c r="D56" s="51">
        <v>0</v>
      </c>
      <c r="E56" s="75"/>
      <c r="F56" s="71"/>
      <c r="G56" s="71"/>
    </row>
    <row r="57" spans="2:7" x14ac:dyDescent="0.2">
      <c r="C57" s="19">
        <v>44652</v>
      </c>
      <c r="D57" s="51">
        <v>0</v>
      </c>
      <c r="E57" s="75"/>
      <c r="F57" s="71"/>
      <c r="G57" s="71"/>
    </row>
    <row r="58" spans="2:7" x14ac:dyDescent="0.2">
      <c r="C58" s="19">
        <v>44682</v>
      </c>
      <c r="D58" s="51">
        <v>0</v>
      </c>
      <c r="E58" s="75"/>
      <c r="F58" s="71"/>
      <c r="G58" s="71"/>
    </row>
    <row r="59" spans="2:7" x14ac:dyDescent="0.2">
      <c r="C59" s="19">
        <v>44713</v>
      </c>
      <c r="D59" s="52">
        <v>0</v>
      </c>
      <c r="E59" s="75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workbookViewId="0">
      <selection activeCell="C10" sqref="C1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-35546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47908</v>
      </c>
    </row>
    <row r="15" spans="1:7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12362</v>
      </c>
    </row>
    <row r="16" spans="1:7" x14ac:dyDescent="0.2">
      <c r="B16" s="8">
        <v>2</v>
      </c>
      <c r="C16" s="17">
        <v>44743</v>
      </c>
      <c r="D16" s="58">
        <f>362983-21</f>
        <v>362962</v>
      </c>
      <c r="E16" s="59">
        <v>297952</v>
      </c>
      <c r="F16" s="18">
        <f t="shared" ref="F16:F23" si="0">D16-E16</f>
        <v>65010</v>
      </c>
      <c r="G16" s="16">
        <f t="shared" ref="G16:G23" si="1">G15+F16</f>
        <v>77372</v>
      </c>
    </row>
    <row r="17" spans="2:7" x14ac:dyDescent="0.2">
      <c r="B17" s="8">
        <v>3</v>
      </c>
      <c r="C17" s="19">
        <v>44774</v>
      </c>
      <c r="D17" s="60">
        <f>275079-18</f>
        <v>275061</v>
      </c>
      <c r="E17" s="61">
        <v>345610</v>
      </c>
      <c r="F17" s="20">
        <f t="shared" si="0"/>
        <v>-70549</v>
      </c>
      <c r="G17" s="21">
        <f t="shared" si="1"/>
        <v>6823</v>
      </c>
    </row>
    <row r="18" spans="2:7" x14ac:dyDescent="0.2">
      <c r="B18" s="8">
        <v>4</v>
      </c>
      <c r="C18" s="19">
        <v>44805</v>
      </c>
      <c r="D18" s="60">
        <f>206550-0</f>
        <v>206550</v>
      </c>
      <c r="E18" s="61">
        <v>289779</v>
      </c>
      <c r="F18" s="20">
        <f t="shared" si="0"/>
        <v>-83229</v>
      </c>
      <c r="G18" s="21">
        <f t="shared" si="1"/>
        <v>-76406</v>
      </c>
    </row>
    <row r="19" spans="2:7" x14ac:dyDescent="0.2">
      <c r="B19" s="8">
        <v>5</v>
      </c>
      <c r="C19" s="19">
        <v>44835</v>
      </c>
      <c r="D19" s="60">
        <f>247739-18</f>
        <v>247721</v>
      </c>
      <c r="E19" s="61">
        <v>230513</v>
      </c>
      <c r="F19" s="20">
        <f t="shared" si="0"/>
        <v>17208</v>
      </c>
      <c r="G19" s="21">
        <f t="shared" si="1"/>
        <v>-59198</v>
      </c>
    </row>
    <row r="20" spans="2:7" x14ac:dyDescent="0.2">
      <c r="B20" s="8">
        <v>6</v>
      </c>
      <c r="C20" s="19">
        <v>44866</v>
      </c>
      <c r="D20" s="60">
        <f>291283-19</f>
        <v>291264</v>
      </c>
      <c r="E20" s="61">
        <v>263452</v>
      </c>
      <c r="F20" s="20">
        <f t="shared" si="0"/>
        <v>27812</v>
      </c>
      <c r="G20" s="21">
        <f t="shared" si="1"/>
        <v>-31386</v>
      </c>
    </row>
    <row r="21" spans="2:7" x14ac:dyDescent="0.2">
      <c r="B21" s="8">
        <v>7</v>
      </c>
      <c r="C21" s="19">
        <v>44896</v>
      </c>
      <c r="D21" s="60">
        <f>401170-21</f>
        <v>401149</v>
      </c>
      <c r="E21" s="61">
        <v>294442</v>
      </c>
      <c r="F21" s="22">
        <f t="shared" si="0"/>
        <v>106707</v>
      </c>
      <c r="G21" s="23">
        <f t="shared" si="1"/>
        <v>75321</v>
      </c>
    </row>
    <row r="22" spans="2:7" x14ac:dyDescent="0.2">
      <c r="B22" s="24" t="s">
        <v>28</v>
      </c>
      <c r="C22" s="17">
        <v>44927</v>
      </c>
      <c r="D22" s="58">
        <f>327657-17</f>
        <v>327640</v>
      </c>
      <c r="E22" s="59">
        <v>284705</v>
      </c>
      <c r="F22" s="18">
        <f t="shared" si="0"/>
        <v>42935</v>
      </c>
      <c r="G22" s="16">
        <f t="shared" si="1"/>
        <v>118256</v>
      </c>
    </row>
    <row r="23" spans="2:7" x14ac:dyDescent="0.2">
      <c r="B23" s="25" t="s">
        <v>29</v>
      </c>
      <c r="C23" s="26">
        <v>44958</v>
      </c>
      <c r="D23" s="62">
        <f>171105-12</f>
        <v>171093</v>
      </c>
      <c r="E23" s="63">
        <v>272273</v>
      </c>
      <c r="F23" s="22">
        <f t="shared" si="0"/>
        <v>-101180</v>
      </c>
      <c r="G23" s="23">
        <f t="shared" si="1"/>
        <v>17076</v>
      </c>
    </row>
    <row r="24" spans="2:7" x14ac:dyDescent="0.2">
      <c r="B24" s="9"/>
      <c r="C24" s="27" t="s">
        <v>65</v>
      </c>
      <c r="D24" s="28"/>
      <c r="E24" s="28"/>
      <c r="F24" s="28"/>
      <c r="G24" s="29"/>
    </row>
    <row r="25" spans="2:7" x14ac:dyDescent="0.2">
      <c r="B25" s="6"/>
      <c r="C25" s="5"/>
      <c r="D25" s="5"/>
      <c r="E25" s="5"/>
      <c r="F25" s="5"/>
      <c r="G25" s="16"/>
    </row>
    <row r="26" spans="2:7" x14ac:dyDescent="0.2">
      <c r="B26" s="8"/>
      <c r="C26" s="7"/>
      <c r="D26" s="8" t="s">
        <v>30</v>
      </c>
      <c r="E26" s="8" t="s">
        <v>31</v>
      </c>
      <c r="F26" s="7"/>
      <c r="G26" s="21"/>
    </row>
    <row r="27" spans="2:7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</row>
    <row r="28" spans="2:7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7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7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7" x14ac:dyDescent="0.2">
      <c r="B31" s="24" t="s">
        <v>43</v>
      </c>
      <c r="C31" s="5" t="s">
        <v>82</v>
      </c>
      <c r="D31" s="16">
        <f>-G13</f>
        <v>35546</v>
      </c>
      <c r="E31" s="16">
        <f>D62</f>
        <v>0</v>
      </c>
      <c r="F31" s="5"/>
      <c r="G31" s="16">
        <f>D31+E31</f>
        <v>35546</v>
      </c>
    </row>
    <row r="32" spans="2:7" x14ac:dyDescent="0.2">
      <c r="B32" s="31" t="s">
        <v>44</v>
      </c>
      <c r="C32" s="32" t="s">
        <v>84</v>
      </c>
      <c r="D32" s="23">
        <f>-G14</f>
        <v>-47908</v>
      </c>
      <c r="E32" s="23">
        <v>0</v>
      </c>
      <c r="F32" s="32"/>
      <c r="G32" s="23">
        <f>D32+E32</f>
        <v>-47908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-12362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62959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10493.166666666666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12362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-12362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62959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62959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74"/>
      <c r="G54" s="74"/>
    </row>
    <row r="55" spans="2:7" x14ac:dyDescent="0.2">
      <c r="B55" s="36"/>
      <c r="C55" s="9" t="s">
        <v>17</v>
      </c>
      <c r="D55" s="9" t="s">
        <v>99</v>
      </c>
      <c r="E55" s="31"/>
      <c r="F55" s="74"/>
      <c r="G55" s="74"/>
    </row>
    <row r="56" spans="2:7" x14ac:dyDescent="0.2">
      <c r="C56" s="17">
        <v>44743</v>
      </c>
      <c r="D56" s="50">
        <v>0</v>
      </c>
      <c r="E56" s="75"/>
      <c r="F56" s="71"/>
      <c r="G56" s="71"/>
    </row>
    <row r="57" spans="2:7" x14ac:dyDescent="0.2">
      <c r="C57" s="19">
        <v>44774</v>
      </c>
      <c r="D57" s="51">
        <v>0</v>
      </c>
      <c r="E57" s="75"/>
      <c r="F57" s="71"/>
      <c r="G57" s="71"/>
    </row>
    <row r="58" spans="2:7" x14ac:dyDescent="0.2">
      <c r="C58" s="19">
        <v>44805</v>
      </c>
      <c r="D58" s="51">
        <v>0</v>
      </c>
      <c r="E58" s="75"/>
      <c r="F58" s="71"/>
      <c r="G58" s="71"/>
    </row>
    <row r="59" spans="2:7" x14ac:dyDescent="0.2">
      <c r="C59" s="19">
        <v>44835</v>
      </c>
      <c r="D59" s="51">
        <v>0</v>
      </c>
      <c r="E59" s="75"/>
      <c r="F59" s="71"/>
      <c r="G59" s="71"/>
    </row>
    <row r="60" spans="2:7" x14ac:dyDescent="0.2">
      <c r="C60" s="19">
        <v>44866</v>
      </c>
      <c r="D60" s="51">
        <v>0</v>
      </c>
      <c r="E60" s="75"/>
      <c r="F60" s="71"/>
      <c r="G60" s="71"/>
    </row>
    <row r="61" spans="2:7" x14ac:dyDescent="0.2">
      <c r="C61" s="19">
        <v>44896</v>
      </c>
      <c r="D61" s="52">
        <v>0</v>
      </c>
      <c r="E61" s="75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4"/>
  <sheetViews>
    <sheetView workbookViewId="0"/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-35546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47908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62959</v>
      </c>
    </row>
    <row r="16" spans="1:7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75321</v>
      </c>
    </row>
    <row r="17" spans="2:7" x14ac:dyDescent="0.2">
      <c r="B17" s="8">
        <v>2</v>
      </c>
      <c r="C17" s="17">
        <v>44927</v>
      </c>
      <c r="D17" s="58">
        <f>327657-17</f>
        <v>327640</v>
      </c>
      <c r="E17" s="59">
        <v>284705</v>
      </c>
      <c r="F17" s="18">
        <f t="shared" ref="F17:F24" si="0">D17-E17</f>
        <v>42935</v>
      </c>
      <c r="G17" s="16">
        <f t="shared" ref="G17:G24" si="1">G16+F17</f>
        <v>118256</v>
      </c>
    </row>
    <row r="18" spans="2:7" x14ac:dyDescent="0.2">
      <c r="B18" s="8">
        <v>3</v>
      </c>
      <c r="C18" s="19">
        <v>44958</v>
      </c>
      <c r="D18" s="60">
        <f>171105-12</f>
        <v>171093</v>
      </c>
      <c r="E18" s="61">
        <v>272273</v>
      </c>
      <c r="F18" s="20">
        <f t="shared" si="0"/>
        <v>-101180</v>
      </c>
      <c r="G18" s="21">
        <f t="shared" si="1"/>
        <v>17076</v>
      </c>
    </row>
    <row r="19" spans="2:7" x14ac:dyDescent="0.2">
      <c r="B19" s="8">
        <v>4</v>
      </c>
      <c r="C19" s="19">
        <v>44986</v>
      </c>
      <c r="D19" s="60">
        <f>224885-16</f>
        <v>224869</v>
      </c>
      <c r="E19" s="61">
        <f>231276</f>
        <v>231276</v>
      </c>
      <c r="F19" s="20">
        <f t="shared" si="0"/>
        <v>-6407</v>
      </c>
      <c r="G19" s="21">
        <f t="shared" si="1"/>
        <v>10669</v>
      </c>
    </row>
    <row r="20" spans="2:7" x14ac:dyDescent="0.2">
      <c r="B20" s="8">
        <v>5</v>
      </c>
      <c r="C20" s="19">
        <v>45017</v>
      </c>
      <c r="D20" s="60">
        <f>249100-20</f>
        <v>249080</v>
      </c>
      <c r="E20" s="61">
        <v>231130</v>
      </c>
      <c r="F20" s="20">
        <f t="shared" si="0"/>
        <v>17950</v>
      </c>
      <c r="G20" s="21">
        <f t="shared" si="1"/>
        <v>28619</v>
      </c>
    </row>
    <row r="21" spans="2:7" x14ac:dyDescent="0.2">
      <c r="B21" s="8">
        <v>6</v>
      </c>
      <c r="C21" s="19">
        <v>45047</v>
      </c>
      <c r="D21" s="60">
        <f>252257-20</f>
        <v>252237</v>
      </c>
      <c r="E21" s="61">
        <f>229602</f>
        <v>229602</v>
      </c>
      <c r="F21" s="20">
        <f t="shared" si="0"/>
        <v>22635</v>
      </c>
      <c r="G21" s="21">
        <f t="shared" si="1"/>
        <v>51254</v>
      </c>
    </row>
    <row r="22" spans="2:7" x14ac:dyDescent="0.2">
      <c r="B22" s="8">
        <v>7</v>
      </c>
      <c r="C22" s="19">
        <v>45078</v>
      </c>
      <c r="D22" s="60">
        <f>281880-27</f>
        <v>281853</v>
      </c>
      <c r="E22" s="61">
        <v>186021</v>
      </c>
      <c r="F22" s="22">
        <f t="shared" si="0"/>
        <v>95832</v>
      </c>
      <c r="G22" s="23">
        <f t="shared" si="1"/>
        <v>147086</v>
      </c>
    </row>
    <row r="23" spans="2:7" x14ac:dyDescent="0.2">
      <c r="B23" s="24" t="s">
        <v>28</v>
      </c>
      <c r="C23" s="17">
        <v>45108</v>
      </c>
      <c r="D23" s="58">
        <f>368690-28</f>
        <v>368662</v>
      </c>
      <c r="E23" s="59">
        <v>291652</v>
      </c>
      <c r="F23" s="18">
        <f t="shared" si="0"/>
        <v>77010</v>
      </c>
      <c r="G23" s="16">
        <f t="shared" si="1"/>
        <v>224096</v>
      </c>
    </row>
    <row r="24" spans="2:7" x14ac:dyDescent="0.2">
      <c r="B24" s="25" t="s">
        <v>29</v>
      </c>
      <c r="C24" s="26">
        <v>45139</v>
      </c>
      <c r="D24" s="62">
        <f>378161-0</f>
        <v>378161</v>
      </c>
      <c r="E24" s="63">
        <v>379362</v>
      </c>
      <c r="F24" s="22">
        <f t="shared" si="0"/>
        <v>-1201</v>
      </c>
      <c r="G24" s="23">
        <f t="shared" si="1"/>
        <v>222895</v>
      </c>
    </row>
    <row r="25" spans="2:7" x14ac:dyDescent="0.2">
      <c r="B25" s="9"/>
      <c r="C25" s="27" t="s">
        <v>70</v>
      </c>
      <c r="D25" s="28"/>
      <c r="E25" s="28"/>
      <c r="F25" s="28"/>
      <c r="G25" s="29"/>
    </row>
    <row r="26" spans="2:7" x14ac:dyDescent="0.2">
      <c r="B26" s="6"/>
      <c r="C26" s="5"/>
      <c r="D26" s="5"/>
      <c r="E26" s="5"/>
      <c r="F26" s="5"/>
      <c r="G26" s="16"/>
    </row>
    <row r="27" spans="2:7" x14ac:dyDescent="0.2">
      <c r="B27" s="8"/>
      <c r="C27" s="7"/>
      <c r="D27" s="8" t="s">
        <v>30</v>
      </c>
      <c r="E27" s="8" t="s">
        <v>31</v>
      </c>
      <c r="F27" s="7"/>
      <c r="G27" s="21"/>
    </row>
    <row r="28" spans="2:7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</row>
    <row r="29" spans="2:7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7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7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7" x14ac:dyDescent="0.2">
      <c r="B32" s="24" t="s">
        <v>43</v>
      </c>
      <c r="C32" s="5" t="s">
        <v>82</v>
      </c>
      <c r="D32" s="16">
        <f>-G13</f>
        <v>35546</v>
      </c>
      <c r="E32" s="16">
        <f>D64</f>
        <v>0</v>
      </c>
      <c r="F32" s="5"/>
      <c r="G32" s="16">
        <f t="shared" ref="G32:G34" si="2">D32+E32</f>
        <v>35546</v>
      </c>
    </row>
    <row r="33" spans="2:7" x14ac:dyDescent="0.2">
      <c r="B33" s="31" t="s">
        <v>44</v>
      </c>
      <c r="C33" s="66" t="s">
        <v>84</v>
      </c>
      <c r="D33" s="21">
        <f>-G14</f>
        <v>-47908</v>
      </c>
      <c r="E33" s="21">
        <v>0</v>
      </c>
      <c r="F33" s="7"/>
      <c r="G33" s="21">
        <f t="shared" si="2"/>
        <v>-47908</v>
      </c>
    </row>
    <row r="34" spans="2:7" x14ac:dyDescent="0.2">
      <c r="B34" s="31" t="s">
        <v>45</v>
      </c>
      <c r="C34" s="49" t="s">
        <v>87</v>
      </c>
      <c r="D34" s="23">
        <f>-G15</f>
        <v>-62959</v>
      </c>
      <c r="E34" s="23">
        <v>0</v>
      </c>
      <c r="F34" s="32"/>
      <c r="G34" s="23">
        <f t="shared" si="2"/>
        <v>-62959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-75321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71765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11960.833333333334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75321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-75321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71765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71765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74"/>
      <c r="G56" s="74"/>
    </row>
    <row r="57" spans="2:7" x14ac:dyDescent="0.2">
      <c r="B57" s="36"/>
      <c r="C57" s="9" t="s">
        <v>17</v>
      </c>
      <c r="D57" s="9" t="s">
        <v>99</v>
      </c>
      <c r="E57" s="31"/>
      <c r="F57" s="74"/>
      <c r="G57" s="74"/>
    </row>
    <row r="58" spans="2:7" x14ac:dyDescent="0.2">
      <c r="C58" s="17">
        <v>44927</v>
      </c>
      <c r="D58" s="50">
        <v>0</v>
      </c>
      <c r="E58" s="75"/>
      <c r="F58" s="71"/>
      <c r="G58" s="71"/>
    </row>
    <row r="59" spans="2:7" x14ac:dyDescent="0.2">
      <c r="C59" s="19">
        <v>44958</v>
      </c>
      <c r="D59" s="51">
        <v>0</v>
      </c>
      <c r="E59" s="75"/>
      <c r="F59" s="71"/>
      <c r="G59" s="71"/>
    </row>
    <row r="60" spans="2:7" x14ac:dyDescent="0.2">
      <c r="C60" s="19">
        <v>44986</v>
      </c>
      <c r="D60" s="51">
        <v>0</v>
      </c>
      <c r="E60" s="75"/>
      <c r="F60" s="71"/>
      <c r="G60" s="71"/>
    </row>
    <row r="61" spans="2:7" x14ac:dyDescent="0.2">
      <c r="C61" s="19">
        <v>45017</v>
      </c>
      <c r="D61" s="51">
        <v>0</v>
      </c>
      <c r="E61" s="75"/>
      <c r="F61" s="71"/>
      <c r="G61" s="71"/>
    </row>
    <row r="62" spans="2:7" x14ac:dyDescent="0.2">
      <c r="C62" s="19">
        <v>45047</v>
      </c>
      <c r="D62" s="51">
        <v>0</v>
      </c>
      <c r="E62" s="75"/>
      <c r="F62" s="71"/>
      <c r="G62" s="71"/>
    </row>
    <row r="63" spans="2:7" x14ac:dyDescent="0.2">
      <c r="C63" s="19">
        <v>45078</v>
      </c>
      <c r="D63" s="52">
        <v>0</v>
      </c>
      <c r="E63" s="75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6"/>
  <sheetViews>
    <sheetView workbookViewId="0">
      <selection activeCell="E33" sqref="E33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A4" s="55"/>
      <c r="B4" s="77" t="s">
        <v>98</v>
      </c>
      <c r="C4" s="78"/>
      <c r="D4" s="78"/>
      <c r="E4" s="78"/>
      <c r="F4" s="78"/>
      <c r="G4" s="79"/>
    </row>
    <row r="5" spans="1:7" x14ac:dyDescent="0.2">
      <c r="A5" s="55"/>
      <c r="B5" s="80"/>
      <c r="C5" s="81"/>
      <c r="D5" s="81"/>
      <c r="E5" s="81"/>
      <c r="F5" s="81"/>
      <c r="G5" s="82"/>
    </row>
    <row r="6" spans="1:7" x14ac:dyDescent="0.2">
      <c r="A6" s="55"/>
    </row>
    <row r="7" spans="1:7" x14ac:dyDescent="0.2">
      <c r="A7" s="55"/>
      <c r="B7" s="5"/>
      <c r="C7" s="5"/>
      <c r="D7" s="5"/>
      <c r="E7" s="6" t="s">
        <v>7</v>
      </c>
      <c r="F7" s="5"/>
      <c r="G7" s="5"/>
    </row>
    <row r="8" spans="1:7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A12" s="55"/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-35546</v>
      </c>
    </row>
    <row r="14" spans="1:7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47908</v>
      </c>
    </row>
    <row r="15" spans="1:7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62959</v>
      </c>
    </row>
    <row r="16" spans="1:7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71765</v>
      </c>
    </row>
    <row r="17" spans="1:7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147086</v>
      </c>
    </row>
    <row r="18" spans="1:7" x14ac:dyDescent="0.2">
      <c r="A18" s="55"/>
      <c r="B18" s="8">
        <v>2</v>
      </c>
      <c r="C18" s="17">
        <v>45108</v>
      </c>
      <c r="D18" s="58">
        <f>368690-28</f>
        <v>368662</v>
      </c>
      <c r="E18" s="59">
        <f>378161-0</f>
        <v>378161</v>
      </c>
      <c r="F18" s="18">
        <f t="shared" ref="F18:F25" si="0">D18-E18</f>
        <v>-9499</v>
      </c>
      <c r="G18" s="16">
        <f t="shared" ref="G18:G25" si="1">G17+F18</f>
        <v>137587</v>
      </c>
    </row>
    <row r="19" spans="1:7" x14ac:dyDescent="0.2">
      <c r="A19" s="55"/>
      <c r="B19" s="8">
        <v>3</v>
      </c>
      <c r="C19" s="19">
        <v>45139</v>
      </c>
      <c r="D19" s="60">
        <f>378161-0</f>
        <v>378161</v>
      </c>
      <c r="E19" s="61">
        <f>256075-0</f>
        <v>256075</v>
      </c>
      <c r="F19" s="20">
        <f t="shared" si="0"/>
        <v>122086</v>
      </c>
      <c r="G19" s="21">
        <f t="shared" si="1"/>
        <v>259673</v>
      </c>
    </row>
    <row r="20" spans="1:7" x14ac:dyDescent="0.2">
      <c r="A20" s="55"/>
      <c r="B20" s="8">
        <v>4</v>
      </c>
      <c r="C20" s="19">
        <v>45170</v>
      </c>
      <c r="D20" s="60">
        <f>256075-0</f>
        <v>256075</v>
      </c>
      <c r="E20" s="61">
        <f>229798-25</f>
        <v>229773</v>
      </c>
      <c r="F20" s="20">
        <f t="shared" si="0"/>
        <v>26302</v>
      </c>
      <c r="G20" s="21">
        <f t="shared" si="1"/>
        <v>285975</v>
      </c>
    </row>
    <row r="21" spans="1:7" x14ac:dyDescent="0.2">
      <c r="A21" s="55"/>
      <c r="B21" s="8">
        <v>5</v>
      </c>
      <c r="C21" s="19">
        <v>45200</v>
      </c>
      <c r="D21" s="60">
        <f>229798-25</f>
        <v>229773</v>
      </c>
      <c r="E21" s="61">
        <f>322924-32</f>
        <v>322892</v>
      </c>
      <c r="F21" s="20">
        <f t="shared" si="0"/>
        <v>-93119</v>
      </c>
      <c r="G21" s="21">
        <f t="shared" si="1"/>
        <v>192856</v>
      </c>
    </row>
    <row r="22" spans="1:7" x14ac:dyDescent="0.2">
      <c r="A22" s="55"/>
      <c r="B22" s="8">
        <v>6</v>
      </c>
      <c r="C22" s="19">
        <v>45231</v>
      </c>
      <c r="D22" s="60">
        <f>322924-32</f>
        <v>322892</v>
      </c>
      <c r="E22" s="61">
        <f>336426-35</f>
        <v>336391</v>
      </c>
      <c r="F22" s="20">
        <f t="shared" si="0"/>
        <v>-13499</v>
      </c>
      <c r="G22" s="21">
        <f t="shared" si="1"/>
        <v>179357</v>
      </c>
    </row>
    <row r="23" spans="1:7" x14ac:dyDescent="0.2">
      <c r="A23" s="55"/>
      <c r="B23" s="8">
        <v>7</v>
      </c>
      <c r="C23" s="19">
        <v>45261</v>
      </c>
      <c r="D23" s="60">
        <f>336426-35</f>
        <v>336391</v>
      </c>
      <c r="E23" s="61">
        <f>383982-32</f>
        <v>383950</v>
      </c>
      <c r="F23" s="22">
        <f t="shared" si="0"/>
        <v>-47559</v>
      </c>
      <c r="G23" s="23">
        <f t="shared" si="1"/>
        <v>131798</v>
      </c>
    </row>
    <row r="24" spans="1:7" x14ac:dyDescent="0.2">
      <c r="A24" s="55"/>
      <c r="B24" s="24" t="s">
        <v>28</v>
      </c>
      <c r="C24" s="17">
        <v>45292</v>
      </c>
      <c r="D24" s="58">
        <f>383982-32</f>
        <v>383950</v>
      </c>
      <c r="E24" s="59">
        <f>312448-31</f>
        <v>312417</v>
      </c>
      <c r="F24" s="18">
        <f t="shared" si="0"/>
        <v>71533</v>
      </c>
      <c r="G24" s="16">
        <f t="shared" si="1"/>
        <v>203331</v>
      </c>
    </row>
    <row r="25" spans="1:7" x14ac:dyDescent="0.2">
      <c r="A25" s="55"/>
      <c r="B25" s="25" t="s">
        <v>29</v>
      </c>
      <c r="C25" s="26">
        <v>45323</v>
      </c>
      <c r="D25" s="62">
        <f>312448-31</f>
        <v>312417</v>
      </c>
      <c r="E25" s="63">
        <f>192761-23</f>
        <v>192738</v>
      </c>
      <c r="F25" s="22">
        <f t="shared" si="0"/>
        <v>119679</v>
      </c>
      <c r="G25" s="23">
        <f t="shared" si="1"/>
        <v>323010</v>
      </c>
    </row>
    <row r="26" spans="1:7" x14ac:dyDescent="0.2">
      <c r="A26" s="55"/>
      <c r="B26" s="9"/>
      <c r="C26" s="27" t="s">
        <v>74</v>
      </c>
      <c r="D26" s="28"/>
      <c r="E26" s="28"/>
      <c r="F26" s="28"/>
      <c r="G26" s="29"/>
    </row>
    <row r="27" spans="1:7" x14ac:dyDescent="0.2">
      <c r="A27" s="55"/>
      <c r="B27" s="6"/>
      <c r="C27" s="5"/>
      <c r="D27" s="5"/>
      <c r="E27" s="5"/>
      <c r="F27" s="5"/>
      <c r="G27" s="16"/>
    </row>
    <row r="28" spans="1:7" x14ac:dyDescent="0.2">
      <c r="A28" s="55"/>
      <c r="B28" s="8"/>
      <c r="C28" s="7"/>
      <c r="D28" s="8" t="s">
        <v>30</v>
      </c>
      <c r="E28" s="8" t="s">
        <v>31</v>
      </c>
      <c r="F28" s="7"/>
      <c r="G28" s="21"/>
    </row>
    <row r="29" spans="1:7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</row>
    <row r="30" spans="1:7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7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7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35546</v>
      </c>
      <c r="E33" s="68">
        <f>D66</f>
        <v>0</v>
      </c>
      <c r="F33" s="43"/>
      <c r="G33" s="69">
        <f t="shared" ref="G33:G36" si="2">D33+E33</f>
        <v>35546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-47908</v>
      </c>
      <c r="E34" s="71">
        <v>0</v>
      </c>
      <c r="F34" s="44"/>
      <c r="G34" s="45">
        <f t="shared" si="2"/>
        <v>-47908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-62959</v>
      </c>
      <c r="E35" s="71">
        <v>0</v>
      </c>
      <c r="F35" s="44"/>
      <c r="G35" s="45">
        <f t="shared" si="2"/>
        <v>-62959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-71765</v>
      </c>
      <c r="E36" s="73">
        <v>0</v>
      </c>
      <c r="F36" s="48"/>
      <c r="G36" s="46">
        <f t="shared" si="2"/>
        <v>-71765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-147086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-15288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-2548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147086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-147086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-15288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-15288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74"/>
      <c r="G58" s="74"/>
    </row>
    <row r="59" spans="1:7" x14ac:dyDescent="0.2">
      <c r="B59" s="36"/>
      <c r="C59" s="9" t="s">
        <v>17</v>
      </c>
      <c r="D59" s="9" t="s">
        <v>99</v>
      </c>
      <c r="E59" s="31"/>
      <c r="F59" s="74"/>
      <c r="G59" s="74"/>
    </row>
    <row r="60" spans="1:7" x14ac:dyDescent="0.2">
      <c r="C60" s="17">
        <v>45108</v>
      </c>
      <c r="D60" s="50">
        <v>0</v>
      </c>
      <c r="E60" s="75"/>
      <c r="F60" s="71"/>
      <c r="G60" s="71"/>
    </row>
    <row r="61" spans="1:7" x14ac:dyDescent="0.2">
      <c r="C61" s="19">
        <v>45139</v>
      </c>
      <c r="D61" s="51">
        <v>0</v>
      </c>
      <c r="E61" s="75"/>
      <c r="F61" s="71"/>
      <c r="G61" s="71"/>
    </row>
    <row r="62" spans="1:7" x14ac:dyDescent="0.2">
      <c r="C62" s="19">
        <v>45170</v>
      </c>
      <c r="D62" s="51">
        <v>0</v>
      </c>
      <c r="E62" s="75"/>
      <c r="F62" s="71"/>
      <c r="G62" s="71"/>
    </row>
    <row r="63" spans="1:7" x14ac:dyDescent="0.2">
      <c r="C63" s="19">
        <v>45200</v>
      </c>
      <c r="D63" s="51">
        <v>0</v>
      </c>
      <c r="E63" s="75"/>
      <c r="F63" s="71"/>
      <c r="G63" s="71"/>
    </row>
    <row r="64" spans="1:7" x14ac:dyDescent="0.2">
      <c r="C64" s="19">
        <v>45231</v>
      </c>
      <c r="D64" s="51">
        <v>0</v>
      </c>
      <c r="E64" s="75"/>
      <c r="F64" s="71"/>
      <c r="G64" s="71"/>
    </row>
    <row r="65" spans="3:7" x14ac:dyDescent="0.2">
      <c r="C65" s="19">
        <v>45261</v>
      </c>
      <c r="D65" s="52">
        <v>0</v>
      </c>
      <c r="E65" s="75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</sheetData>
  <mergeCells count="2">
    <mergeCell ref="B4:G5"/>
    <mergeCell ref="C12:G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7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-35546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47908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62959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71765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-15288</v>
      </c>
    </row>
    <row r="18" spans="2:7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131798</v>
      </c>
    </row>
    <row r="19" spans="2:7" x14ac:dyDescent="0.2">
      <c r="B19" s="8">
        <v>2</v>
      </c>
      <c r="C19" s="17">
        <v>45292</v>
      </c>
      <c r="D19" s="58">
        <f>383982-32</f>
        <v>383950</v>
      </c>
      <c r="E19" s="59">
        <f>310067</f>
        <v>310067</v>
      </c>
      <c r="F19" s="18">
        <f t="shared" ref="F19:F26" si="0">D19-E19</f>
        <v>73883</v>
      </c>
      <c r="G19" s="16">
        <f t="shared" ref="G19:G26" si="1">G18+F19</f>
        <v>205681</v>
      </c>
    </row>
    <row r="20" spans="2:7" x14ac:dyDescent="0.2">
      <c r="B20" s="8">
        <v>3</v>
      </c>
      <c r="C20" s="19">
        <v>45323</v>
      </c>
      <c r="D20" s="60">
        <f>312448-31</f>
        <v>312417</v>
      </c>
      <c r="E20" s="61">
        <f>298033</f>
        <v>298033</v>
      </c>
      <c r="F20" s="20">
        <f t="shared" si="0"/>
        <v>14384</v>
      </c>
      <c r="G20" s="21">
        <f t="shared" si="1"/>
        <v>220065</v>
      </c>
    </row>
    <row r="21" spans="2:7" x14ac:dyDescent="0.2">
      <c r="B21" s="8">
        <v>4</v>
      </c>
      <c r="C21" s="19">
        <v>45352</v>
      </c>
      <c r="D21" s="60">
        <f>192761-23</f>
        <v>192738</v>
      </c>
      <c r="E21" s="61">
        <f>360810</f>
        <v>360810</v>
      </c>
      <c r="F21" s="20">
        <f t="shared" si="0"/>
        <v>-168072</v>
      </c>
      <c r="G21" s="21">
        <f t="shared" si="1"/>
        <v>51993</v>
      </c>
    </row>
    <row r="22" spans="2:7" x14ac:dyDescent="0.2">
      <c r="B22" s="8">
        <v>5</v>
      </c>
      <c r="C22" s="19">
        <v>45383</v>
      </c>
      <c r="D22" s="60">
        <f>204879-32</f>
        <v>204847</v>
      </c>
      <c r="E22" s="61">
        <f>239388</f>
        <v>239388</v>
      </c>
      <c r="F22" s="20">
        <f t="shared" si="0"/>
        <v>-34541</v>
      </c>
      <c r="G22" s="21">
        <f t="shared" si="1"/>
        <v>17452</v>
      </c>
    </row>
    <row r="23" spans="2:7" x14ac:dyDescent="0.2">
      <c r="B23" s="8">
        <v>6</v>
      </c>
      <c r="C23" s="19">
        <v>45413</v>
      </c>
      <c r="D23" s="60">
        <f>285913-39</f>
        <v>285874</v>
      </c>
      <c r="E23" s="61">
        <f>235881</f>
        <v>235881</v>
      </c>
      <c r="F23" s="20">
        <f t="shared" si="0"/>
        <v>49993</v>
      </c>
      <c r="G23" s="21">
        <f t="shared" si="1"/>
        <v>67445</v>
      </c>
    </row>
    <row r="24" spans="2:7" x14ac:dyDescent="0.2">
      <c r="B24" s="8">
        <v>7</v>
      </c>
      <c r="C24" s="19">
        <v>45444</v>
      </c>
      <c r="D24" s="60">
        <f>390958-46</f>
        <v>390912</v>
      </c>
      <c r="E24" s="61">
        <f>197727</f>
        <v>197727</v>
      </c>
      <c r="F24" s="22">
        <f t="shared" si="0"/>
        <v>193185</v>
      </c>
      <c r="G24" s="23">
        <f t="shared" si="1"/>
        <v>260630</v>
      </c>
    </row>
    <row r="25" spans="2:7" x14ac:dyDescent="0.2">
      <c r="B25" s="24" t="s">
        <v>28</v>
      </c>
      <c r="C25" s="17">
        <v>45474</v>
      </c>
      <c r="D25" s="58">
        <f>377034-0</f>
        <v>377034</v>
      </c>
      <c r="E25" s="59">
        <f>265168</f>
        <v>265168</v>
      </c>
      <c r="F25" s="18">
        <f t="shared" si="0"/>
        <v>111866</v>
      </c>
      <c r="G25" s="16">
        <f t="shared" si="1"/>
        <v>372496</v>
      </c>
    </row>
    <row r="26" spans="2:7" x14ac:dyDescent="0.2">
      <c r="B26" s="25" t="s">
        <v>29</v>
      </c>
      <c r="C26" s="26">
        <v>45505</v>
      </c>
      <c r="D26" s="62">
        <f>326481-0</f>
        <v>326481</v>
      </c>
      <c r="E26" s="63">
        <f>358750</f>
        <v>358750</v>
      </c>
      <c r="F26" s="22">
        <f t="shared" si="0"/>
        <v>-32269</v>
      </c>
      <c r="G26" s="23">
        <f t="shared" si="1"/>
        <v>340227</v>
      </c>
    </row>
    <row r="27" spans="2:7" x14ac:dyDescent="0.2">
      <c r="B27" s="9"/>
      <c r="C27" s="27" t="s">
        <v>76</v>
      </c>
      <c r="D27" s="28"/>
      <c r="E27" s="28"/>
      <c r="F27" s="28"/>
      <c r="G27" s="29"/>
    </row>
    <row r="28" spans="2:7" x14ac:dyDescent="0.2">
      <c r="B28" s="6"/>
      <c r="C28" s="5"/>
      <c r="D28" s="5"/>
      <c r="E28" s="5"/>
      <c r="F28" s="5"/>
      <c r="G28" s="16"/>
    </row>
    <row r="29" spans="2:7" x14ac:dyDescent="0.2">
      <c r="B29" s="8"/>
      <c r="C29" s="7"/>
      <c r="D29" s="8" t="s">
        <v>30</v>
      </c>
      <c r="E29" s="8" t="s">
        <v>31</v>
      </c>
      <c r="F29" s="7"/>
      <c r="G29" s="21"/>
    </row>
    <row r="30" spans="2:7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</row>
    <row r="31" spans="2:7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7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35546</v>
      </c>
      <c r="E34" s="16">
        <f>D68</f>
        <v>-23696</v>
      </c>
      <c r="F34" s="5"/>
      <c r="G34" s="16">
        <f t="shared" ref="G34:G38" si="2">D34+E34</f>
        <v>11850</v>
      </c>
    </row>
    <row r="35" spans="2:7" x14ac:dyDescent="0.2">
      <c r="B35" s="31" t="s">
        <v>44</v>
      </c>
      <c r="C35" s="7" t="s">
        <v>84</v>
      </c>
      <c r="D35" s="21">
        <f>-G14</f>
        <v>-47908</v>
      </c>
      <c r="E35" s="21">
        <v>0</v>
      </c>
      <c r="F35" s="7"/>
      <c r="G35" s="21">
        <f t="shared" si="2"/>
        <v>-47908</v>
      </c>
    </row>
    <row r="36" spans="2:7" x14ac:dyDescent="0.2">
      <c r="B36" s="31" t="s">
        <v>45</v>
      </c>
      <c r="C36" s="7" t="s">
        <v>87</v>
      </c>
      <c r="D36" s="21">
        <f>-G15</f>
        <v>-62959</v>
      </c>
      <c r="E36" s="21">
        <v>0</v>
      </c>
      <c r="F36" s="7"/>
      <c r="G36" s="21">
        <f t="shared" si="2"/>
        <v>-62959</v>
      </c>
    </row>
    <row r="37" spans="2:7" x14ac:dyDescent="0.2">
      <c r="B37" s="31" t="s">
        <v>46</v>
      </c>
      <c r="C37" s="7" t="s">
        <v>91</v>
      </c>
      <c r="D37" s="21">
        <f>-G16</f>
        <v>-71765</v>
      </c>
      <c r="E37" s="21">
        <v>0</v>
      </c>
      <c r="F37" s="7"/>
      <c r="G37" s="21">
        <f t="shared" si="2"/>
        <v>-71765</v>
      </c>
    </row>
    <row r="38" spans="2:7" x14ac:dyDescent="0.2">
      <c r="B38" s="31" t="s">
        <v>59</v>
      </c>
      <c r="C38" s="32" t="s">
        <v>93</v>
      </c>
      <c r="D38" s="23">
        <f>-G17</f>
        <v>15288</v>
      </c>
      <c r="E38" s="23">
        <v>0</v>
      </c>
      <c r="F38" s="32"/>
      <c r="G38" s="23">
        <f t="shared" si="2"/>
        <v>15288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-155494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105136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17522.666666666668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131798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-155494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-23696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105136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128832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-23696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74"/>
      <c r="G60" s="74"/>
    </row>
    <row r="61" spans="2:7" x14ac:dyDescent="0.2">
      <c r="B61" s="36"/>
      <c r="C61" s="9" t="s">
        <v>17</v>
      </c>
      <c r="D61" s="9" t="s">
        <v>99</v>
      </c>
      <c r="E61" s="31"/>
      <c r="F61" s="74"/>
      <c r="G61" s="74"/>
    </row>
    <row r="62" spans="2:7" x14ac:dyDescent="0.2">
      <c r="C62" s="17">
        <v>45292</v>
      </c>
      <c r="D62" s="50">
        <v>0</v>
      </c>
      <c r="E62" s="75"/>
      <c r="F62" s="71"/>
      <c r="G62" s="71"/>
    </row>
    <row r="63" spans="2:7" x14ac:dyDescent="0.2">
      <c r="C63" s="19">
        <v>45323</v>
      </c>
      <c r="D63" s="51">
        <v>0</v>
      </c>
      <c r="E63" s="75"/>
      <c r="F63" s="71"/>
      <c r="G63" s="71"/>
    </row>
    <row r="64" spans="2:7" x14ac:dyDescent="0.2">
      <c r="C64" s="19">
        <v>45352</v>
      </c>
      <c r="D64" s="51">
        <v>-5924</v>
      </c>
      <c r="E64" s="75"/>
      <c r="F64" s="71"/>
      <c r="G64" s="71"/>
    </row>
    <row r="65" spans="2:7" x14ac:dyDescent="0.2">
      <c r="C65" s="19">
        <v>45383</v>
      </c>
      <c r="D65" s="51">
        <v>-5924</v>
      </c>
      <c r="E65" s="75"/>
      <c r="F65" s="71"/>
      <c r="G65" s="71"/>
    </row>
    <row r="66" spans="2:7" x14ac:dyDescent="0.2">
      <c r="C66" s="19">
        <v>45413</v>
      </c>
      <c r="D66" s="51">
        <v>-5924</v>
      </c>
      <c r="E66" s="75"/>
      <c r="F66" s="71"/>
      <c r="G66" s="71"/>
    </row>
    <row r="67" spans="2:7" x14ac:dyDescent="0.2">
      <c r="C67" s="19">
        <v>45444</v>
      </c>
      <c r="D67" s="52">
        <v>-5924</v>
      </c>
      <c r="E67" s="75"/>
      <c r="F67" s="71"/>
      <c r="G67" s="71"/>
    </row>
    <row r="68" spans="2:7" x14ac:dyDescent="0.2">
      <c r="C68" s="53" t="s">
        <v>57</v>
      </c>
      <c r="D68" s="39">
        <f>SUM(D62:D67)</f>
        <v>-23696</v>
      </c>
      <c r="E68" s="20"/>
      <c r="F68" s="71"/>
      <c r="G68" s="71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2">
    <mergeCell ref="B4:G5"/>
    <mergeCell ref="C12:G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0"/>
  <sheetViews>
    <sheetView workbookViewId="0">
      <selection activeCell="A3" sqref="A3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</cols>
  <sheetData>
    <row r="1" spans="1:7" x14ac:dyDescent="0.2">
      <c r="A1" t="s">
        <v>96</v>
      </c>
    </row>
    <row r="4" spans="1:7" ht="14.25" customHeight="1" x14ac:dyDescent="0.2">
      <c r="B4" s="77" t="s">
        <v>98</v>
      </c>
      <c r="C4" s="78"/>
      <c r="D4" s="78"/>
      <c r="E4" s="78"/>
      <c r="F4" s="78"/>
      <c r="G4" s="79"/>
    </row>
    <row r="5" spans="1:7" ht="14.25" customHeight="1" x14ac:dyDescent="0.2">
      <c r="B5" s="80"/>
      <c r="C5" s="81"/>
      <c r="D5" s="81"/>
      <c r="E5" s="81"/>
      <c r="F5" s="81"/>
      <c r="G5" s="82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83" t="s">
        <v>22</v>
      </c>
      <c r="D12" s="84"/>
      <c r="E12" s="84"/>
      <c r="F12" s="84"/>
      <c r="G12" s="85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-11850</v>
      </c>
    </row>
    <row r="14" spans="1:7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47908</v>
      </c>
    </row>
    <row r="15" spans="1:7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62959</v>
      </c>
    </row>
    <row r="16" spans="1:7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71765</v>
      </c>
    </row>
    <row r="17" spans="2:7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-15288</v>
      </c>
    </row>
    <row r="18" spans="2:7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105136</v>
      </c>
    </row>
    <row r="19" spans="2:7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260630</v>
      </c>
    </row>
    <row r="20" spans="2:7" x14ac:dyDescent="0.2">
      <c r="B20" s="8">
        <v>2</v>
      </c>
      <c r="C20" s="17">
        <v>45474</v>
      </c>
      <c r="D20" s="58">
        <f>377034-0</f>
        <v>377034</v>
      </c>
      <c r="E20" s="59">
        <f>265168</f>
        <v>265168</v>
      </c>
      <c r="F20" s="18">
        <f t="shared" ref="F20:F27" si="0">D20-E20</f>
        <v>111866</v>
      </c>
      <c r="G20" s="16">
        <f t="shared" ref="G20:G27" si="1">G19+F20</f>
        <v>372496</v>
      </c>
    </row>
    <row r="21" spans="2:7" x14ac:dyDescent="0.2">
      <c r="B21" s="8">
        <v>3</v>
      </c>
      <c r="C21" s="19">
        <v>45505</v>
      </c>
      <c r="D21" s="60">
        <f>326481-0</f>
        <v>326481</v>
      </c>
      <c r="E21" s="61">
        <f>358750</f>
        <v>358750</v>
      </c>
      <c r="F21" s="20">
        <f t="shared" si="0"/>
        <v>-32269</v>
      </c>
      <c r="G21" s="21">
        <f t="shared" si="1"/>
        <v>340227</v>
      </c>
    </row>
    <row r="22" spans="2:7" x14ac:dyDescent="0.2">
      <c r="B22" s="8">
        <v>4</v>
      </c>
      <c r="C22" s="19">
        <v>45536</v>
      </c>
      <c r="D22" s="60">
        <f>257047-0</f>
        <v>257047</v>
      </c>
      <c r="E22" s="61">
        <f>340599</f>
        <v>340599</v>
      </c>
      <c r="F22" s="20">
        <f t="shared" si="0"/>
        <v>-83552</v>
      </c>
      <c r="G22" s="21">
        <f t="shared" si="1"/>
        <v>256675</v>
      </c>
    </row>
    <row r="23" spans="2:7" x14ac:dyDescent="0.2">
      <c r="B23" s="8">
        <v>5</v>
      </c>
      <c r="C23" s="19">
        <v>45566</v>
      </c>
      <c r="D23" s="60">
        <f>209406-42</f>
        <v>209364</v>
      </c>
      <c r="E23" s="61">
        <f>347846</f>
        <v>347846</v>
      </c>
      <c r="F23" s="20">
        <f t="shared" si="0"/>
        <v>-138482</v>
      </c>
      <c r="G23" s="21">
        <f t="shared" si="1"/>
        <v>118193</v>
      </c>
    </row>
    <row r="24" spans="2:7" x14ac:dyDescent="0.2">
      <c r="B24" s="8">
        <v>6</v>
      </c>
      <c r="C24" s="19">
        <v>45597</v>
      </c>
      <c r="D24" s="60">
        <f>245588-44</f>
        <v>245544</v>
      </c>
      <c r="E24" s="61">
        <f>313653</f>
        <v>313653</v>
      </c>
      <c r="F24" s="20">
        <f t="shared" si="0"/>
        <v>-68109</v>
      </c>
      <c r="G24" s="21">
        <f t="shared" si="1"/>
        <v>50084</v>
      </c>
    </row>
    <row r="25" spans="2:7" x14ac:dyDescent="0.2">
      <c r="B25" s="8">
        <v>7</v>
      </c>
      <c r="C25" s="19">
        <v>45627</v>
      </c>
      <c r="D25" s="60">
        <f>382490-53</f>
        <v>382437</v>
      </c>
      <c r="E25" s="61">
        <f>212369</f>
        <v>212369</v>
      </c>
      <c r="F25" s="22">
        <f t="shared" si="0"/>
        <v>170068</v>
      </c>
      <c r="G25" s="23">
        <f t="shared" si="1"/>
        <v>220152</v>
      </c>
    </row>
    <row r="26" spans="2:7" x14ac:dyDescent="0.2">
      <c r="B26" s="24" t="s">
        <v>28</v>
      </c>
      <c r="C26" s="17">
        <v>45658</v>
      </c>
      <c r="D26" s="58">
        <f>491343-47</f>
        <v>491296</v>
      </c>
      <c r="E26" s="59">
        <f>279311</f>
        <v>279311</v>
      </c>
      <c r="F26" s="18">
        <f t="shared" si="0"/>
        <v>211985</v>
      </c>
      <c r="G26" s="16">
        <f t="shared" si="1"/>
        <v>432137</v>
      </c>
    </row>
    <row r="27" spans="2:7" x14ac:dyDescent="0.2">
      <c r="B27" s="25" t="s">
        <v>29</v>
      </c>
      <c r="C27" s="26">
        <v>45689</v>
      </c>
      <c r="D27" s="62">
        <f>340521-35</f>
        <v>340486</v>
      </c>
      <c r="E27" s="54">
        <v>0</v>
      </c>
      <c r="F27" s="22">
        <f t="shared" si="0"/>
        <v>340486</v>
      </c>
      <c r="G27" s="23">
        <f t="shared" si="1"/>
        <v>772623</v>
      </c>
    </row>
    <row r="28" spans="2:7" x14ac:dyDescent="0.2">
      <c r="B28" s="9"/>
      <c r="C28" s="27" t="s">
        <v>79</v>
      </c>
      <c r="D28" s="28"/>
      <c r="E28" s="28"/>
      <c r="F28" s="28"/>
      <c r="G28" s="29"/>
    </row>
    <row r="29" spans="2:7" x14ac:dyDescent="0.2">
      <c r="B29" s="6"/>
      <c r="C29" s="5"/>
      <c r="D29" s="5"/>
      <c r="E29" s="5"/>
      <c r="F29" s="5"/>
      <c r="G29" s="16"/>
    </row>
    <row r="30" spans="2:7" x14ac:dyDescent="0.2">
      <c r="B30" s="8"/>
      <c r="C30" s="7"/>
      <c r="D30" s="8" t="s">
        <v>30</v>
      </c>
      <c r="E30" s="8" t="s">
        <v>31</v>
      </c>
      <c r="F30" s="7"/>
      <c r="G30" s="21"/>
    </row>
    <row r="31" spans="2:7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</row>
    <row r="32" spans="2:7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2">-G13</f>
        <v>11850</v>
      </c>
      <c r="E35" s="16">
        <f>D70</f>
        <v>-11850</v>
      </c>
      <c r="F35" s="5"/>
      <c r="G35" s="16">
        <f t="shared" ref="G35:G40" si="3">D35+E35</f>
        <v>0</v>
      </c>
    </row>
    <row r="36" spans="2:7" x14ac:dyDescent="0.2">
      <c r="B36" s="31" t="s">
        <v>44</v>
      </c>
      <c r="C36" s="7" t="s">
        <v>84</v>
      </c>
      <c r="D36" s="21">
        <f t="shared" si="2"/>
        <v>-47908</v>
      </c>
      <c r="E36" s="21">
        <v>0</v>
      </c>
      <c r="F36" s="7"/>
      <c r="G36" s="21">
        <f t="shared" si="3"/>
        <v>-47908</v>
      </c>
    </row>
    <row r="37" spans="2:7" x14ac:dyDescent="0.2">
      <c r="B37" s="31" t="s">
        <v>45</v>
      </c>
      <c r="C37" s="7" t="s">
        <v>87</v>
      </c>
      <c r="D37" s="21">
        <f t="shared" si="2"/>
        <v>-62959</v>
      </c>
      <c r="E37" s="21">
        <v>0</v>
      </c>
      <c r="F37" s="7"/>
      <c r="G37" s="21">
        <f t="shared" si="3"/>
        <v>-62959</v>
      </c>
    </row>
    <row r="38" spans="2:7" x14ac:dyDescent="0.2">
      <c r="B38" s="31" t="s">
        <v>46</v>
      </c>
      <c r="C38" s="7" t="s">
        <v>91</v>
      </c>
      <c r="D38" s="21">
        <f t="shared" si="2"/>
        <v>-71765</v>
      </c>
      <c r="E38" s="21">
        <v>0</v>
      </c>
      <c r="F38" s="7"/>
      <c r="G38" s="21">
        <f t="shared" si="3"/>
        <v>-71765</v>
      </c>
    </row>
    <row r="39" spans="2:7" x14ac:dyDescent="0.2">
      <c r="B39" s="31" t="s">
        <v>59</v>
      </c>
      <c r="C39" s="7" t="s">
        <v>93</v>
      </c>
      <c r="D39" s="21">
        <f t="shared" si="2"/>
        <v>15288</v>
      </c>
      <c r="E39" s="21">
        <v>0</v>
      </c>
      <c r="F39" s="7"/>
      <c r="G39" s="21">
        <f t="shared" si="3"/>
        <v>15288</v>
      </c>
    </row>
    <row r="40" spans="2:7" x14ac:dyDescent="0.2">
      <c r="B40" s="31" t="s">
        <v>66</v>
      </c>
      <c r="C40" s="32" t="s">
        <v>95</v>
      </c>
      <c r="D40" s="23">
        <f t="shared" si="2"/>
        <v>-105136</v>
      </c>
      <c r="E40" s="23">
        <v>0</v>
      </c>
      <c r="F40" s="32"/>
      <c r="G40" s="23">
        <f t="shared" si="3"/>
        <v>-105136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-272480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-52328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-8721.3333333333339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260630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-272480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-11850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-52328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-40478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-11850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74"/>
      <c r="G62" s="74"/>
    </row>
    <row r="63" spans="2:7" x14ac:dyDescent="0.2">
      <c r="B63" s="36"/>
      <c r="C63" s="9" t="s">
        <v>17</v>
      </c>
      <c r="D63" s="9" t="s">
        <v>99</v>
      </c>
      <c r="E63" s="31"/>
      <c r="F63" s="74"/>
      <c r="G63" s="74"/>
    </row>
    <row r="64" spans="2:7" x14ac:dyDescent="0.2">
      <c r="C64" s="17">
        <v>45474</v>
      </c>
      <c r="D64" s="50">
        <v>-5924</v>
      </c>
      <c r="E64" s="75"/>
      <c r="F64" s="71"/>
      <c r="G64" s="71"/>
    </row>
    <row r="65" spans="3:7" x14ac:dyDescent="0.2">
      <c r="C65" s="19">
        <v>45505</v>
      </c>
      <c r="D65" s="51">
        <v>-5926</v>
      </c>
      <c r="E65" s="75"/>
      <c r="F65" s="71"/>
      <c r="G65" s="71"/>
    </row>
    <row r="66" spans="3:7" x14ac:dyDescent="0.2">
      <c r="C66" s="19">
        <v>45536</v>
      </c>
      <c r="D66" s="51">
        <v>0</v>
      </c>
      <c r="E66" s="75"/>
      <c r="F66" s="71"/>
      <c r="G66" s="71"/>
    </row>
    <row r="67" spans="3:7" x14ac:dyDescent="0.2">
      <c r="C67" s="19">
        <v>45566</v>
      </c>
      <c r="D67" s="51">
        <v>0</v>
      </c>
      <c r="E67" s="75"/>
      <c r="F67" s="71"/>
      <c r="G67" s="71"/>
    </row>
    <row r="68" spans="3:7" x14ac:dyDescent="0.2">
      <c r="C68" s="19">
        <v>45597</v>
      </c>
      <c r="D68" s="51">
        <v>0</v>
      </c>
      <c r="E68" s="75"/>
      <c r="F68" s="71"/>
      <c r="G68" s="71"/>
    </row>
    <row r="69" spans="3:7" x14ac:dyDescent="0.2">
      <c r="C69" s="19">
        <v>45627</v>
      </c>
      <c r="D69" s="52">
        <v>0</v>
      </c>
      <c r="E69" s="75"/>
      <c r="F69" s="71"/>
      <c r="G69" s="71"/>
    </row>
    <row r="70" spans="3:7" x14ac:dyDescent="0.2">
      <c r="C70" s="53" t="s">
        <v>57</v>
      </c>
      <c r="D70" s="39">
        <f>SUM(D64:D69)</f>
        <v>-11850</v>
      </c>
      <c r="E70" s="20"/>
      <c r="F70" s="71"/>
      <c r="G70" s="71"/>
    </row>
  </sheetData>
  <mergeCells count="2">
    <mergeCell ref="B4:G5"/>
    <mergeCell ref="C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2025-03-31T01:11:42Z</dcterms:modified>
</cp:coreProperties>
</file>