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013 - 36-Month Review\PSC DR1\To be filed 3-31\"/>
    </mc:Choice>
  </mc:AlternateContent>
  <xr:revisionPtr revIDLastSave="0" documentId="13_ncr:1_{EEB24D32-0824-4BE4-8410-A507590A459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" r:id="rId1"/>
    <sheet name="A - 05-31-22" sheetId="2" r:id="rId2"/>
    <sheet name="B - 11-30-22" sheetId="3" r:id="rId3"/>
    <sheet name="C - 05-31-23" sheetId="4" r:id="rId4"/>
    <sheet name="D - 11-30-23" sheetId="5" r:id="rId5"/>
    <sheet name="E - 05-31-24" sheetId="6" r:id="rId6"/>
    <sheet name="F - 11-30-24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8" l="1"/>
  <c r="E35" i="8" s="1"/>
  <c r="D68" i="6"/>
  <c r="E34" i="6" s="1"/>
  <c r="D66" i="5"/>
  <c r="D64" i="4"/>
  <c r="D62" i="3"/>
  <c r="D60" i="2"/>
  <c r="D27" i="8" l="1"/>
  <c r="L27" i="8" l="1"/>
  <c r="L26" i="8"/>
  <c r="L25" i="8"/>
  <c r="L24" i="8"/>
  <c r="L23" i="8"/>
  <c r="J22" i="8"/>
  <c r="L22" i="8" s="1"/>
  <c r="J21" i="8"/>
  <c r="L21" i="8" s="1"/>
  <c r="J20" i="8"/>
  <c r="L20" i="8" s="1"/>
  <c r="M20" i="8" s="1"/>
  <c r="M21" i="8" l="1"/>
  <c r="M22" i="8" s="1"/>
  <c r="M23" i="8"/>
  <c r="M24" i="8" s="1"/>
  <c r="M25" i="8" s="1"/>
  <c r="M26" i="8" s="1"/>
  <c r="M27" i="8" s="1"/>
  <c r="M29" i="8"/>
  <c r="M31" i="8" s="1"/>
  <c r="J26" i="6" l="1"/>
  <c r="L26" i="6" s="1"/>
  <c r="J25" i="6"/>
  <c r="L25" i="6" s="1"/>
  <c r="J24" i="6"/>
  <c r="L24" i="6" s="1"/>
  <c r="J23" i="6"/>
  <c r="L23" i="6" s="1"/>
  <c r="J22" i="6"/>
  <c r="L22" i="6" s="1"/>
  <c r="J21" i="6"/>
  <c r="L21" i="6" s="1"/>
  <c r="J20" i="6"/>
  <c r="L20" i="6" s="1"/>
  <c r="J19" i="6"/>
  <c r="L19" i="6" s="1"/>
  <c r="M19" i="6" s="1"/>
  <c r="M20" i="6" s="1"/>
  <c r="M21" i="6" l="1"/>
  <c r="M22" i="6" s="1"/>
  <c r="M23" i="6" s="1"/>
  <c r="M24" i="6" s="1"/>
  <c r="M28" i="6" l="1"/>
  <c r="M30" i="6" s="1"/>
  <c r="M25" i="6"/>
  <c r="M26" i="6" s="1"/>
  <c r="J25" i="5" l="1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M18" i="5" s="1"/>
  <c r="M19" i="5" s="1"/>
  <c r="M20" i="5" s="1"/>
  <c r="M21" i="5" s="1"/>
  <c r="M22" i="5" l="1"/>
  <c r="M23" i="5" s="1"/>
  <c r="M24" i="5" l="1"/>
  <c r="M25" i="5" s="1"/>
  <c r="M27" i="5"/>
  <c r="M29" i="5" s="1"/>
  <c r="J24" i="4" l="1"/>
  <c r="L24" i="4" s="1"/>
  <c r="J23" i="4"/>
  <c r="L23" i="4" s="1"/>
  <c r="J22" i="4"/>
  <c r="L22" i="4" s="1"/>
  <c r="K21" i="4"/>
  <c r="J21" i="4"/>
  <c r="L21" i="4" s="1"/>
  <c r="J20" i="4"/>
  <c r="L20" i="4" s="1"/>
  <c r="J19" i="4"/>
  <c r="L19" i="4" s="1"/>
  <c r="K18" i="4"/>
  <c r="J18" i="4"/>
  <c r="J17" i="4"/>
  <c r="L17" i="4" s="1"/>
  <c r="M17" i="4" s="1"/>
  <c r="L18" i="4" l="1"/>
  <c r="M18" i="4"/>
  <c r="M19" i="4" s="1"/>
  <c r="M20" i="4" s="1"/>
  <c r="M21" i="4" s="1"/>
  <c r="M22" i="4" s="1"/>
  <c r="M26" i="4"/>
  <c r="M28" i="4" s="1"/>
  <c r="M23" i="4"/>
  <c r="M24" i="4" s="1"/>
  <c r="K23" i="3" l="1"/>
  <c r="J23" i="3"/>
  <c r="L23" i="3" s="1"/>
  <c r="J22" i="3"/>
  <c r="L22" i="3" s="1"/>
  <c r="J21" i="3"/>
  <c r="L21" i="3" s="1"/>
  <c r="J20" i="3"/>
  <c r="L20" i="3" s="1"/>
  <c r="J19" i="3"/>
  <c r="L19" i="3" s="1"/>
  <c r="J18" i="3"/>
  <c r="L18" i="3" s="1"/>
  <c r="K17" i="3"/>
  <c r="J17" i="3"/>
  <c r="L17" i="3" s="1"/>
  <c r="J16" i="3"/>
  <c r="L16" i="3" s="1"/>
  <c r="M16" i="3" s="1"/>
  <c r="M17" i="3" l="1"/>
  <c r="M18" i="3" s="1"/>
  <c r="M19" i="3" s="1"/>
  <c r="M20" i="3" s="1"/>
  <c r="M21" i="3" s="1"/>
  <c r="M25" i="3" l="1"/>
  <c r="M27" i="3" s="1"/>
  <c r="M22" i="3"/>
  <c r="M23" i="3" s="1"/>
  <c r="E17" i="2" l="1"/>
  <c r="E18" i="2"/>
  <c r="K22" i="2"/>
  <c r="J22" i="2"/>
  <c r="L22" i="2" s="1"/>
  <c r="J21" i="2"/>
  <c r="L21" i="2" s="1"/>
  <c r="J20" i="2"/>
  <c r="L20" i="2" s="1"/>
  <c r="L19" i="2"/>
  <c r="K18" i="2"/>
  <c r="L18" i="2" s="1"/>
  <c r="L17" i="2"/>
  <c r="L16" i="2"/>
  <c r="L15" i="2"/>
  <c r="M15" i="2" s="1"/>
  <c r="M16" i="2" l="1"/>
  <c r="M17" i="2" s="1"/>
  <c r="M18" i="2" s="1"/>
  <c r="M19" i="2" s="1"/>
  <c r="M20" i="2" s="1"/>
  <c r="M24" i="2" s="1"/>
  <c r="M26" i="2" s="1"/>
  <c r="M21" i="2" l="1"/>
  <c r="M22" i="2" s="1"/>
  <c r="D26" i="8" l="1"/>
  <c r="D25" i="8"/>
  <c r="D24" i="8"/>
  <c r="D23" i="8"/>
  <c r="D22" i="8"/>
  <c r="D21" i="8"/>
  <c r="D20" i="8"/>
  <c r="D26" i="6" l="1"/>
  <c r="D25" i="6"/>
  <c r="D24" i="6"/>
  <c r="D23" i="6"/>
  <c r="D22" i="6"/>
  <c r="D21" i="6"/>
  <c r="D20" i="6"/>
  <c r="D19" i="6"/>
  <c r="D25" i="5" l="1"/>
  <c r="D24" i="5"/>
  <c r="D23" i="5"/>
  <c r="D22" i="5"/>
  <c r="D21" i="5"/>
  <c r="D20" i="5"/>
  <c r="E19" i="5"/>
  <c r="D19" i="5"/>
  <c r="E18" i="5"/>
  <c r="D18" i="5"/>
  <c r="E24" i="4" l="1"/>
  <c r="D24" i="4"/>
  <c r="E23" i="4"/>
  <c r="D23" i="4"/>
  <c r="E22" i="4"/>
  <c r="D22" i="4"/>
  <c r="E21" i="4"/>
  <c r="D21" i="4"/>
  <c r="D20" i="4"/>
  <c r="D19" i="4"/>
  <c r="E18" i="4"/>
  <c r="D18" i="4"/>
  <c r="D17" i="4"/>
  <c r="E23" i="3" l="1"/>
  <c r="D23" i="3"/>
  <c r="D22" i="3"/>
  <c r="D21" i="3"/>
  <c r="D20" i="3"/>
  <c r="D19" i="3"/>
  <c r="D18" i="3"/>
  <c r="E17" i="3"/>
  <c r="D17" i="3"/>
  <c r="D16" i="3"/>
  <c r="D18" i="2" l="1"/>
  <c r="E22" i="2"/>
  <c r="D22" i="2"/>
  <c r="D21" i="2"/>
  <c r="D20" i="2"/>
  <c r="D19" i="2"/>
  <c r="D17" i="2"/>
  <c r="D16" i="2"/>
  <c r="D15" i="2"/>
  <c r="G14" i="2" l="1"/>
  <c r="D35" i="8" l="1"/>
  <c r="G35" i="8" s="1"/>
  <c r="F27" i="8"/>
  <c r="F26" i="8"/>
  <c r="F25" i="8"/>
  <c r="F24" i="8"/>
  <c r="F23" i="8"/>
  <c r="F22" i="8"/>
  <c r="F21" i="8"/>
  <c r="F20" i="8"/>
  <c r="G56" i="8" l="1"/>
  <c r="D34" i="6" l="1"/>
  <c r="F26" i="6"/>
  <c r="F25" i="6"/>
  <c r="F24" i="6"/>
  <c r="F23" i="6"/>
  <c r="F22" i="6"/>
  <c r="F21" i="6"/>
  <c r="F20" i="6"/>
  <c r="F19" i="6"/>
  <c r="G34" i="6" l="1"/>
  <c r="G54" i="6"/>
  <c r="E33" i="5" l="1"/>
  <c r="D33" i="5"/>
  <c r="F25" i="5"/>
  <c r="F24" i="5"/>
  <c r="F23" i="5"/>
  <c r="F22" i="5"/>
  <c r="F21" i="5"/>
  <c r="F20" i="5"/>
  <c r="F19" i="5"/>
  <c r="F18" i="5"/>
  <c r="G52" i="5" l="1"/>
  <c r="G33" i="5"/>
  <c r="E32" i="4" l="1"/>
  <c r="D32" i="4"/>
  <c r="F24" i="4"/>
  <c r="F23" i="4"/>
  <c r="F22" i="4"/>
  <c r="F21" i="4"/>
  <c r="F20" i="4"/>
  <c r="F19" i="4"/>
  <c r="F18" i="4"/>
  <c r="F17" i="4"/>
  <c r="G32" i="4" l="1"/>
  <c r="G50" i="4"/>
  <c r="E31" i="3" l="1"/>
  <c r="D31" i="3"/>
  <c r="F23" i="3"/>
  <c r="F22" i="3"/>
  <c r="F21" i="3"/>
  <c r="F20" i="3"/>
  <c r="F19" i="3"/>
  <c r="F18" i="3"/>
  <c r="F17" i="3"/>
  <c r="F16" i="3"/>
  <c r="G31" i="3" l="1"/>
  <c r="G48" i="3"/>
  <c r="E30" i="2" l="1"/>
  <c r="D30" i="2"/>
  <c r="F22" i="2"/>
  <c r="F21" i="2"/>
  <c r="F20" i="2"/>
  <c r="F19" i="2"/>
  <c r="F18" i="2"/>
  <c r="F17" i="2"/>
  <c r="F16" i="2"/>
  <c r="F15" i="2"/>
  <c r="G39" i="2"/>
  <c r="G30" i="2" l="1"/>
  <c r="G31" i="2" s="1"/>
  <c r="G40" i="2" s="1"/>
  <c r="G42" i="2" s="1"/>
  <c r="G46" i="2"/>
  <c r="G15" i="2"/>
  <c r="G16" i="2" s="1"/>
  <c r="G17" i="2" s="1"/>
  <c r="G18" i="2" s="1"/>
  <c r="G19" i="2" s="1"/>
  <c r="G20" i="2" s="1"/>
  <c r="G21" i="2" l="1"/>
  <c r="G22" i="2" s="1"/>
  <c r="G33" i="2"/>
  <c r="G14" i="5" l="1"/>
  <c r="G14" i="4"/>
  <c r="G14" i="8"/>
  <c r="G14" i="6"/>
  <c r="E8" i="1"/>
  <c r="G14" i="3"/>
  <c r="G44" i="2"/>
  <c r="G48" i="2" s="1"/>
  <c r="G35" i="2"/>
  <c r="D35" i="6" l="1"/>
  <c r="G35" i="6" s="1"/>
  <c r="D36" i="8"/>
  <c r="G36" i="8" s="1"/>
  <c r="D33" i="4"/>
  <c r="G33" i="4" s="1"/>
  <c r="D34" i="5"/>
  <c r="G34" i="5" s="1"/>
  <c r="G15" i="3"/>
  <c r="D32" i="3"/>
  <c r="G32" i="3" s="1"/>
  <c r="F8" i="1"/>
  <c r="G33" i="3" l="1"/>
  <c r="G42" i="3" s="1"/>
  <c r="G16" i="3"/>
  <c r="G17" i="3" s="1"/>
  <c r="G18" i="3" s="1"/>
  <c r="G19" i="3" s="1"/>
  <c r="G20" i="3" s="1"/>
  <c r="G21" i="3" s="1"/>
  <c r="G41" i="3"/>
  <c r="G35" i="3" l="1"/>
  <c r="G15" i="5" s="1"/>
  <c r="G44" i="3"/>
  <c r="G15" i="4"/>
  <c r="G15" i="6"/>
  <c r="G22" i="3"/>
  <c r="G23" i="3" s="1"/>
  <c r="G15" i="8" l="1"/>
  <c r="D36" i="6"/>
  <c r="G36" i="6" s="1"/>
  <c r="D34" i="4"/>
  <c r="G34" i="4" s="1"/>
  <c r="G35" i="4" s="1"/>
  <c r="G44" i="4" s="1"/>
  <c r="G16" i="4"/>
  <c r="D37" i="8"/>
  <c r="G37" i="8" s="1"/>
  <c r="D35" i="5"/>
  <c r="G35" i="5" s="1"/>
  <c r="E9" i="1"/>
  <c r="F9" i="1" s="1"/>
  <c r="G37" i="3"/>
  <c r="G46" i="3"/>
  <c r="G50" i="3" s="1"/>
  <c r="G43" i="4" l="1"/>
  <c r="G46" i="4" s="1"/>
  <c r="G17" i="4"/>
  <c r="G18" i="4" s="1"/>
  <c r="G19" i="4" s="1"/>
  <c r="G20" i="4" s="1"/>
  <c r="G21" i="4" s="1"/>
  <c r="G22" i="4" s="1"/>
  <c r="G23" i="4" l="1"/>
  <c r="G24" i="4" s="1"/>
  <c r="G37" i="4"/>
  <c r="E10" i="1" l="1"/>
  <c r="F10" i="1" s="1"/>
  <c r="G16" i="5"/>
  <c r="G16" i="8"/>
  <c r="G16" i="6"/>
  <c r="G48" i="4"/>
  <c r="G52" i="4" s="1"/>
  <c r="G39" i="4"/>
  <c r="D37" i="6" l="1"/>
  <c r="G37" i="6" s="1"/>
  <c r="D38" i="8"/>
  <c r="G38" i="8" s="1"/>
  <c r="D36" i="5"/>
  <c r="G36" i="5" s="1"/>
  <c r="G37" i="5" s="1"/>
  <c r="G46" i="5" s="1"/>
  <c r="G17" i="5"/>
  <c r="G45" i="5" l="1"/>
  <c r="G18" i="5"/>
  <c r="G19" i="5" s="1"/>
  <c r="G20" i="5" s="1"/>
  <c r="G21" i="5" s="1"/>
  <c r="G22" i="5" s="1"/>
  <c r="G23" i="5" s="1"/>
  <c r="G48" i="5"/>
  <c r="G39" i="5" l="1"/>
  <c r="G24" i="5"/>
  <c r="G25" i="5" s="1"/>
  <c r="E11" i="1" l="1"/>
  <c r="F11" i="1" s="1"/>
  <c r="G17" i="6"/>
  <c r="G17" i="8"/>
  <c r="G41" i="5"/>
  <c r="G50" i="5"/>
  <c r="G54" i="5" s="1"/>
  <c r="D38" i="6" l="1"/>
  <c r="G38" i="6" s="1"/>
  <c r="G39" i="6" s="1"/>
  <c r="G48" i="6" s="1"/>
  <c r="G18" i="6"/>
  <c r="D39" i="8"/>
  <c r="G39" i="8" s="1"/>
  <c r="G47" i="6" l="1"/>
  <c r="G50" i="6" s="1"/>
  <c r="G19" i="6"/>
  <c r="G20" i="6" s="1"/>
  <c r="G21" i="6" s="1"/>
  <c r="G22" i="6" s="1"/>
  <c r="G23" i="6" s="1"/>
  <c r="G24" i="6" s="1"/>
  <c r="G25" i="6" l="1"/>
  <c r="G26" i="6" s="1"/>
  <c r="G41" i="6"/>
  <c r="E12" i="1" l="1"/>
  <c r="G18" i="8"/>
  <c r="G52" i="6"/>
  <c r="G56" i="6" s="1"/>
  <c r="G43" i="6"/>
  <c r="D40" i="8" l="1"/>
  <c r="G40" i="8" s="1"/>
  <c r="G41" i="8" s="1"/>
  <c r="G50" i="8" s="1"/>
  <c r="G19" i="8"/>
  <c r="F12" i="1"/>
  <c r="G49" i="8" l="1"/>
  <c r="G52" i="8" s="1"/>
  <c r="G20" i="8"/>
  <c r="G21" i="8" s="1"/>
  <c r="G22" i="8" s="1"/>
  <c r="G23" i="8" s="1"/>
  <c r="G24" i="8" s="1"/>
  <c r="G25" i="8" s="1"/>
  <c r="G26" i="8" l="1"/>
  <c r="G27" i="8" s="1"/>
  <c r="G43" i="8"/>
  <c r="E13" i="1" l="1"/>
  <c r="G45" i="8"/>
  <c r="G54" i="8"/>
  <c r="G58" i="8" s="1"/>
  <c r="F13" i="1" l="1"/>
  <c r="E15" i="1"/>
  <c r="E22" i="1" l="1"/>
  <c r="E24" i="1"/>
  <c r="F15" i="1"/>
</calcChain>
</file>

<file path=xl/sharedStrings.xml><?xml version="1.0" encoding="utf-8"?>
<sst xmlns="http://schemas.openxmlformats.org/spreadsheetml/2006/main" count="549" uniqueCount="107">
  <si>
    <t>Net (Over)/Under-Recovery of Environmental Surcharge</t>
  </si>
  <si>
    <t>From:</t>
  </si>
  <si>
    <t>Amount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</si>
  <si>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</si>
  <si>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</si>
  <si>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</si>
  <si>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</si>
  <si>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</si>
  <si>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</si>
  <si>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</si>
  <si>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</si>
  <si>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</si>
  <si>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</si>
  <si>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</si>
  <si>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</si>
  <si>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</si>
  <si>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</si>
  <si>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</si>
  <si>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</si>
  <si>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</si>
  <si>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</si>
  <si>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</si>
  <si>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</si>
  <si>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</si>
  <si>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</si>
  <si>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1c</t>
  </si>
  <si>
    <t>1d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</si>
  <si>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</si>
  <si>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</si>
  <si>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</si>
  <si>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</si>
  <si>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</si>
  <si>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</si>
  <si>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</si>
  <si>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</si>
  <si>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</si>
  <si>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</si>
  <si>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</si>
  <si>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</si>
  <si>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</si>
  <si>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</si>
  <si>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</si>
  <si>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</si>
  <si>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</si>
  <si>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</si>
  <si>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>8c</t>
  </si>
  <si>
    <t>8d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</si>
  <si>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</si>
  <si>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</si>
  <si>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</si>
  <si>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</si>
  <si>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</si>
  <si>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</si>
  <si>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</si>
  <si>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</si>
  <si>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</si>
  <si>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</si>
  <si>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</si>
  <si>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1e</t>
  </si>
  <si>
    <t>8e</t>
  </si>
  <si>
    <t>Cumulative six month (Over)/Under-Recovery [Cumulative net of remaining Case amortizations (Ln 7&amp;8e)]</t>
  </si>
  <si>
    <t>Less Adjustment for Order amounts remaining to be amortized at end of review period June 2022</t>
  </si>
  <si>
    <t>Monthly recovery (per month for six months</t>
  </si>
  <si>
    <t xml:space="preserve">  Tab "A - 05-31-22", Line No. 9</t>
  </si>
  <si>
    <t>1f</t>
  </si>
  <si>
    <t>Less Adjustment for Order amounts remaining to be amortized at end of review period December 2022</t>
  </si>
  <si>
    <t>8f</t>
  </si>
  <si>
    <t>Cumulative six month (Over)/Under-Recovery [Cumulative net of remaining Case amortizations (Ln 7&amp;8f)]</t>
  </si>
  <si>
    <t xml:space="preserve">  Tab "B - 11-30-22", Line No. 9</t>
  </si>
  <si>
    <t>1g</t>
  </si>
  <si>
    <t>Less Adjustment for Order amounts remaining to be amortized at end of review period June 2023</t>
  </si>
  <si>
    <t>8g</t>
  </si>
  <si>
    <t>Cumulative six month (Over)/Under-Recovery [Cumulative net of remaining Case amortizations (Ln 7&amp;8g)]</t>
  </si>
  <si>
    <t xml:space="preserve">  Tab "C - 05-31-23", Line No. 9</t>
  </si>
  <si>
    <t>Less Adjustment for Order amounts remaining to be amortized at end of review period December 2023</t>
  </si>
  <si>
    <t xml:space="preserve">  Tab "D - 11-30-23", Line No. 9</t>
  </si>
  <si>
    <t>Less Adjustment for Order amounts remaining to be amortized at end of review period June 2024</t>
  </si>
  <si>
    <t xml:space="preserve">  Tab "E - 05-31-24", Line No. 9</t>
  </si>
  <si>
    <t xml:space="preserve">  Tab "F - 11-30-24", Line No. 9</t>
  </si>
  <si>
    <t>Less Adjustment for Order amounts remaining to be amortized at end of review period December 2024</t>
  </si>
  <si>
    <t>From Case No. 2022-00141 (Over)/Under-Recovery</t>
  </si>
  <si>
    <t>From Tab "A - 05-31-22" (Over)/Under-Recovery</t>
  </si>
  <si>
    <t>Case No. 2022-00141 Recovery</t>
  </si>
  <si>
    <t>Cumulative six month (Over)/Under-Recovery [Cumulative net of remaining Case amortizations (Ln 7&amp;8b)]</t>
  </si>
  <si>
    <t>From Tab "A - 05-31-22" Recovery</t>
  </si>
  <si>
    <t>Cumulative six month (Over)/Under-Recovery [Cumulative net of remaining Case amortizations (Ln 7&amp;8c)]</t>
  </si>
  <si>
    <t>From Tab "B - 11-30-22" (Over)/Under-Recovery</t>
  </si>
  <si>
    <t>From Tab "B - 11-30-22" Recovery</t>
  </si>
  <si>
    <t>Cumulative six month (Over)/Under-Recovery [Cumulative net of remaining Case amortizations (Ln 7&amp;8d)]</t>
  </si>
  <si>
    <t>From Tab "C - 05-31-23" (Over)/Under-Recovery</t>
  </si>
  <si>
    <t>From Case No. 2022-00141 Recovery</t>
  </si>
  <si>
    <t>From Tab "C - 05-31-23" Recovery</t>
  </si>
  <si>
    <t>From Tab "D - 11-30-23" (Over)/Under-Recovery</t>
  </si>
  <si>
    <t>From Tab "D - 11-30-23" Recovery</t>
  </si>
  <si>
    <t>From Tab "E - 05-31-24" (Over)/Under-Recovery</t>
  </si>
  <si>
    <t>From Tab "E - 05-31-24" Recovery</t>
  </si>
  <si>
    <t>DR1 Response2 - Cumberland Valley Surcharge Summary.xlsx</t>
  </si>
  <si>
    <t>Cumberland Valley - Calculation of (Over)/Under Recovery</t>
  </si>
  <si>
    <t>Cumberland Velley</t>
  </si>
  <si>
    <t>Cumberland Valley - Calculation of (Over)/Under Recovery - Direct Surcharge Pass-Throughs</t>
  </si>
  <si>
    <t>Rate C (Mar-22), Rate G (Jun-22)</t>
  </si>
  <si>
    <t>(1)</t>
  </si>
  <si>
    <t>Cumulative 6-month (Over)/Under Recovery</t>
  </si>
  <si>
    <t>Monthly Recovery (per month for six months)</t>
  </si>
  <si>
    <t>Rate C, Rate G</t>
  </si>
  <si>
    <t>2022-00141</t>
  </si>
  <si>
    <t>DR1 Response 2 - Cumberland Valley Surcharge Summary.xlsx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</si>
</sst>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4" fontId="4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/>
    <xf numFmtId="6" fontId="0" fillId="0" borderId="3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5" fontId="0" fillId="0" borderId="12" xfId="0" applyNumberFormat="1" applyFill="1" applyBorder="1"/>
    <xf numFmtId="0" fontId="0" fillId="0" borderId="6" xfId="0" applyBorder="1"/>
    <xf numFmtId="5" fontId="0" fillId="0" borderId="9" xfId="0" applyNumberFormat="1" applyBorder="1"/>
    <xf numFmtId="164" fontId="0" fillId="0" borderId="9" xfId="0" applyNumberFormat="1" applyBorder="1" applyAlignment="1">
      <alignment horizontal="right"/>
    </xf>
    <xf numFmtId="5" fontId="0" fillId="0" borderId="4" xfId="0" applyNumberFormat="1" applyBorder="1"/>
    <xf numFmtId="164" fontId="0" fillId="0" borderId="10" xfId="0" applyNumberFormat="1" applyBorder="1" applyAlignment="1">
      <alignment horizontal="right"/>
    </xf>
    <xf numFmtId="5" fontId="0" fillId="0" borderId="16" xfId="0" applyNumberFormat="1" applyBorder="1"/>
    <xf numFmtId="5" fontId="0" fillId="0" borderId="10" xfId="0" applyNumberFormat="1" applyBorder="1"/>
    <xf numFmtId="5" fontId="0" fillId="0" borderId="7" xfId="0" applyNumberFormat="1" applyBorder="1"/>
    <xf numFmtId="5" fontId="0" fillId="0" borderId="11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2" xfId="0" applyFill="1" applyBorder="1"/>
    <xf numFmtId="5" fontId="0" fillId="2" borderId="8" xfId="0" applyNumberFormat="1" applyFill="1" applyBorder="1"/>
    <xf numFmtId="5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3" xfId="0" applyBorder="1"/>
    <xf numFmtId="5" fontId="0" fillId="0" borderId="12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5" xfId="0" applyBorder="1"/>
    <xf numFmtId="0" fontId="0" fillId="0" borderId="0" xfId="0" applyBorder="1"/>
    <xf numFmtId="5" fontId="0" fillId="0" borderId="17" xfId="0" applyNumberFormat="1" applyBorder="1"/>
    <xf numFmtId="5" fontId="0" fillId="0" borderId="8" xfId="0" applyNumberFormat="1" applyBorder="1"/>
    <xf numFmtId="5" fontId="0" fillId="0" borderId="18" xfId="0" applyNumberFormat="1" applyBorder="1"/>
    <xf numFmtId="0" fontId="0" fillId="0" borderId="2" xfId="0" applyBorder="1"/>
    <xf numFmtId="0" fontId="0" fillId="0" borderId="8" xfId="0" applyBorder="1"/>
    <xf numFmtId="5" fontId="0" fillId="0" borderId="9" xfId="0" applyNumberFormat="1" applyFill="1" applyBorder="1"/>
    <xf numFmtId="5" fontId="0" fillId="0" borderId="10" xfId="0" applyNumberFormat="1" applyFill="1" applyBorder="1"/>
    <xf numFmtId="5" fontId="0" fillId="0" borderId="11" xfId="0" applyNumberFormat="1" applyFill="1" applyBorder="1"/>
    <xf numFmtId="0" fontId="0" fillId="0" borderId="12" xfId="0" applyBorder="1" applyAlignment="1">
      <alignment horizontal="right"/>
    </xf>
    <xf numFmtId="0" fontId="0" fillId="0" borderId="0" xfId="0" applyFill="1" applyBorder="1"/>
    <xf numFmtId="0" fontId="0" fillId="0" borderId="11" xfId="0" applyFill="1" applyBorder="1" applyAlignment="1">
      <alignment horizontal="center"/>
    </xf>
    <xf numFmtId="5" fontId="0" fillId="3" borderId="12" xfId="0" applyNumberFormat="1" applyFill="1" applyBorder="1"/>
    <xf numFmtId="5" fontId="0" fillId="3" borderId="9" xfId="0" applyNumberFormat="1" applyFill="1" applyBorder="1"/>
    <xf numFmtId="5" fontId="0" fillId="3" borderId="4" xfId="0" applyNumberFormat="1" applyFill="1" applyBorder="1"/>
    <xf numFmtId="5" fontId="0" fillId="3" borderId="10" xfId="0" applyNumberFormat="1" applyFill="1" applyBorder="1"/>
    <xf numFmtId="5" fontId="0" fillId="3" borderId="16" xfId="0" applyNumberFormat="1" applyFill="1" applyBorder="1"/>
    <xf numFmtId="5" fontId="0" fillId="3" borderId="11" xfId="0" applyNumberFormat="1" applyFill="1" applyBorder="1"/>
    <xf numFmtId="5" fontId="0" fillId="3" borderId="7" xfId="0" applyNumberFormat="1" applyFill="1" applyBorder="1"/>
    <xf numFmtId="6" fontId="0" fillId="0" borderId="0" xfId="0" applyNumberFormat="1" applyBorder="1"/>
    <xf numFmtId="0" fontId="0" fillId="0" borderId="12" xfId="0" applyBorder="1"/>
    <xf numFmtId="0" fontId="0" fillId="0" borderId="17" xfId="0" applyBorder="1"/>
    <xf numFmtId="0" fontId="0" fillId="0" borderId="4" xfId="0" applyBorder="1"/>
    <xf numFmtId="5" fontId="0" fillId="0" borderId="5" xfId="0" applyNumberFormat="1" applyBorder="1"/>
    <xf numFmtId="5" fontId="0" fillId="0" borderId="6" xfId="0" applyNumberFormat="1" applyBorder="1"/>
    <xf numFmtId="0" fontId="0" fillId="0" borderId="16" xfId="0" applyBorder="1"/>
    <xf numFmtId="5" fontId="0" fillId="0" borderId="0" xfId="0" applyNumberFormat="1" applyBorder="1"/>
    <xf numFmtId="0" fontId="0" fillId="0" borderId="7" xfId="0" applyBorder="1"/>
    <xf numFmtId="5" fontId="0" fillId="0" borderId="2" xfId="0" applyNumberFormat="1" applyBorder="1"/>
    <xf numFmtId="0" fontId="3" fillId="0" borderId="0" xfId="1"/>
    <xf numFmtId="0" fontId="1" fillId="0" borderId="0" xfId="1" applyFont="1"/>
    <xf numFmtId="0" fontId="2" fillId="0" borderId="9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/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49" fontId="2" fillId="0" borderId="12" xfId="1" applyNumberFormat="1" applyFont="1" applyBorder="1" applyAlignment="1">
      <alignment horizontal="center"/>
    </xf>
    <xf numFmtId="17" fontId="5" fillId="0" borderId="9" xfId="2" applyNumberFormat="1" applyFont="1" applyFill="1" applyBorder="1"/>
    <xf numFmtId="5" fontId="2" fillId="3" borderId="10" xfId="3" applyNumberFormat="1" applyFont="1" applyFill="1" applyBorder="1" applyAlignment="1">
      <alignment horizontal="right"/>
    </xf>
    <xf numFmtId="5" fontId="2" fillId="3" borderId="0" xfId="3" applyNumberFormat="1" applyFont="1" applyFill="1" applyBorder="1" applyAlignment="1">
      <alignment horizontal="right"/>
    </xf>
    <xf numFmtId="5" fontId="2" fillId="0" borderId="9" xfId="1" applyNumberFormat="1" applyFont="1" applyBorder="1"/>
    <xf numFmtId="5" fontId="2" fillId="0" borderId="10" xfId="1" applyNumberFormat="1" applyFont="1" applyBorder="1"/>
    <xf numFmtId="17" fontId="5" fillId="0" borderId="10" xfId="2" applyNumberFormat="1" applyFont="1" applyFill="1" applyBorder="1"/>
    <xf numFmtId="5" fontId="2" fillId="3" borderId="19" xfId="3" applyNumberFormat="1" applyFont="1" applyFill="1" applyBorder="1" applyAlignment="1">
      <alignment horizontal="right"/>
    </xf>
    <xf numFmtId="5" fontId="2" fillId="3" borderId="10" xfId="1" applyNumberFormat="1" applyFont="1" applyFill="1" applyBorder="1"/>
    <xf numFmtId="17" fontId="5" fillId="0" borderId="11" xfId="2" applyNumberFormat="1" applyFont="1" applyFill="1" applyBorder="1"/>
    <xf numFmtId="5" fontId="2" fillId="3" borderId="20" xfId="1" applyNumberFormat="1" applyFont="1" applyFill="1" applyBorder="1"/>
    <xf numFmtId="5" fontId="2" fillId="0" borderId="11" xfId="1" applyNumberFormat="1" applyFont="1" applyBorder="1"/>
    <xf numFmtId="5" fontId="2" fillId="3" borderId="9" xfId="1" applyNumberFormat="1" applyFont="1" applyFill="1" applyBorder="1"/>
    <xf numFmtId="5" fontId="2" fillId="3" borderId="11" xfId="1" applyNumberFormat="1" applyFont="1" applyFill="1" applyBorder="1"/>
    <xf numFmtId="0" fontId="2" fillId="0" borderId="0" xfId="1" applyFont="1"/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/>
    <xf numFmtId="5" fontId="2" fillId="0" borderId="12" xfId="1" applyNumberFormat="1" applyFont="1" applyBorder="1"/>
    <xf numFmtId="5" fontId="2" fillId="0" borderId="0" xfId="1" applyNumberFormat="1" applyFont="1"/>
    <xf numFmtId="5" fontId="5" fillId="3" borderId="16" xfId="0" applyNumberFormat="1" applyFont="1" applyFill="1" applyBorder="1"/>
    <xf numFmtId="5" fontId="5" fillId="3" borderId="10" xfId="3" applyNumberFormat="1" applyFont="1" applyFill="1" applyBorder="1" applyAlignment="1">
      <alignment horizontal="right"/>
    </xf>
    <xf numFmtId="5" fontId="5" fillId="3" borderId="11" xfId="1" applyNumberFormat="1" applyFont="1" applyFill="1" applyBorder="1"/>
    <xf numFmtId="5" fontId="5" fillId="3" borderId="0" xfId="3" applyNumberFormat="1" applyFont="1" applyFill="1" applyBorder="1" applyAlignment="1">
      <alignment horizontal="right"/>
    </xf>
    <xf numFmtId="5" fontId="5" fillId="3" borderId="10" xfId="1" applyNumberFormat="1" applyFont="1" applyFill="1" applyBorder="1"/>
    <xf numFmtId="5" fontId="5" fillId="0" borderId="10" xfId="1" applyNumberFormat="1" applyFont="1" applyFill="1" applyBorder="1"/>
    <xf numFmtId="5" fontId="2" fillId="0" borderId="11" xfId="1" applyNumberFormat="1" applyFont="1" applyFill="1" applyBorder="1"/>
    <xf numFmtId="5" fontId="2" fillId="0" borderId="9" xfId="1" applyNumberFormat="1" applyFont="1" applyFill="1" applyBorder="1"/>
    <xf numFmtId="5" fontId="5" fillId="0" borderId="11" xfId="1" applyNumberFormat="1" applyFont="1" applyFill="1" applyBorder="1"/>
    <xf numFmtId="164" fontId="0" fillId="0" borderId="21" xfId="0" applyNumberFormat="1" applyBorder="1" applyAlignment="1">
      <alignment horizontal="right"/>
    </xf>
    <xf numFmtId="5" fontId="2" fillId="3" borderId="21" xfId="3" applyNumberFormat="1" applyFont="1" applyFill="1" applyBorder="1" applyAlignment="1">
      <alignment horizontal="right"/>
    </xf>
    <xf numFmtId="5" fontId="5" fillId="3" borderId="21" xfId="3" applyNumberFormat="1" applyFont="1" applyFill="1" applyBorder="1" applyAlignment="1">
      <alignment horizontal="right"/>
    </xf>
    <xf numFmtId="5" fontId="0" fillId="0" borderId="10" xfId="3" applyNumberFormat="1" applyFont="1" applyFill="1" applyBorder="1" applyAlignment="1">
      <alignment horizontal="right"/>
    </xf>
    <xf numFmtId="5" fontId="5" fillId="0" borderId="10" xfId="3" applyNumberFormat="1" applyFont="1" applyFill="1" applyBorder="1" applyAlignment="1">
      <alignment horizontal="right"/>
    </xf>
    <xf numFmtId="5" fontId="2" fillId="0" borderId="10" xfId="3" applyNumberFormat="1" applyFont="1" applyFill="1" applyBorder="1" applyAlignment="1">
      <alignment horizontal="right"/>
    </xf>
    <xf numFmtId="5" fontId="5" fillId="3" borderId="7" xfId="0" applyNumberFormat="1" applyFont="1" applyFill="1" applyBorder="1"/>
    <xf numFmtId="0" fontId="0" fillId="0" borderId="0" xfId="0" applyBorder="1" applyAlignment="1">
      <alignment horizontal="center"/>
    </xf>
    <xf numFmtId="5" fontId="0" fillId="0" borderId="16" xfId="0" applyNumberFormat="1" applyFill="1" applyBorder="1"/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1" fillId="0" borderId="4" xfId="1" applyFont="1" applyBorder="1" applyAlignment="1">
      <alignment horizontal="center" wrapText="1"/>
    </xf>
    <xf numFmtId="0" fontId="1" fillId="0" borderId="5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7" xfId="1" applyFont="1" applyBorder="1" applyAlignment="1">
      <alignment horizontal="center" wrapText="1"/>
    </xf>
    <xf numFmtId="0" fontId="1" fillId="0" borderId="2" xfId="1" applyFont="1" applyBorder="1" applyAlignment="1">
      <alignment horizontal="center" wrapText="1"/>
    </xf>
    <xf numFmtId="0" fontId="1" fillId="0" borderId="8" xfId="1" applyFont="1" applyBorder="1" applyAlignment="1">
      <alignment horizontal="center" wrapText="1"/>
    </xf>
  </cellXfs>
  <cellStyles count="4">
    <cellStyle name="Currency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/>
  </sheetViews>
  <sheetFormatPr defaultColWidth="15.625" defaultRowHeight="14.25" x14ac:dyDescent="0.2"/>
  <sheetData>
    <row r="1" spans="1:6" x14ac:dyDescent="0.2">
      <c r="A1" t="s">
        <v>106</v>
      </c>
    </row>
    <row r="3" spans="1:6" ht="15" x14ac:dyDescent="0.25">
      <c r="C3" s="119" t="s">
        <v>98</v>
      </c>
      <c r="D3" s="119"/>
      <c r="E3" s="119"/>
    </row>
    <row r="4" spans="1:6" ht="15" x14ac:dyDescent="0.25">
      <c r="B4" s="119" t="s">
        <v>0</v>
      </c>
      <c r="C4" s="119"/>
      <c r="D4" s="119"/>
      <c r="E4" s="119"/>
      <c r="F4" s="119"/>
    </row>
    <row r="6" spans="1:6" ht="15" thickBot="1" x14ac:dyDescent="0.25">
      <c r="E6" s="1" t="s">
        <v>2</v>
      </c>
    </row>
    <row r="7" spans="1:6" x14ac:dyDescent="0.2">
      <c r="B7" t="s">
        <v>1</v>
      </c>
    </row>
    <row r="8" spans="1:6" x14ac:dyDescent="0.2">
      <c r="B8" t="s">
        <v>63</v>
      </c>
      <c r="E8" s="3">
        <f>'A - 05-31-22'!G33</f>
        <v>-71053.040000000008</v>
      </c>
      <c r="F8" s="2" t="str">
        <f>IF(E8&gt;0,"Under-Recovery","Over-Recovery")</f>
        <v>Over-Recovery</v>
      </c>
    </row>
    <row r="9" spans="1:6" x14ac:dyDescent="0.2">
      <c r="B9" t="s">
        <v>68</v>
      </c>
      <c r="E9" s="3">
        <f>'B - 11-30-22'!G35</f>
        <v>411868.44000000006</v>
      </c>
      <c r="F9" s="2" t="str">
        <f t="shared" ref="F9:F13" si="0">IF(E9&gt;0,"Under-Recovery","Over-Recovery")</f>
        <v>Under-Recovery</v>
      </c>
    </row>
    <row r="10" spans="1:6" x14ac:dyDescent="0.2">
      <c r="B10" t="s">
        <v>73</v>
      </c>
      <c r="E10" s="3">
        <f>'C - 05-31-23'!G37</f>
        <v>-32967.619999999937</v>
      </c>
      <c r="F10" s="2" t="str">
        <f t="shared" si="0"/>
        <v>Over-Recovery</v>
      </c>
    </row>
    <row r="11" spans="1:6" x14ac:dyDescent="0.2">
      <c r="B11" t="s">
        <v>75</v>
      </c>
      <c r="E11" s="3">
        <f>'D - 11-30-23'!G39</f>
        <v>-4129.4199999999255</v>
      </c>
      <c r="F11" s="2" t="str">
        <f t="shared" si="0"/>
        <v>Over-Recovery</v>
      </c>
    </row>
    <row r="12" spans="1:6" x14ac:dyDescent="0.2">
      <c r="B12" t="s">
        <v>77</v>
      </c>
      <c r="E12" s="63">
        <f>'E - 05-31-24'!G41</f>
        <v>190265.64000000007</v>
      </c>
      <c r="F12" s="2" t="str">
        <f t="shared" si="0"/>
        <v>Under-Recovery</v>
      </c>
    </row>
    <row r="13" spans="1:6" x14ac:dyDescent="0.2">
      <c r="B13" t="s">
        <v>78</v>
      </c>
      <c r="E13" s="63">
        <f>'F - 11-30-24'!G43</f>
        <v>-246792.87999999995</v>
      </c>
      <c r="F13" s="2" t="str">
        <f t="shared" si="0"/>
        <v>Over-Recovery</v>
      </c>
    </row>
    <row r="14" spans="1:6" x14ac:dyDescent="0.2">
      <c r="E14" s="3"/>
    </row>
    <row r="15" spans="1:6" ht="15" thickBot="1" x14ac:dyDescent="0.25">
      <c r="B15" t="s">
        <v>3</v>
      </c>
      <c r="E15" s="4">
        <f>SUM(E8:E13)</f>
        <v>247191.12000000029</v>
      </c>
      <c r="F15" s="2" t="str">
        <f>IF(E15&gt;0,"Under-Recovery","Over-Recovery")</f>
        <v>Under-Recovery</v>
      </c>
    </row>
    <row r="16" spans="1:6" ht="15" thickTop="1" x14ac:dyDescent="0.2"/>
    <row r="20" spans="2:6" ht="15" x14ac:dyDescent="0.25">
      <c r="B20" s="119" t="s">
        <v>4</v>
      </c>
      <c r="C20" s="119"/>
      <c r="D20" s="119"/>
      <c r="E20" s="119"/>
      <c r="F20" s="119"/>
    </row>
    <row r="22" spans="2:6" x14ac:dyDescent="0.2">
      <c r="B22" t="s">
        <v>5</v>
      </c>
      <c r="E22" s="3">
        <f>ROUND(E15/6,0)</f>
        <v>41199</v>
      </c>
    </row>
    <row r="23" spans="2:6" x14ac:dyDescent="0.2">
      <c r="E23" s="3"/>
    </row>
    <row r="24" spans="2:6" x14ac:dyDescent="0.2">
      <c r="B24" t="s">
        <v>6</v>
      </c>
      <c r="E24" s="3">
        <f>ROUND(E15/12,0)</f>
        <v>20599</v>
      </c>
    </row>
    <row r="25" spans="2:6" x14ac:dyDescent="0.2">
      <c r="E25" s="3"/>
    </row>
  </sheetData>
  <mergeCells count="3">
    <mergeCell ref="B4:F4"/>
    <mergeCell ref="C3:E3"/>
    <mergeCell ref="B20:F2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B4" s="120" t="s">
        <v>97</v>
      </c>
      <c r="C4" s="121"/>
      <c r="D4" s="121"/>
      <c r="E4" s="121"/>
      <c r="F4" s="121"/>
      <c r="G4" s="122"/>
      <c r="I4" s="129" t="s">
        <v>99</v>
      </c>
      <c r="J4" s="130"/>
      <c r="K4" s="130"/>
      <c r="L4" s="130"/>
      <c r="M4" s="131"/>
    </row>
    <row r="5" spans="1:13" ht="14.25" customHeight="1" x14ac:dyDescent="0.2">
      <c r="B5" s="123"/>
      <c r="C5" s="124"/>
      <c r="D5" s="124"/>
      <c r="E5" s="124"/>
      <c r="F5" s="124"/>
      <c r="G5" s="125"/>
      <c r="I5" s="132"/>
      <c r="J5" s="133"/>
      <c r="K5" s="133"/>
      <c r="L5" s="133"/>
      <c r="M5" s="134"/>
    </row>
    <row r="6" spans="1:13" ht="15" x14ac:dyDescent="0.2">
      <c r="I6" s="73"/>
      <c r="J6" s="73"/>
      <c r="K6" s="73"/>
      <c r="L6" s="73"/>
      <c r="M6" s="73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ht="15.75" x14ac:dyDescent="0.25">
      <c r="B8" s="7"/>
      <c r="C8" s="7"/>
      <c r="D8" s="8" t="s">
        <v>8</v>
      </c>
      <c r="E8" s="8" t="s">
        <v>9</v>
      </c>
      <c r="F8" s="7"/>
      <c r="G8" s="7"/>
      <c r="I8" s="74" t="s">
        <v>100</v>
      </c>
      <c r="J8" s="73"/>
      <c r="K8" s="73"/>
      <c r="L8" s="73"/>
      <c r="M8" s="73"/>
    </row>
    <row r="9" spans="1:13" ht="15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  <c r="I9" s="73"/>
      <c r="J9" s="73"/>
      <c r="K9" s="73"/>
      <c r="L9" s="73"/>
      <c r="M9" s="73"/>
    </row>
    <row r="10" spans="1:13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  <c r="I10" s="75"/>
      <c r="J10" s="75"/>
      <c r="K10" s="76" t="s">
        <v>7</v>
      </c>
      <c r="L10" s="75"/>
      <c r="M10" s="75"/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77"/>
      <c r="J11" s="78" t="s">
        <v>8</v>
      </c>
      <c r="K11" s="78" t="s">
        <v>9</v>
      </c>
      <c r="L11" s="77"/>
      <c r="M11" s="77"/>
    </row>
    <row r="12" spans="1:13" x14ac:dyDescent="0.2">
      <c r="B12" s="6">
        <v>1</v>
      </c>
      <c r="C12" s="126" t="s">
        <v>22</v>
      </c>
      <c r="D12" s="127"/>
      <c r="E12" s="127"/>
      <c r="F12" s="127"/>
      <c r="G12" s="128"/>
      <c r="I12" s="77"/>
      <c r="J12" s="78" t="s">
        <v>10</v>
      </c>
      <c r="K12" s="78" t="s">
        <v>11</v>
      </c>
      <c r="L12" s="78" t="s">
        <v>12</v>
      </c>
      <c r="M12" s="78" t="s">
        <v>13</v>
      </c>
    </row>
    <row r="13" spans="1:13" x14ac:dyDescent="0.2">
      <c r="B13" s="6" t="s">
        <v>23</v>
      </c>
      <c r="C13" s="12" t="s">
        <v>80</v>
      </c>
      <c r="D13" s="12"/>
      <c r="E13" s="12"/>
      <c r="F13" s="13"/>
      <c r="G13" s="14">
        <v>11503</v>
      </c>
      <c r="I13" s="79"/>
      <c r="J13" s="79" t="s">
        <v>14</v>
      </c>
      <c r="K13" s="79" t="s">
        <v>14</v>
      </c>
      <c r="L13" s="79" t="s">
        <v>15</v>
      </c>
      <c r="M13" s="79" t="s">
        <v>15</v>
      </c>
    </row>
    <row r="14" spans="1:13" x14ac:dyDescent="0.2">
      <c r="B14" s="9" t="s">
        <v>24</v>
      </c>
      <c r="C14" s="12" t="s">
        <v>27</v>
      </c>
      <c r="D14" s="12"/>
      <c r="E14" s="12"/>
      <c r="F14" s="15"/>
      <c r="G14" s="16">
        <f>G13</f>
        <v>11503</v>
      </c>
      <c r="I14" s="80" t="s">
        <v>17</v>
      </c>
      <c r="J14" s="81" t="s">
        <v>101</v>
      </c>
      <c r="K14" s="81" t="s">
        <v>18</v>
      </c>
      <c r="L14" s="81" t="s">
        <v>19</v>
      </c>
      <c r="M14" s="81" t="s">
        <v>20</v>
      </c>
    </row>
    <row r="15" spans="1:13" x14ac:dyDescent="0.2">
      <c r="B15" s="8">
        <v>2</v>
      </c>
      <c r="C15" s="17">
        <v>44562</v>
      </c>
      <c r="D15" s="57">
        <f>525421-36</f>
        <v>525385</v>
      </c>
      <c r="E15" s="58">
        <v>733663.29</v>
      </c>
      <c r="F15" s="18">
        <f t="shared" ref="F15:F22" si="0">D15-E15</f>
        <v>-208278.29000000004</v>
      </c>
      <c r="G15" s="16">
        <f t="shared" ref="G15:G22" si="1">G14+F15</f>
        <v>-196775.29000000004</v>
      </c>
      <c r="I15" s="82">
        <v>44562</v>
      </c>
      <c r="J15" s="83">
        <v>0</v>
      </c>
      <c r="K15" s="84">
        <v>0</v>
      </c>
      <c r="L15" s="85">
        <f t="shared" ref="L15:L22" si="2">J15-K15</f>
        <v>0</v>
      </c>
      <c r="M15" s="86">
        <f>L15</f>
        <v>0</v>
      </c>
    </row>
    <row r="16" spans="1:13" x14ac:dyDescent="0.2">
      <c r="B16" s="8">
        <v>3</v>
      </c>
      <c r="C16" s="19">
        <v>44593</v>
      </c>
      <c r="D16" s="59">
        <f>413619-34</f>
        <v>413585</v>
      </c>
      <c r="E16" s="60">
        <v>411286.86</v>
      </c>
      <c r="F16" s="20">
        <f t="shared" si="0"/>
        <v>2298.140000000014</v>
      </c>
      <c r="G16" s="21">
        <f t="shared" si="1"/>
        <v>-194477.15000000002</v>
      </c>
      <c r="I16" s="87">
        <v>44593</v>
      </c>
      <c r="J16" s="83">
        <v>0</v>
      </c>
      <c r="K16" s="84">
        <v>0</v>
      </c>
      <c r="L16" s="86">
        <f t="shared" si="2"/>
        <v>0</v>
      </c>
      <c r="M16" s="86">
        <f>M15+L16</f>
        <v>0</v>
      </c>
    </row>
    <row r="17" spans="2:13" x14ac:dyDescent="0.2">
      <c r="B17" s="8">
        <v>4</v>
      </c>
      <c r="C17" s="19">
        <v>44621</v>
      </c>
      <c r="D17" s="59">
        <f>288751-28</f>
        <v>288723</v>
      </c>
      <c r="E17" s="101">
        <f>382871.15</f>
        <v>382871.15</v>
      </c>
      <c r="F17" s="20">
        <f t="shared" si="0"/>
        <v>-94148.150000000023</v>
      </c>
      <c r="G17" s="21">
        <f t="shared" si="1"/>
        <v>-288625.30000000005</v>
      </c>
      <c r="I17" s="87">
        <v>44621</v>
      </c>
      <c r="J17" s="88">
        <v>14199</v>
      </c>
      <c r="K17" s="88">
        <v>14199</v>
      </c>
      <c r="L17" s="86">
        <f t="shared" si="2"/>
        <v>0</v>
      </c>
      <c r="M17" s="86">
        <f t="shared" ref="M17:M20" si="3">M16+L17</f>
        <v>0</v>
      </c>
    </row>
    <row r="18" spans="2:13" x14ac:dyDescent="0.2">
      <c r="B18" s="8">
        <v>5</v>
      </c>
      <c r="C18" s="19">
        <v>44652</v>
      </c>
      <c r="D18" s="59">
        <f>328222-43</f>
        <v>328179</v>
      </c>
      <c r="E18" s="101">
        <f>246542.03-2000</f>
        <v>244542.03</v>
      </c>
      <c r="F18" s="20">
        <f t="shared" si="0"/>
        <v>83636.97</v>
      </c>
      <c r="G18" s="21">
        <f t="shared" si="1"/>
        <v>-204988.33000000005</v>
      </c>
      <c r="I18" s="87">
        <v>44652</v>
      </c>
      <c r="J18" s="83">
        <v>44299</v>
      </c>
      <c r="K18" s="102">
        <f>42299+2000</f>
        <v>44299</v>
      </c>
      <c r="L18" s="86">
        <f t="shared" si="2"/>
        <v>0</v>
      </c>
      <c r="M18" s="86">
        <f t="shared" si="3"/>
        <v>0</v>
      </c>
    </row>
    <row r="19" spans="2:13" x14ac:dyDescent="0.2">
      <c r="B19" s="8">
        <v>6</v>
      </c>
      <c r="C19" s="19">
        <v>44682</v>
      </c>
      <c r="D19" s="59">
        <f>351981-46</f>
        <v>351935</v>
      </c>
      <c r="E19" s="60">
        <v>308921.8</v>
      </c>
      <c r="F19" s="20">
        <f t="shared" si="0"/>
        <v>43013.200000000012</v>
      </c>
      <c r="G19" s="21">
        <f t="shared" si="1"/>
        <v>-161975.13000000003</v>
      </c>
      <c r="I19" s="87">
        <v>44682</v>
      </c>
      <c r="J19" s="83">
        <v>41245</v>
      </c>
      <c r="K19" s="89">
        <v>41245</v>
      </c>
      <c r="L19" s="86">
        <f t="shared" si="2"/>
        <v>0</v>
      </c>
      <c r="M19" s="86">
        <f t="shared" si="3"/>
        <v>0</v>
      </c>
    </row>
    <row r="20" spans="2:13" x14ac:dyDescent="0.2">
      <c r="B20" s="8">
        <v>7</v>
      </c>
      <c r="C20" s="19">
        <v>44713</v>
      </c>
      <c r="D20" s="59">
        <f>482938-55</f>
        <v>482883</v>
      </c>
      <c r="E20" s="60">
        <v>380457.91</v>
      </c>
      <c r="F20" s="22">
        <f t="shared" si="0"/>
        <v>102425.09000000003</v>
      </c>
      <c r="G20" s="23">
        <f t="shared" si="1"/>
        <v>-59550.040000000008</v>
      </c>
      <c r="I20" s="90">
        <v>44713</v>
      </c>
      <c r="J20" s="91">
        <f>46451+26083</f>
        <v>72534</v>
      </c>
      <c r="K20" s="91">
        <v>72534</v>
      </c>
      <c r="L20" s="92">
        <f t="shared" si="2"/>
        <v>0</v>
      </c>
      <c r="M20" s="92">
        <f t="shared" si="3"/>
        <v>0</v>
      </c>
    </row>
    <row r="21" spans="2:13" x14ac:dyDescent="0.2">
      <c r="B21" s="24" t="s">
        <v>28</v>
      </c>
      <c r="C21" s="17">
        <v>44743</v>
      </c>
      <c r="D21" s="57">
        <f>543048-56</f>
        <v>542992</v>
      </c>
      <c r="E21" s="58">
        <v>459530.43</v>
      </c>
      <c r="F21" s="18">
        <f t="shared" si="0"/>
        <v>83461.570000000007</v>
      </c>
      <c r="G21" s="16">
        <f t="shared" si="1"/>
        <v>23911.53</v>
      </c>
      <c r="I21" s="87">
        <v>44743</v>
      </c>
      <c r="J21" s="93">
        <f>49967+60114</f>
        <v>110081</v>
      </c>
      <c r="K21" s="93">
        <v>110081</v>
      </c>
      <c r="L21" s="86">
        <f t="shared" si="2"/>
        <v>0</v>
      </c>
      <c r="M21" s="86">
        <f>M20+L21</f>
        <v>0</v>
      </c>
    </row>
    <row r="22" spans="2:13" x14ac:dyDescent="0.2">
      <c r="B22" s="25" t="s">
        <v>29</v>
      </c>
      <c r="C22" s="26">
        <v>44774</v>
      </c>
      <c r="D22" s="61">
        <f>421656</f>
        <v>421656</v>
      </c>
      <c r="E22" s="116">
        <f>464851.29+2000</f>
        <v>466851.29</v>
      </c>
      <c r="F22" s="22">
        <f t="shared" si="0"/>
        <v>-45195.289999999979</v>
      </c>
      <c r="G22" s="23">
        <f t="shared" si="1"/>
        <v>-21283.75999999998</v>
      </c>
      <c r="I22" s="90">
        <v>44774</v>
      </c>
      <c r="J22" s="94">
        <f>35829+53619</f>
        <v>89448</v>
      </c>
      <c r="K22" s="103">
        <f>91448-2000</f>
        <v>89448</v>
      </c>
      <c r="L22" s="92">
        <f t="shared" si="2"/>
        <v>0</v>
      </c>
      <c r="M22" s="92">
        <f>M21+L22</f>
        <v>0</v>
      </c>
    </row>
    <row r="23" spans="2:13" x14ac:dyDescent="0.2">
      <c r="B23" s="9"/>
      <c r="C23" s="27" t="s">
        <v>61</v>
      </c>
      <c r="D23" s="28"/>
      <c r="E23" s="28"/>
      <c r="F23" s="28"/>
      <c r="G23" s="29"/>
      <c r="I23" s="95"/>
      <c r="J23" s="95"/>
      <c r="K23" s="95"/>
      <c r="L23" s="95"/>
      <c r="M23" s="95"/>
    </row>
    <row r="24" spans="2:13" x14ac:dyDescent="0.2">
      <c r="B24" s="6"/>
      <c r="C24" s="5"/>
      <c r="D24" s="5"/>
      <c r="E24" s="5"/>
      <c r="F24" s="5"/>
      <c r="G24" s="16"/>
      <c r="I24" s="96" t="s">
        <v>102</v>
      </c>
      <c r="J24" s="97"/>
      <c r="K24" s="97"/>
      <c r="L24" s="98"/>
      <c r="M24" s="99">
        <f>M20</f>
        <v>0</v>
      </c>
    </row>
    <row r="25" spans="2:13" x14ac:dyDescent="0.2">
      <c r="B25" s="8"/>
      <c r="C25" s="7"/>
      <c r="D25" s="8" t="s">
        <v>30</v>
      </c>
      <c r="E25" s="8" t="s">
        <v>31</v>
      </c>
      <c r="F25" s="7"/>
      <c r="G25" s="21"/>
      <c r="I25" s="95"/>
      <c r="J25" s="95"/>
      <c r="K25" s="95"/>
      <c r="L25" s="95"/>
      <c r="M25" s="100"/>
    </row>
    <row r="26" spans="2:13" x14ac:dyDescent="0.2">
      <c r="B26" s="8">
        <v>8</v>
      </c>
      <c r="C26" s="7"/>
      <c r="D26" s="8" t="s">
        <v>32</v>
      </c>
      <c r="E26" s="8" t="s">
        <v>33</v>
      </c>
      <c r="F26" s="7"/>
      <c r="G26" s="30" t="s">
        <v>30</v>
      </c>
      <c r="I26" s="96" t="s">
        <v>103</v>
      </c>
      <c r="J26" s="97"/>
      <c r="K26" s="97"/>
      <c r="L26" s="98"/>
      <c r="M26" s="99">
        <f>M24/6</f>
        <v>0</v>
      </c>
    </row>
    <row r="27" spans="2:13" x14ac:dyDescent="0.2">
      <c r="B27" s="8"/>
      <c r="C27" s="7"/>
      <c r="D27" s="8" t="s">
        <v>34</v>
      </c>
      <c r="E27" s="8" t="s">
        <v>35</v>
      </c>
      <c r="F27" s="7"/>
      <c r="G27" s="30" t="s">
        <v>36</v>
      </c>
    </row>
    <row r="28" spans="2:13" x14ac:dyDescent="0.2">
      <c r="B28" s="8"/>
      <c r="C28" s="7"/>
      <c r="D28" s="8" t="s">
        <v>37</v>
      </c>
      <c r="E28" s="8" t="s">
        <v>38</v>
      </c>
      <c r="F28" s="7"/>
      <c r="G28" s="30" t="s">
        <v>39</v>
      </c>
    </row>
    <row r="29" spans="2:13" x14ac:dyDescent="0.2">
      <c r="B29" s="9"/>
      <c r="C29" s="7"/>
      <c r="D29" s="8" t="s">
        <v>40</v>
      </c>
      <c r="E29" s="8" t="s">
        <v>41</v>
      </c>
      <c r="F29" s="7"/>
      <c r="G29" s="30" t="s">
        <v>42</v>
      </c>
    </row>
    <row r="30" spans="2:13" x14ac:dyDescent="0.2">
      <c r="B30" s="6" t="s">
        <v>43</v>
      </c>
      <c r="C30" s="64" t="s">
        <v>82</v>
      </c>
      <c r="D30" s="39">
        <f>-G13</f>
        <v>-11503</v>
      </c>
      <c r="E30" s="39">
        <f>D60</f>
        <v>0</v>
      </c>
      <c r="F30" s="64"/>
      <c r="G30" s="39">
        <f>D30+E30</f>
        <v>-11503</v>
      </c>
    </row>
    <row r="31" spans="2:13" x14ac:dyDescent="0.2">
      <c r="B31" s="9" t="s">
        <v>44</v>
      </c>
      <c r="C31" s="33"/>
      <c r="D31" s="34"/>
      <c r="E31" s="34"/>
      <c r="F31" s="35" t="s">
        <v>47</v>
      </c>
      <c r="G31" s="23">
        <f>G30</f>
        <v>-11503</v>
      </c>
    </row>
    <row r="32" spans="2:13" x14ac:dyDescent="0.2">
      <c r="B32" s="36"/>
      <c r="G32" s="37"/>
    </row>
    <row r="33" spans="2:7" x14ac:dyDescent="0.2">
      <c r="B33" s="10">
        <v>9</v>
      </c>
      <c r="C33" s="38" t="s">
        <v>83</v>
      </c>
      <c r="D33" s="12"/>
      <c r="E33" s="12"/>
      <c r="F33" s="13"/>
      <c r="G33" s="39">
        <f>G20+G31</f>
        <v>-71053.040000000008</v>
      </c>
    </row>
    <row r="34" spans="2:7" x14ac:dyDescent="0.2">
      <c r="B34" s="36"/>
      <c r="G34" s="37"/>
    </row>
    <row r="35" spans="2:7" x14ac:dyDescent="0.2">
      <c r="B35" s="10">
        <v>10</v>
      </c>
      <c r="C35" s="38" t="s">
        <v>62</v>
      </c>
      <c r="D35" s="12"/>
      <c r="E35" s="12"/>
      <c r="F35" s="13"/>
      <c r="G35" s="39">
        <f>G33/6</f>
        <v>-11842.173333333334</v>
      </c>
    </row>
    <row r="37" spans="2:7" x14ac:dyDescent="0.2">
      <c r="B37" s="5"/>
      <c r="C37" s="40" t="s">
        <v>48</v>
      </c>
      <c r="D37" s="41"/>
      <c r="E37" s="41"/>
      <c r="F37" s="41"/>
      <c r="G37" s="42"/>
    </row>
    <row r="38" spans="2:7" x14ac:dyDescent="0.2">
      <c r="B38" s="5"/>
      <c r="C38" s="43"/>
      <c r="D38" s="43"/>
      <c r="E38" s="43"/>
      <c r="F38" s="43"/>
      <c r="G38" s="15"/>
    </row>
    <row r="39" spans="2:7" x14ac:dyDescent="0.2">
      <c r="B39" s="8">
        <v>11</v>
      </c>
      <c r="C39" s="44" t="s">
        <v>49</v>
      </c>
      <c r="D39" s="44"/>
      <c r="E39" s="44"/>
      <c r="F39" s="44"/>
      <c r="G39" s="45">
        <f>G14</f>
        <v>11503</v>
      </c>
    </row>
    <row r="40" spans="2:7" x14ac:dyDescent="0.2">
      <c r="B40" s="8">
        <v>12</v>
      </c>
      <c r="C40" s="44" t="s">
        <v>50</v>
      </c>
      <c r="D40" s="44"/>
      <c r="E40" s="44"/>
      <c r="F40" s="44"/>
      <c r="G40" s="46">
        <f>G31</f>
        <v>-11503</v>
      </c>
    </row>
    <row r="41" spans="2:7" x14ac:dyDescent="0.2">
      <c r="B41" s="8"/>
      <c r="C41" s="44"/>
      <c r="D41" s="44"/>
      <c r="E41" s="44"/>
      <c r="F41" s="44"/>
      <c r="G41" s="45"/>
    </row>
    <row r="42" spans="2:7" ht="15" thickBot="1" x14ac:dyDescent="0.25">
      <c r="B42" s="8">
        <v>13</v>
      </c>
      <c r="C42" s="44" t="s">
        <v>51</v>
      </c>
      <c r="D42" s="44"/>
      <c r="E42" s="44"/>
      <c r="F42" s="44"/>
      <c r="G42" s="47">
        <f>G39+G40</f>
        <v>0</v>
      </c>
    </row>
    <row r="43" spans="2:7" ht="15" thickTop="1" x14ac:dyDescent="0.2">
      <c r="B43" s="8"/>
      <c r="C43" s="44"/>
      <c r="D43" s="44"/>
      <c r="E43" s="44"/>
      <c r="F43" s="44"/>
      <c r="G43" s="45"/>
    </row>
    <row r="44" spans="2:7" x14ac:dyDescent="0.2">
      <c r="B44" s="8">
        <v>14</v>
      </c>
      <c r="C44" s="44" t="s">
        <v>52</v>
      </c>
      <c r="D44" s="44"/>
      <c r="E44" s="44"/>
      <c r="F44" s="44"/>
      <c r="G44" s="45">
        <f>G33</f>
        <v>-71053.040000000008</v>
      </c>
    </row>
    <row r="45" spans="2:7" x14ac:dyDescent="0.2">
      <c r="B45" s="8"/>
      <c r="C45" s="44"/>
      <c r="D45" s="44"/>
      <c r="E45" s="44"/>
      <c r="F45" s="44"/>
      <c r="G45" s="45"/>
    </row>
    <row r="46" spans="2:7" x14ac:dyDescent="0.2">
      <c r="B46" s="8">
        <v>15</v>
      </c>
      <c r="C46" s="44" t="s">
        <v>53</v>
      </c>
      <c r="D46" s="44"/>
      <c r="E46" s="44"/>
      <c r="F46" s="44"/>
      <c r="G46" s="46">
        <f>SUM(F15:F20)</f>
        <v>-71053.040000000008</v>
      </c>
    </row>
    <row r="47" spans="2:7" x14ac:dyDescent="0.2">
      <c r="B47" s="8"/>
      <c r="C47" s="44"/>
      <c r="D47" s="44"/>
      <c r="E47" s="44"/>
      <c r="F47" s="44"/>
      <c r="G47" s="45"/>
    </row>
    <row r="48" spans="2:7" ht="15" thickBot="1" x14ac:dyDescent="0.25">
      <c r="B48" s="8">
        <v>16</v>
      </c>
      <c r="C48" s="44" t="s">
        <v>54</v>
      </c>
      <c r="D48" s="44"/>
      <c r="E48" s="44"/>
      <c r="F48" s="44"/>
      <c r="G48" s="47">
        <f>G44-G46</f>
        <v>0</v>
      </c>
    </row>
    <row r="49" spans="2:7" ht="15" thickTop="1" x14ac:dyDescent="0.2">
      <c r="B49" s="32"/>
      <c r="C49" s="48"/>
      <c r="D49" s="48"/>
      <c r="E49" s="48"/>
      <c r="F49" s="48"/>
      <c r="G49" s="49"/>
    </row>
    <row r="51" spans="2:7" x14ac:dyDescent="0.2">
      <c r="B51" t="s">
        <v>55</v>
      </c>
    </row>
    <row r="52" spans="2:7" x14ac:dyDescent="0.2">
      <c r="B52" s="36"/>
      <c r="C52" s="5"/>
      <c r="D52" s="6" t="s">
        <v>56</v>
      </c>
      <c r="E52" s="31"/>
      <c r="F52" s="117"/>
      <c r="G52" s="117"/>
    </row>
    <row r="53" spans="2:7" x14ac:dyDescent="0.2">
      <c r="B53" s="36"/>
      <c r="C53" s="9" t="s">
        <v>17</v>
      </c>
      <c r="D53" s="9" t="s">
        <v>105</v>
      </c>
      <c r="E53" s="31"/>
      <c r="F53" s="117"/>
      <c r="G53" s="117"/>
    </row>
    <row r="54" spans="2:7" x14ac:dyDescent="0.2">
      <c r="C54" s="17">
        <v>44562</v>
      </c>
      <c r="D54" s="50">
        <v>0</v>
      </c>
      <c r="E54" s="118"/>
      <c r="F54" s="70"/>
      <c r="G54" s="70"/>
    </row>
    <row r="55" spans="2:7" x14ac:dyDescent="0.2">
      <c r="C55" s="19">
        <v>44593</v>
      </c>
      <c r="D55" s="51">
        <v>0</v>
      </c>
      <c r="E55" s="118"/>
      <c r="F55" s="70"/>
      <c r="G55" s="70"/>
    </row>
    <row r="56" spans="2:7" x14ac:dyDescent="0.2">
      <c r="C56" s="19">
        <v>44621</v>
      </c>
      <c r="D56" s="51">
        <v>0</v>
      </c>
      <c r="E56" s="118"/>
      <c r="F56" s="70"/>
      <c r="G56" s="70"/>
    </row>
    <row r="57" spans="2:7" x14ac:dyDescent="0.2">
      <c r="C57" s="19">
        <v>44652</v>
      </c>
      <c r="D57" s="51">
        <v>0</v>
      </c>
      <c r="E57" s="118"/>
      <c r="F57" s="70"/>
      <c r="G57" s="70"/>
    </row>
    <row r="58" spans="2:7" x14ac:dyDescent="0.2">
      <c r="C58" s="19">
        <v>44682</v>
      </c>
      <c r="D58" s="51">
        <v>0</v>
      </c>
      <c r="E58" s="118"/>
      <c r="F58" s="70"/>
      <c r="G58" s="70"/>
    </row>
    <row r="59" spans="2:7" x14ac:dyDescent="0.2">
      <c r="C59" s="19">
        <v>44713</v>
      </c>
      <c r="D59" s="52">
        <v>0</v>
      </c>
      <c r="E59" s="118"/>
      <c r="F59" s="70"/>
      <c r="G59" s="70"/>
    </row>
    <row r="60" spans="2:7" x14ac:dyDescent="0.2">
      <c r="C60" s="53" t="s">
        <v>57</v>
      </c>
      <c r="D60" s="39">
        <f>SUM(D54:D59)</f>
        <v>0</v>
      </c>
      <c r="E60" s="20"/>
      <c r="F60" s="70"/>
      <c r="G60" s="70"/>
    </row>
  </sheetData>
  <mergeCells count="3">
    <mergeCell ref="B4:G5"/>
    <mergeCell ref="C12:G12"/>
    <mergeCell ref="I4:M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2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B4" s="120" t="s">
        <v>97</v>
      </c>
      <c r="C4" s="121"/>
      <c r="D4" s="121"/>
      <c r="E4" s="121"/>
      <c r="F4" s="121"/>
      <c r="G4" s="122"/>
      <c r="I4" s="129" t="s">
        <v>99</v>
      </c>
      <c r="J4" s="130"/>
      <c r="K4" s="130"/>
      <c r="L4" s="130"/>
      <c r="M4" s="131"/>
    </row>
    <row r="5" spans="1:13" x14ac:dyDescent="0.2">
      <c r="B5" s="123"/>
      <c r="C5" s="124"/>
      <c r="D5" s="124"/>
      <c r="E5" s="124"/>
      <c r="F5" s="124"/>
      <c r="G5" s="125"/>
      <c r="I5" s="132"/>
      <c r="J5" s="133"/>
      <c r="K5" s="133"/>
      <c r="L5" s="133"/>
      <c r="M5" s="134"/>
    </row>
    <row r="6" spans="1:13" ht="15" x14ac:dyDescent="0.2">
      <c r="I6" s="73"/>
      <c r="J6" s="73"/>
      <c r="K6" s="73"/>
      <c r="L6" s="73"/>
      <c r="M6" s="73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ht="15.75" x14ac:dyDescent="0.25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  <c r="I9" s="74" t="s">
        <v>104</v>
      </c>
      <c r="J9" s="73"/>
      <c r="K9" s="73"/>
      <c r="L9" s="73"/>
      <c r="M9" s="73"/>
    </row>
    <row r="10" spans="1:13" ht="15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  <c r="I10" s="73"/>
      <c r="J10" s="73"/>
      <c r="K10" s="73"/>
      <c r="L10" s="73"/>
      <c r="M10" s="73"/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75"/>
      <c r="J11" s="75"/>
      <c r="K11" s="76" t="s">
        <v>7</v>
      </c>
      <c r="L11" s="75"/>
      <c r="M11" s="75"/>
    </row>
    <row r="12" spans="1:13" x14ac:dyDescent="0.2">
      <c r="B12" s="6">
        <v>1</v>
      </c>
      <c r="C12" s="126" t="s">
        <v>22</v>
      </c>
      <c r="D12" s="127"/>
      <c r="E12" s="127"/>
      <c r="F12" s="127"/>
      <c r="G12" s="128"/>
      <c r="I12" s="77"/>
      <c r="J12" s="78" t="s">
        <v>8</v>
      </c>
      <c r="K12" s="78" t="s">
        <v>9</v>
      </c>
      <c r="L12" s="77"/>
      <c r="M12" s="77"/>
    </row>
    <row r="13" spans="1:13" x14ac:dyDescent="0.2">
      <c r="B13" s="6" t="s">
        <v>23</v>
      </c>
      <c r="C13" s="12" t="s">
        <v>80</v>
      </c>
      <c r="D13" s="12"/>
      <c r="E13" s="12"/>
      <c r="F13" s="13"/>
      <c r="G13" s="14">
        <v>11503</v>
      </c>
      <c r="I13" s="77"/>
      <c r="J13" s="78" t="s">
        <v>10</v>
      </c>
      <c r="K13" s="78" t="s">
        <v>11</v>
      </c>
      <c r="L13" s="78" t="s">
        <v>12</v>
      </c>
      <c r="M13" s="78" t="s">
        <v>13</v>
      </c>
    </row>
    <row r="14" spans="1:13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-71053.040000000008</v>
      </c>
      <c r="I14" s="79"/>
      <c r="J14" s="79" t="s">
        <v>14</v>
      </c>
      <c r="K14" s="79" t="s">
        <v>14</v>
      </c>
      <c r="L14" s="79" t="s">
        <v>15</v>
      </c>
      <c r="M14" s="79" t="s">
        <v>15</v>
      </c>
    </row>
    <row r="15" spans="1:13" x14ac:dyDescent="0.2">
      <c r="B15" s="9" t="s">
        <v>25</v>
      </c>
      <c r="C15" s="12" t="s">
        <v>27</v>
      </c>
      <c r="D15" s="12"/>
      <c r="E15" s="12"/>
      <c r="F15" s="15"/>
      <c r="G15" s="16">
        <f>G13+G14</f>
        <v>-59550.040000000008</v>
      </c>
      <c r="I15" s="80" t="s">
        <v>17</v>
      </c>
      <c r="J15" s="81" t="s">
        <v>101</v>
      </c>
      <c r="K15" s="81" t="s">
        <v>18</v>
      </c>
      <c r="L15" s="81" t="s">
        <v>19</v>
      </c>
      <c r="M15" s="81" t="s">
        <v>20</v>
      </c>
    </row>
    <row r="16" spans="1:13" x14ac:dyDescent="0.2">
      <c r="B16" s="8">
        <v>2</v>
      </c>
      <c r="C16" s="17">
        <v>44743</v>
      </c>
      <c r="D16" s="57">
        <f>543048-56</f>
        <v>542992</v>
      </c>
      <c r="E16" s="58">
        <v>459530.43</v>
      </c>
      <c r="F16" s="18">
        <f t="shared" ref="F16:F23" si="0">D16-E16</f>
        <v>83461.570000000007</v>
      </c>
      <c r="G16" s="16">
        <f t="shared" ref="G16:G23" si="1">G15+F16</f>
        <v>23911.53</v>
      </c>
      <c r="I16" s="82">
        <v>44743</v>
      </c>
      <c r="J16" s="83">
        <f>49967+60114</f>
        <v>110081</v>
      </c>
      <c r="K16" s="84">
        <v>110081</v>
      </c>
      <c r="L16" s="85">
        <f t="shared" ref="L16:L23" si="2">J16-K16</f>
        <v>0</v>
      </c>
      <c r="M16" s="86">
        <f>L16</f>
        <v>0</v>
      </c>
    </row>
    <row r="17" spans="2:13" x14ac:dyDescent="0.2">
      <c r="B17" s="8">
        <v>3</v>
      </c>
      <c r="C17" s="19">
        <v>44774</v>
      </c>
      <c r="D17" s="59">
        <f>421656-49</f>
        <v>421607</v>
      </c>
      <c r="E17" s="101">
        <f>464851.29+2000</f>
        <v>466851.29</v>
      </c>
      <c r="F17" s="20">
        <f t="shared" si="0"/>
        <v>-45244.289999999979</v>
      </c>
      <c r="G17" s="21">
        <f t="shared" si="1"/>
        <v>-21332.75999999998</v>
      </c>
      <c r="I17" s="87">
        <v>44774</v>
      </c>
      <c r="J17" s="83">
        <f>35829+53619</f>
        <v>89448</v>
      </c>
      <c r="K17" s="104">
        <f>91448-2000</f>
        <v>89448</v>
      </c>
      <c r="L17" s="86">
        <f t="shared" si="2"/>
        <v>0</v>
      </c>
      <c r="M17" s="86">
        <f>M16+L17</f>
        <v>0</v>
      </c>
    </row>
    <row r="18" spans="2:13" x14ac:dyDescent="0.2">
      <c r="B18" s="8">
        <v>4</v>
      </c>
      <c r="C18" s="19">
        <v>44805</v>
      </c>
      <c r="D18" s="59">
        <f>286408-0</f>
        <v>286408</v>
      </c>
      <c r="E18" s="60">
        <v>274922.65000000002</v>
      </c>
      <c r="F18" s="20">
        <f t="shared" si="0"/>
        <v>11485.349999999977</v>
      </c>
      <c r="G18" s="21">
        <f t="shared" si="1"/>
        <v>-9847.4100000000035</v>
      </c>
      <c r="I18" s="87">
        <v>44805</v>
      </c>
      <c r="J18" s="83">
        <f>34861+47184</f>
        <v>82045</v>
      </c>
      <c r="K18" s="83">
        <v>82045</v>
      </c>
      <c r="L18" s="86">
        <f t="shared" si="2"/>
        <v>0</v>
      </c>
      <c r="M18" s="86">
        <f t="shared" ref="M18:M21" si="3">M17+L18</f>
        <v>0</v>
      </c>
    </row>
    <row r="19" spans="2:13" x14ac:dyDescent="0.2">
      <c r="B19" s="8">
        <v>5</v>
      </c>
      <c r="C19" s="19">
        <v>44835</v>
      </c>
      <c r="D19" s="59">
        <f>357610-43</f>
        <v>357567</v>
      </c>
      <c r="E19" s="60">
        <v>224976.07</v>
      </c>
      <c r="F19" s="20">
        <f t="shared" si="0"/>
        <v>132590.93</v>
      </c>
      <c r="G19" s="21">
        <f t="shared" si="1"/>
        <v>122743.51999999999</v>
      </c>
      <c r="I19" s="87">
        <v>44835</v>
      </c>
      <c r="J19" s="83">
        <f>44287+61989</f>
        <v>106276</v>
      </c>
      <c r="K19" s="102">
        <v>106276</v>
      </c>
      <c r="L19" s="86">
        <f t="shared" si="2"/>
        <v>0</v>
      </c>
      <c r="M19" s="86">
        <f t="shared" si="3"/>
        <v>0</v>
      </c>
    </row>
    <row r="20" spans="2:13" x14ac:dyDescent="0.2">
      <c r="B20" s="8">
        <v>6</v>
      </c>
      <c r="C20" s="19">
        <v>44866</v>
      </c>
      <c r="D20" s="59">
        <f>454990-48</f>
        <v>454942</v>
      </c>
      <c r="E20" s="60">
        <v>378048.02</v>
      </c>
      <c r="F20" s="20">
        <f t="shared" si="0"/>
        <v>76893.979999999981</v>
      </c>
      <c r="G20" s="21">
        <f t="shared" si="1"/>
        <v>199637.49999999997</v>
      </c>
      <c r="I20" s="87">
        <v>44866</v>
      </c>
      <c r="J20" s="83">
        <f>43795+56132</f>
        <v>99927</v>
      </c>
      <c r="K20" s="89">
        <v>99927</v>
      </c>
      <c r="L20" s="86">
        <f t="shared" si="2"/>
        <v>0</v>
      </c>
      <c r="M20" s="86">
        <f t="shared" si="3"/>
        <v>0</v>
      </c>
    </row>
    <row r="21" spans="2:13" x14ac:dyDescent="0.2">
      <c r="B21" s="8">
        <v>7</v>
      </c>
      <c r="C21" s="19">
        <v>44896</v>
      </c>
      <c r="D21" s="59">
        <f>628730-51</f>
        <v>628679</v>
      </c>
      <c r="E21" s="60">
        <v>475998.1</v>
      </c>
      <c r="F21" s="22">
        <f t="shared" si="0"/>
        <v>152680.90000000002</v>
      </c>
      <c r="G21" s="23">
        <f t="shared" si="1"/>
        <v>352318.4</v>
      </c>
      <c r="I21" s="90">
        <v>44896</v>
      </c>
      <c r="J21" s="94">
        <f>35782+53931</f>
        <v>89713</v>
      </c>
      <c r="K21" s="94">
        <v>89713</v>
      </c>
      <c r="L21" s="92">
        <f t="shared" si="2"/>
        <v>0</v>
      </c>
      <c r="M21" s="92">
        <f t="shared" si="3"/>
        <v>0</v>
      </c>
    </row>
    <row r="22" spans="2:13" x14ac:dyDescent="0.2">
      <c r="B22" s="24" t="s">
        <v>28</v>
      </c>
      <c r="C22" s="17">
        <v>44927</v>
      </c>
      <c r="D22" s="57">
        <f>505386-44</f>
        <v>505342</v>
      </c>
      <c r="E22" s="58">
        <v>444566.18</v>
      </c>
      <c r="F22" s="18">
        <f t="shared" si="0"/>
        <v>60775.820000000007</v>
      </c>
      <c r="G22" s="16">
        <f t="shared" si="1"/>
        <v>413094.22000000003</v>
      </c>
      <c r="I22" s="87">
        <v>44927</v>
      </c>
      <c r="J22" s="93">
        <f>36223+37243</f>
        <v>73466</v>
      </c>
      <c r="K22" s="93">
        <v>73466</v>
      </c>
      <c r="L22" s="86">
        <f t="shared" si="2"/>
        <v>0</v>
      </c>
      <c r="M22" s="86">
        <f>M21+L22</f>
        <v>0</v>
      </c>
    </row>
    <row r="23" spans="2:13" x14ac:dyDescent="0.2">
      <c r="B23" s="25" t="s">
        <v>29</v>
      </c>
      <c r="C23" s="26">
        <v>44958</v>
      </c>
      <c r="D23" s="61">
        <f>259634-30</f>
        <v>259604</v>
      </c>
      <c r="E23" s="116">
        <f>455713.47+364</f>
        <v>456077.47</v>
      </c>
      <c r="F23" s="22">
        <f t="shared" si="0"/>
        <v>-196473.46999999997</v>
      </c>
      <c r="G23" s="23">
        <f t="shared" si="1"/>
        <v>216620.75000000006</v>
      </c>
      <c r="I23" s="90">
        <v>44958</v>
      </c>
      <c r="J23" s="94">
        <f>22266+14595</f>
        <v>36861</v>
      </c>
      <c r="K23" s="103">
        <f>37225-364</f>
        <v>36861</v>
      </c>
      <c r="L23" s="92">
        <f t="shared" si="2"/>
        <v>0</v>
      </c>
      <c r="M23" s="92">
        <f>M22+L23</f>
        <v>0</v>
      </c>
    </row>
    <row r="24" spans="2:13" x14ac:dyDescent="0.2">
      <c r="B24" s="9"/>
      <c r="C24" s="27" t="s">
        <v>65</v>
      </c>
      <c r="D24" s="28"/>
      <c r="E24" s="28"/>
      <c r="F24" s="28"/>
      <c r="G24" s="29"/>
      <c r="I24" s="95"/>
      <c r="J24" s="95"/>
      <c r="K24" s="95"/>
      <c r="L24" s="95"/>
      <c r="M24" s="95"/>
    </row>
    <row r="25" spans="2:13" x14ac:dyDescent="0.2">
      <c r="B25" s="6"/>
      <c r="C25" s="5"/>
      <c r="D25" s="5"/>
      <c r="E25" s="5"/>
      <c r="F25" s="5"/>
      <c r="G25" s="16"/>
      <c r="I25" s="96" t="s">
        <v>102</v>
      </c>
      <c r="J25" s="97"/>
      <c r="K25" s="97"/>
      <c r="L25" s="98"/>
      <c r="M25" s="99">
        <f>M21</f>
        <v>0</v>
      </c>
    </row>
    <row r="26" spans="2:13" x14ac:dyDescent="0.2">
      <c r="B26" s="8"/>
      <c r="C26" s="7"/>
      <c r="D26" s="8" t="s">
        <v>30</v>
      </c>
      <c r="E26" s="8" t="s">
        <v>31</v>
      </c>
      <c r="F26" s="7"/>
      <c r="G26" s="21"/>
      <c r="I26" s="95"/>
      <c r="J26" s="95"/>
      <c r="K26" s="95"/>
      <c r="L26" s="95"/>
      <c r="M26" s="100"/>
    </row>
    <row r="27" spans="2:13" x14ac:dyDescent="0.2">
      <c r="B27" s="8">
        <v>8</v>
      </c>
      <c r="C27" s="7"/>
      <c r="D27" s="8" t="s">
        <v>32</v>
      </c>
      <c r="E27" s="8" t="s">
        <v>33</v>
      </c>
      <c r="F27" s="7"/>
      <c r="G27" s="30" t="s">
        <v>30</v>
      </c>
      <c r="I27" s="96" t="s">
        <v>103</v>
      </c>
      <c r="J27" s="97"/>
      <c r="K27" s="97"/>
      <c r="L27" s="98"/>
      <c r="M27" s="99">
        <f>M25/6</f>
        <v>0</v>
      </c>
    </row>
    <row r="28" spans="2:13" x14ac:dyDescent="0.2">
      <c r="B28" s="8"/>
      <c r="C28" s="7"/>
      <c r="D28" s="8" t="s">
        <v>34</v>
      </c>
      <c r="E28" s="8" t="s">
        <v>35</v>
      </c>
      <c r="F28" s="7"/>
      <c r="G28" s="30" t="s">
        <v>36</v>
      </c>
    </row>
    <row r="29" spans="2:13" x14ac:dyDescent="0.2">
      <c r="B29" s="8"/>
      <c r="C29" s="7"/>
      <c r="D29" s="8" t="s">
        <v>37</v>
      </c>
      <c r="E29" s="8" t="s">
        <v>38</v>
      </c>
      <c r="F29" s="7"/>
      <c r="G29" s="30" t="s">
        <v>39</v>
      </c>
    </row>
    <row r="30" spans="2:13" x14ac:dyDescent="0.2">
      <c r="B30" s="9"/>
      <c r="C30" s="7"/>
      <c r="D30" s="8" t="s">
        <v>40</v>
      </c>
      <c r="E30" s="8" t="s">
        <v>41</v>
      </c>
      <c r="F30" s="7"/>
      <c r="G30" s="30" t="s">
        <v>42</v>
      </c>
    </row>
    <row r="31" spans="2:13" x14ac:dyDescent="0.2">
      <c r="B31" s="24" t="s">
        <v>43</v>
      </c>
      <c r="C31" s="5" t="s">
        <v>82</v>
      </c>
      <c r="D31" s="16">
        <f>-G13</f>
        <v>-11503</v>
      </c>
      <c r="E31" s="16">
        <f>D62</f>
        <v>0</v>
      </c>
      <c r="F31" s="5"/>
      <c r="G31" s="16">
        <f>D31+E31</f>
        <v>-11503</v>
      </c>
    </row>
    <row r="32" spans="2:13" x14ac:dyDescent="0.2">
      <c r="B32" s="31" t="s">
        <v>44</v>
      </c>
      <c r="C32" s="32" t="s">
        <v>84</v>
      </c>
      <c r="D32" s="23">
        <f>-G14</f>
        <v>71053.040000000008</v>
      </c>
      <c r="E32" s="23">
        <v>0</v>
      </c>
      <c r="F32" s="32"/>
      <c r="G32" s="23">
        <f>D32+E32</f>
        <v>71053.040000000008</v>
      </c>
    </row>
    <row r="33" spans="2:7" x14ac:dyDescent="0.2">
      <c r="B33" s="9" t="s">
        <v>45</v>
      </c>
      <c r="C33" s="33"/>
      <c r="D33" s="34"/>
      <c r="E33" s="34"/>
      <c r="F33" s="35" t="s">
        <v>47</v>
      </c>
      <c r="G33" s="23">
        <f>G31+G32</f>
        <v>59550.040000000008</v>
      </c>
    </row>
    <row r="34" spans="2:7" x14ac:dyDescent="0.2">
      <c r="B34" s="36"/>
      <c r="G34" s="37"/>
    </row>
    <row r="35" spans="2:7" x14ac:dyDescent="0.2">
      <c r="B35" s="10">
        <v>9</v>
      </c>
      <c r="C35" s="38" t="s">
        <v>85</v>
      </c>
      <c r="D35" s="12"/>
      <c r="E35" s="12"/>
      <c r="F35" s="13"/>
      <c r="G35" s="39">
        <f>G21+G33</f>
        <v>411868.44000000006</v>
      </c>
    </row>
    <row r="36" spans="2:7" x14ac:dyDescent="0.2">
      <c r="B36" s="36"/>
      <c r="G36" s="37"/>
    </row>
    <row r="37" spans="2:7" x14ac:dyDescent="0.2">
      <c r="B37" s="10">
        <v>10</v>
      </c>
      <c r="C37" s="38" t="s">
        <v>62</v>
      </c>
      <c r="D37" s="12"/>
      <c r="E37" s="12"/>
      <c r="F37" s="13"/>
      <c r="G37" s="39">
        <f>G35/6</f>
        <v>68644.740000000005</v>
      </c>
    </row>
    <row r="39" spans="2:7" x14ac:dyDescent="0.2">
      <c r="B39" s="5"/>
      <c r="C39" s="40" t="s">
        <v>48</v>
      </c>
      <c r="D39" s="41"/>
      <c r="E39" s="41"/>
      <c r="F39" s="41"/>
      <c r="G39" s="42"/>
    </row>
    <row r="40" spans="2:7" x14ac:dyDescent="0.2">
      <c r="B40" s="5"/>
      <c r="C40" s="43"/>
      <c r="D40" s="43"/>
      <c r="E40" s="43"/>
      <c r="F40" s="43"/>
      <c r="G40" s="15"/>
    </row>
    <row r="41" spans="2:7" x14ac:dyDescent="0.2">
      <c r="B41" s="8">
        <v>11</v>
      </c>
      <c r="C41" s="44" t="s">
        <v>49</v>
      </c>
      <c r="D41" s="44"/>
      <c r="E41" s="44"/>
      <c r="F41" s="44"/>
      <c r="G41" s="45">
        <f>G15</f>
        <v>-59550.040000000008</v>
      </c>
    </row>
    <row r="42" spans="2:7" x14ac:dyDescent="0.2">
      <c r="B42" s="8">
        <v>12</v>
      </c>
      <c r="C42" s="44" t="s">
        <v>50</v>
      </c>
      <c r="D42" s="44"/>
      <c r="E42" s="44"/>
      <c r="F42" s="44"/>
      <c r="G42" s="46">
        <f>G33</f>
        <v>59550.040000000008</v>
      </c>
    </row>
    <row r="43" spans="2:7" x14ac:dyDescent="0.2">
      <c r="B43" s="8"/>
      <c r="C43" s="44"/>
      <c r="D43" s="44"/>
      <c r="E43" s="44"/>
      <c r="F43" s="44"/>
      <c r="G43" s="45"/>
    </row>
    <row r="44" spans="2:7" ht="15" thickBot="1" x14ac:dyDescent="0.25">
      <c r="B44" s="8">
        <v>13</v>
      </c>
      <c r="C44" s="44" t="s">
        <v>51</v>
      </c>
      <c r="D44" s="44"/>
      <c r="E44" s="44"/>
      <c r="F44" s="44"/>
      <c r="G44" s="47">
        <f>G41+G42</f>
        <v>0</v>
      </c>
    </row>
    <row r="45" spans="2:7" ht="15" thickTop="1" x14ac:dyDescent="0.2">
      <c r="B45" s="8"/>
      <c r="C45" s="44"/>
      <c r="D45" s="44"/>
      <c r="E45" s="44"/>
      <c r="F45" s="44"/>
      <c r="G45" s="45"/>
    </row>
    <row r="46" spans="2:7" x14ac:dyDescent="0.2">
      <c r="B46" s="8">
        <v>14</v>
      </c>
      <c r="C46" s="44" t="s">
        <v>52</v>
      </c>
      <c r="D46" s="44"/>
      <c r="E46" s="44"/>
      <c r="F46" s="44"/>
      <c r="G46" s="45">
        <f>G35</f>
        <v>411868.44000000006</v>
      </c>
    </row>
    <row r="47" spans="2:7" x14ac:dyDescent="0.2">
      <c r="B47" s="8"/>
      <c r="C47" s="44"/>
      <c r="D47" s="44"/>
      <c r="E47" s="44"/>
      <c r="F47" s="44"/>
      <c r="G47" s="45"/>
    </row>
    <row r="48" spans="2:7" x14ac:dyDescent="0.2">
      <c r="B48" s="8">
        <v>15</v>
      </c>
      <c r="C48" s="44" t="s">
        <v>53</v>
      </c>
      <c r="D48" s="44"/>
      <c r="E48" s="44"/>
      <c r="F48" s="44"/>
      <c r="G48" s="46">
        <f>SUM(F16:F21)</f>
        <v>411868.44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16</v>
      </c>
      <c r="C50" s="44" t="s">
        <v>54</v>
      </c>
      <c r="D50" s="44"/>
      <c r="E50" s="44"/>
      <c r="F50" s="44"/>
      <c r="G50" s="47">
        <f>G46-G48</f>
        <v>0</v>
      </c>
    </row>
    <row r="51" spans="2:7" ht="15" thickTop="1" x14ac:dyDescent="0.2">
      <c r="B51" s="32"/>
      <c r="C51" s="48"/>
      <c r="D51" s="48"/>
      <c r="E51" s="48"/>
      <c r="F51" s="48"/>
      <c r="G51" s="49"/>
    </row>
    <row r="53" spans="2:7" x14ac:dyDescent="0.2">
      <c r="B53" t="s">
        <v>55</v>
      </c>
    </row>
    <row r="54" spans="2:7" x14ac:dyDescent="0.2">
      <c r="B54" s="36"/>
      <c r="C54" s="5"/>
      <c r="D54" s="6" t="s">
        <v>56</v>
      </c>
      <c r="E54" s="31"/>
      <c r="F54" s="117"/>
      <c r="G54" s="117"/>
    </row>
    <row r="55" spans="2:7" x14ac:dyDescent="0.2">
      <c r="B55" s="36"/>
      <c r="C55" s="9" t="s">
        <v>17</v>
      </c>
      <c r="D55" s="9" t="s">
        <v>105</v>
      </c>
      <c r="E55" s="31"/>
      <c r="F55" s="117"/>
      <c r="G55" s="117"/>
    </row>
    <row r="56" spans="2:7" x14ac:dyDescent="0.2">
      <c r="C56" s="17">
        <v>44743</v>
      </c>
      <c r="D56" s="50">
        <v>0</v>
      </c>
      <c r="E56" s="118"/>
      <c r="F56" s="70"/>
      <c r="G56" s="70"/>
    </row>
    <row r="57" spans="2:7" x14ac:dyDescent="0.2">
      <c r="C57" s="19">
        <v>44774</v>
      </c>
      <c r="D57" s="51">
        <v>0</v>
      </c>
      <c r="E57" s="118"/>
      <c r="F57" s="70"/>
      <c r="G57" s="70"/>
    </row>
    <row r="58" spans="2:7" x14ac:dyDescent="0.2">
      <c r="C58" s="19">
        <v>44805</v>
      </c>
      <c r="D58" s="51">
        <v>0</v>
      </c>
      <c r="E58" s="118"/>
      <c r="F58" s="70"/>
      <c r="G58" s="70"/>
    </row>
    <row r="59" spans="2:7" x14ac:dyDescent="0.2">
      <c r="C59" s="19">
        <v>44835</v>
      </c>
      <c r="D59" s="51">
        <v>0</v>
      </c>
      <c r="E59" s="118"/>
      <c r="F59" s="70"/>
      <c r="G59" s="70"/>
    </row>
    <row r="60" spans="2:7" x14ac:dyDescent="0.2">
      <c r="C60" s="19">
        <v>44866</v>
      </c>
      <c r="D60" s="51">
        <v>0</v>
      </c>
      <c r="E60" s="118"/>
      <c r="F60" s="70"/>
      <c r="G60" s="70"/>
    </row>
    <row r="61" spans="2:7" x14ac:dyDescent="0.2">
      <c r="C61" s="19">
        <v>44896</v>
      </c>
      <c r="D61" s="52">
        <v>0</v>
      </c>
      <c r="E61" s="118"/>
      <c r="F61" s="70"/>
      <c r="G61" s="70"/>
    </row>
    <row r="62" spans="2:7" x14ac:dyDescent="0.2">
      <c r="C62" s="53" t="s">
        <v>57</v>
      </c>
      <c r="D62" s="39">
        <f>SUM(D56:D61)</f>
        <v>0</v>
      </c>
      <c r="E62" s="20"/>
      <c r="F62" s="70"/>
      <c r="G62" s="70"/>
    </row>
  </sheetData>
  <mergeCells count="3">
    <mergeCell ref="B4:G5"/>
    <mergeCell ref="C12:G12"/>
    <mergeCell ref="I4:M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4"/>
  <sheetViews>
    <sheetView workbookViewId="0">
      <selection activeCell="E32" sqref="E32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B4" s="120" t="s">
        <v>97</v>
      </c>
      <c r="C4" s="121"/>
      <c r="D4" s="121"/>
      <c r="E4" s="121"/>
      <c r="F4" s="121"/>
      <c r="G4" s="122"/>
      <c r="I4" s="129" t="s">
        <v>99</v>
      </c>
      <c r="J4" s="130"/>
      <c r="K4" s="130"/>
      <c r="L4" s="130"/>
      <c r="M4" s="131"/>
    </row>
    <row r="5" spans="1:13" ht="14.25" customHeight="1" x14ac:dyDescent="0.2">
      <c r="B5" s="123"/>
      <c r="C5" s="124"/>
      <c r="D5" s="124"/>
      <c r="E5" s="124"/>
      <c r="F5" s="124"/>
      <c r="G5" s="125"/>
      <c r="I5" s="132"/>
      <c r="J5" s="133"/>
      <c r="K5" s="133"/>
      <c r="L5" s="133"/>
      <c r="M5" s="134"/>
    </row>
    <row r="6" spans="1:13" ht="15" x14ac:dyDescent="0.2">
      <c r="I6" s="73"/>
      <c r="J6" s="73"/>
      <c r="K6" s="73"/>
      <c r="L6" s="73"/>
      <c r="M6" s="73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ht="15.75" x14ac:dyDescent="0.25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  <c r="I10" s="74" t="s">
        <v>104</v>
      </c>
      <c r="J10" s="73"/>
      <c r="K10" s="73"/>
      <c r="L10" s="73"/>
      <c r="M10" s="73"/>
    </row>
    <row r="11" spans="1:13" ht="15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73"/>
      <c r="J11" s="73"/>
      <c r="K11" s="73"/>
      <c r="L11" s="73"/>
      <c r="M11" s="73"/>
    </row>
    <row r="12" spans="1:13" x14ac:dyDescent="0.2">
      <c r="B12" s="6">
        <v>1</v>
      </c>
      <c r="C12" s="126" t="s">
        <v>22</v>
      </c>
      <c r="D12" s="127"/>
      <c r="E12" s="127"/>
      <c r="F12" s="127"/>
      <c r="G12" s="128"/>
      <c r="I12" s="75"/>
      <c r="J12" s="75"/>
      <c r="K12" s="76" t="s">
        <v>7</v>
      </c>
      <c r="L12" s="75"/>
      <c r="M12" s="75"/>
    </row>
    <row r="13" spans="1:13" x14ac:dyDescent="0.2">
      <c r="B13" s="6" t="s">
        <v>23</v>
      </c>
      <c r="C13" s="12" t="s">
        <v>80</v>
      </c>
      <c r="D13" s="12"/>
      <c r="E13" s="12"/>
      <c r="F13" s="13"/>
      <c r="G13" s="14">
        <v>11503</v>
      </c>
      <c r="I13" s="77"/>
      <c r="J13" s="78" t="s">
        <v>8</v>
      </c>
      <c r="K13" s="78" t="s">
        <v>9</v>
      </c>
      <c r="L13" s="77"/>
      <c r="M13" s="77"/>
    </row>
    <row r="14" spans="1:13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-71053.040000000008</v>
      </c>
      <c r="I14" s="77"/>
      <c r="J14" s="78" t="s">
        <v>10</v>
      </c>
      <c r="K14" s="78" t="s">
        <v>11</v>
      </c>
      <c r="L14" s="78" t="s">
        <v>12</v>
      </c>
      <c r="M14" s="78" t="s">
        <v>13</v>
      </c>
    </row>
    <row r="15" spans="1:13" x14ac:dyDescent="0.2">
      <c r="B15" s="8" t="s">
        <v>25</v>
      </c>
      <c r="C15" s="12" t="s">
        <v>86</v>
      </c>
      <c r="D15" s="12"/>
      <c r="E15" s="12"/>
      <c r="F15" s="13"/>
      <c r="G15" s="56">
        <f>'B - 11-30-22'!G35</f>
        <v>411868.44000000006</v>
      </c>
      <c r="I15" s="79"/>
      <c r="J15" s="79" t="s">
        <v>14</v>
      </c>
      <c r="K15" s="79" t="s">
        <v>14</v>
      </c>
      <c r="L15" s="79" t="s">
        <v>15</v>
      </c>
      <c r="M15" s="79" t="s">
        <v>15</v>
      </c>
    </row>
    <row r="16" spans="1:13" x14ac:dyDescent="0.2">
      <c r="B16" s="9" t="s">
        <v>26</v>
      </c>
      <c r="C16" s="12" t="s">
        <v>27</v>
      </c>
      <c r="D16" s="12"/>
      <c r="E16" s="12"/>
      <c r="F16" s="15"/>
      <c r="G16" s="16">
        <f>G13+G14+G15</f>
        <v>352318.4</v>
      </c>
      <c r="I16" s="80" t="s">
        <v>17</v>
      </c>
      <c r="J16" s="81" t="s">
        <v>101</v>
      </c>
      <c r="K16" s="81" t="s">
        <v>18</v>
      </c>
      <c r="L16" s="81" t="s">
        <v>19</v>
      </c>
      <c r="M16" s="81" t="s">
        <v>20</v>
      </c>
    </row>
    <row r="17" spans="2:13" x14ac:dyDescent="0.2">
      <c r="B17" s="8">
        <v>2</v>
      </c>
      <c r="C17" s="17">
        <v>44927</v>
      </c>
      <c r="D17" s="57">
        <f>505386-44</f>
        <v>505342</v>
      </c>
      <c r="E17" s="58">
        <v>444566.18</v>
      </c>
      <c r="F17" s="18">
        <f t="shared" ref="F17:F24" si="0">D17-E17</f>
        <v>60775.820000000007</v>
      </c>
      <c r="G17" s="16">
        <f t="shared" ref="G17:G24" si="1">G16+F17</f>
        <v>413094.22000000003</v>
      </c>
      <c r="I17" s="82">
        <v>44927</v>
      </c>
      <c r="J17" s="83">
        <f>36223+37243</f>
        <v>73466</v>
      </c>
      <c r="K17" s="84">
        <v>73466</v>
      </c>
      <c r="L17" s="85">
        <f t="shared" ref="L17:L24" si="2">J17-K17</f>
        <v>0</v>
      </c>
      <c r="M17" s="86">
        <f>L17</f>
        <v>0</v>
      </c>
    </row>
    <row r="18" spans="2:13" x14ac:dyDescent="0.2">
      <c r="B18" s="8">
        <v>3</v>
      </c>
      <c r="C18" s="19">
        <v>44958</v>
      </c>
      <c r="D18" s="59">
        <f>259634-30</f>
        <v>259604</v>
      </c>
      <c r="E18" s="101">
        <f>455713.47+364</f>
        <v>456077.47</v>
      </c>
      <c r="F18" s="20">
        <f t="shared" si="0"/>
        <v>-196473.46999999997</v>
      </c>
      <c r="G18" s="21">
        <f t="shared" si="1"/>
        <v>216620.75000000006</v>
      </c>
      <c r="I18" s="87">
        <v>44958</v>
      </c>
      <c r="J18" s="83">
        <f>22266+14595</f>
        <v>36861</v>
      </c>
      <c r="K18" s="104">
        <f>37225-364</f>
        <v>36861</v>
      </c>
      <c r="L18" s="86">
        <f t="shared" si="2"/>
        <v>0</v>
      </c>
      <c r="M18" s="86">
        <f>M17+L18</f>
        <v>0</v>
      </c>
    </row>
    <row r="19" spans="2:13" x14ac:dyDescent="0.2">
      <c r="B19" s="8">
        <v>4</v>
      </c>
      <c r="C19" s="19">
        <v>44986</v>
      </c>
      <c r="D19" s="59">
        <f>336608-39</f>
        <v>336569</v>
      </c>
      <c r="E19" s="60">
        <v>230897.31</v>
      </c>
      <c r="F19" s="20">
        <f t="shared" si="0"/>
        <v>105671.69</v>
      </c>
      <c r="G19" s="21">
        <f t="shared" si="1"/>
        <v>322292.44000000006</v>
      </c>
      <c r="I19" s="87">
        <v>44986</v>
      </c>
      <c r="J19" s="83">
        <f>30865+19790</f>
        <v>50655</v>
      </c>
      <c r="K19" s="83">
        <v>50655</v>
      </c>
      <c r="L19" s="86">
        <f t="shared" si="2"/>
        <v>0</v>
      </c>
      <c r="M19" s="86">
        <f t="shared" ref="M19:M22" si="3">M18+L19</f>
        <v>0</v>
      </c>
    </row>
    <row r="20" spans="2:13" x14ac:dyDescent="0.2">
      <c r="B20" s="8">
        <v>5</v>
      </c>
      <c r="C20" s="19">
        <v>45017</v>
      </c>
      <c r="D20" s="59">
        <f>339216-54</f>
        <v>339162</v>
      </c>
      <c r="E20" s="60">
        <v>283650.15999999997</v>
      </c>
      <c r="F20" s="20">
        <f t="shared" si="0"/>
        <v>55511.840000000026</v>
      </c>
      <c r="G20" s="21">
        <f t="shared" si="1"/>
        <v>377804.28000000009</v>
      </c>
      <c r="I20" s="87">
        <v>45017</v>
      </c>
      <c r="J20" s="83">
        <f>42203+26284</f>
        <v>68487</v>
      </c>
      <c r="K20" s="102">
        <v>68487</v>
      </c>
      <c r="L20" s="86">
        <f t="shared" si="2"/>
        <v>0</v>
      </c>
      <c r="M20" s="86">
        <f t="shared" si="3"/>
        <v>0</v>
      </c>
    </row>
    <row r="21" spans="2:13" x14ac:dyDescent="0.2">
      <c r="B21" s="8">
        <v>6</v>
      </c>
      <c r="C21" s="19">
        <v>45047</v>
      </c>
      <c r="D21" s="59">
        <f>345874-58</f>
        <v>345816</v>
      </c>
      <c r="E21" s="101">
        <f>418455.22-364</f>
        <v>418091.22</v>
      </c>
      <c r="F21" s="20">
        <f t="shared" si="0"/>
        <v>-72275.219999999972</v>
      </c>
      <c r="G21" s="21">
        <f t="shared" si="1"/>
        <v>305529.06000000011</v>
      </c>
      <c r="I21" s="87">
        <v>45047</v>
      </c>
      <c r="J21" s="83">
        <f>40061+30635</f>
        <v>70696</v>
      </c>
      <c r="K21" s="105">
        <f>70332+364</f>
        <v>70696</v>
      </c>
      <c r="L21" s="86">
        <f t="shared" si="2"/>
        <v>0</v>
      </c>
      <c r="M21" s="86">
        <f t="shared" si="3"/>
        <v>0</v>
      </c>
    </row>
    <row r="22" spans="2:13" x14ac:dyDescent="0.2">
      <c r="B22" s="8">
        <v>7</v>
      </c>
      <c r="C22" s="19">
        <v>45078</v>
      </c>
      <c r="D22" s="59">
        <f>385132-69</f>
        <v>385063</v>
      </c>
      <c r="E22" s="60">
        <f>371241.28</f>
        <v>371241.28</v>
      </c>
      <c r="F22" s="22">
        <f t="shared" si="0"/>
        <v>13821.719999999972</v>
      </c>
      <c r="G22" s="23">
        <f t="shared" si="1"/>
        <v>319350.78000000009</v>
      </c>
      <c r="I22" s="90">
        <v>45078</v>
      </c>
      <c r="J22" s="94">
        <f>20320+26578</f>
        <v>46898</v>
      </c>
      <c r="K22" s="94">
        <v>46898</v>
      </c>
      <c r="L22" s="92">
        <f t="shared" si="2"/>
        <v>0</v>
      </c>
      <c r="M22" s="92">
        <f t="shared" si="3"/>
        <v>0</v>
      </c>
    </row>
    <row r="23" spans="2:13" x14ac:dyDescent="0.2">
      <c r="B23" s="24" t="s">
        <v>28</v>
      </c>
      <c r="C23" s="17">
        <v>45108</v>
      </c>
      <c r="D23" s="57">
        <f>511925-74</f>
        <v>511851</v>
      </c>
      <c r="E23" s="58">
        <f>508878.14</f>
        <v>508878.14</v>
      </c>
      <c r="F23" s="18">
        <f t="shared" si="0"/>
        <v>2972.859999999986</v>
      </c>
      <c r="G23" s="16">
        <f t="shared" si="1"/>
        <v>322323.64000000007</v>
      </c>
      <c r="I23" s="87">
        <v>45108</v>
      </c>
      <c r="J23" s="93">
        <f>44344+68618</f>
        <v>112962</v>
      </c>
      <c r="K23" s="93">
        <v>112962</v>
      </c>
      <c r="L23" s="86">
        <f t="shared" si="2"/>
        <v>0</v>
      </c>
      <c r="M23" s="86">
        <f>M22+L23</f>
        <v>0</v>
      </c>
    </row>
    <row r="24" spans="2:13" x14ac:dyDescent="0.2">
      <c r="B24" s="25" t="s">
        <v>29</v>
      </c>
      <c r="C24" s="26">
        <v>45139</v>
      </c>
      <c r="D24" s="61">
        <f>538190-0</f>
        <v>538190</v>
      </c>
      <c r="E24" s="62">
        <f>592726.59</f>
        <v>592726.59</v>
      </c>
      <c r="F24" s="22">
        <f t="shared" si="0"/>
        <v>-54536.589999999967</v>
      </c>
      <c r="G24" s="23">
        <f t="shared" si="1"/>
        <v>267787.0500000001</v>
      </c>
      <c r="I24" s="90">
        <v>45139</v>
      </c>
      <c r="J24" s="94">
        <f>56388+79780</f>
        <v>136168</v>
      </c>
      <c r="K24" s="103">
        <v>136168</v>
      </c>
      <c r="L24" s="92">
        <f t="shared" si="2"/>
        <v>0</v>
      </c>
      <c r="M24" s="92">
        <f>M23+L24</f>
        <v>0</v>
      </c>
    </row>
    <row r="25" spans="2:13" x14ac:dyDescent="0.2">
      <c r="B25" s="9"/>
      <c r="C25" s="27" t="s">
        <v>70</v>
      </c>
      <c r="D25" s="28"/>
      <c r="E25" s="28"/>
      <c r="F25" s="28"/>
      <c r="G25" s="29"/>
      <c r="I25" s="95"/>
      <c r="J25" s="95"/>
      <c r="K25" s="95"/>
      <c r="L25" s="95"/>
      <c r="M25" s="95"/>
    </row>
    <row r="26" spans="2:13" x14ac:dyDescent="0.2">
      <c r="B26" s="6"/>
      <c r="C26" s="5"/>
      <c r="D26" s="5"/>
      <c r="E26" s="5"/>
      <c r="F26" s="5"/>
      <c r="G26" s="16"/>
      <c r="I26" s="96" t="s">
        <v>102</v>
      </c>
      <c r="J26" s="97"/>
      <c r="K26" s="97"/>
      <c r="L26" s="98"/>
      <c r="M26" s="99">
        <f>M22</f>
        <v>0</v>
      </c>
    </row>
    <row r="27" spans="2:13" x14ac:dyDescent="0.2">
      <c r="B27" s="8"/>
      <c r="C27" s="7"/>
      <c r="D27" s="8" t="s">
        <v>30</v>
      </c>
      <c r="E27" s="8" t="s">
        <v>31</v>
      </c>
      <c r="F27" s="7"/>
      <c r="G27" s="21"/>
      <c r="I27" s="95"/>
      <c r="J27" s="95"/>
      <c r="K27" s="95"/>
      <c r="L27" s="95"/>
      <c r="M27" s="100"/>
    </row>
    <row r="28" spans="2:13" x14ac:dyDescent="0.2">
      <c r="B28" s="8">
        <v>8</v>
      </c>
      <c r="C28" s="7"/>
      <c r="D28" s="8" t="s">
        <v>32</v>
      </c>
      <c r="E28" s="8" t="s">
        <v>33</v>
      </c>
      <c r="F28" s="7"/>
      <c r="G28" s="30" t="s">
        <v>30</v>
      </c>
      <c r="I28" s="96" t="s">
        <v>103</v>
      </c>
      <c r="J28" s="97"/>
      <c r="K28" s="97"/>
      <c r="L28" s="98"/>
      <c r="M28" s="99">
        <f>M26/6</f>
        <v>0</v>
      </c>
    </row>
    <row r="29" spans="2:13" x14ac:dyDescent="0.2">
      <c r="B29" s="8"/>
      <c r="C29" s="7"/>
      <c r="D29" s="8" t="s">
        <v>34</v>
      </c>
      <c r="E29" s="8" t="s">
        <v>35</v>
      </c>
      <c r="F29" s="7"/>
      <c r="G29" s="30" t="s">
        <v>36</v>
      </c>
    </row>
    <row r="30" spans="2:13" x14ac:dyDescent="0.2">
      <c r="B30" s="8"/>
      <c r="C30" s="7"/>
      <c r="D30" s="8" t="s">
        <v>37</v>
      </c>
      <c r="E30" s="8" t="s">
        <v>38</v>
      </c>
      <c r="F30" s="7"/>
      <c r="G30" s="30" t="s">
        <v>39</v>
      </c>
    </row>
    <row r="31" spans="2:13" x14ac:dyDescent="0.2">
      <c r="B31" s="9"/>
      <c r="C31" s="7"/>
      <c r="D31" s="8" t="s">
        <v>40</v>
      </c>
      <c r="E31" s="8" t="s">
        <v>41</v>
      </c>
      <c r="F31" s="7"/>
      <c r="G31" s="30" t="s">
        <v>42</v>
      </c>
    </row>
    <row r="32" spans="2:13" x14ac:dyDescent="0.2">
      <c r="B32" s="24" t="s">
        <v>43</v>
      </c>
      <c r="C32" s="5" t="s">
        <v>82</v>
      </c>
      <c r="D32" s="16">
        <f>-G13</f>
        <v>-11503</v>
      </c>
      <c r="E32" s="16">
        <f>D64</f>
        <v>0</v>
      </c>
      <c r="F32" s="5"/>
      <c r="G32" s="16">
        <f t="shared" ref="G32:G34" si="4">D32+E32</f>
        <v>-11503</v>
      </c>
    </row>
    <row r="33" spans="2:7" x14ac:dyDescent="0.2">
      <c r="B33" s="31" t="s">
        <v>44</v>
      </c>
      <c r="C33" s="65" t="s">
        <v>84</v>
      </c>
      <c r="D33" s="21">
        <f>-G14</f>
        <v>71053.040000000008</v>
      </c>
      <c r="E33" s="21">
        <v>0</v>
      </c>
      <c r="F33" s="7"/>
      <c r="G33" s="21">
        <f t="shared" si="4"/>
        <v>71053.040000000008</v>
      </c>
    </row>
    <row r="34" spans="2:7" x14ac:dyDescent="0.2">
      <c r="B34" s="31" t="s">
        <v>45</v>
      </c>
      <c r="C34" s="49" t="s">
        <v>87</v>
      </c>
      <c r="D34" s="23">
        <f>-G15</f>
        <v>-411868.44000000006</v>
      </c>
      <c r="E34" s="23">
        <v>0</v>
      </c>
      <c r="F34" s="32"/>
      <c r="G34" s="23">
        <f t="shared" si="4"/>
        <v>-411868.44000000006</v>
      </c>
    </row>
    <row r="35" spans="2:7" x14ac:dyDescent="0.2">
      <c r="B35" s="9" t="s">
        <v>46</v>
      </c>
      <c r="C35" s="33"/>
      <c r="D35" s="34"/>
      <c r="E35" s="34"/>
      <c r="F35" s="35" t="s">
        <v>47</v>
      </c>
      <c r="G35" s="23">
        <f>G32+G33+G34</f>
        <v>-352318.4</v>
      </c>
    </row>
    <row r="36" spans="2:7" x14ac:dyDescent="0.2">
      <c r="B36" s="36"/>
      <c r="G36" s="37"/>
    </row>
    <row r="37" spans="2:7" x14ac:dyDescent="0.2">
      <c r="B37" s="10">
        <v>9</v>
      </c>
      <c r="C37" s="38" t="s">
        <v>88</v>
      </c>
      <c r="D37" s="12"/>
      <c r="E37" s="12"/>
      <c r="F37" s="13"/>
      <c r="G37" s="39">
        <f>G22+G35</f>
        <v>-32967.619999999937</v>
      </c>
    </row>
    <row r="38" spans="2:7" x14ac:dyDescent="0.2">
      <c r="B38" s="36"/>
      <c r="G38" s="37"/>
    </row>
    <row r="39" spans="2:7" x14ac:dyDescent="0.2">
      <c r="B39" s="10">
        <v>10</v>
      </c>
      <c r="C39" s="38" t="s">
        <v>62</v>
      </c>
      <c r="D39" s="12"/>
      <c r="E39" s="12"/>
      <c r="F39" s="13"/>
      <c r="G39" s="39">
        <f>G37/6</f>
        <v>-5494.6033333333226</v>
      </c>
    </row>
    <row r="41" spans="2:7" x14ac:dyDescent="0.2">
      <c r="B41" s="5"/>
      <c r="C41" s="40" t="s">
        <v>48</v>
      </c>
      <c r="D41" s="41"/>
      <c r="E41" s="41"/>
      <c r="F41" s="41"/>
      <c r="G41" s="42"/>
    </row>
    <row r="42" spans="2:7" x14ac:dyDescent="0.2">
      <c r="B42" s="5"/>
      <c r="C42" s="43"/>
      <c r="D42" s="43"/>
      <c r="E42" s="43"/>
      <c r="F42" s="43"/>
      <c r="G42" s="15"/>
    </row>
    <row r="43" spans="2:7" x14ac:dyDescent="0.2">
      <c r="B43" s="8">
        <v>11</v>
      </c>
      <c r="C43" s="44" t="s">
        <v>49</v>
      </c>
      <c r="D43" s="44"/>
      <c r="E43" s="44"/>
      <c r="F43" s="44"/>
      <c r="G43" s="45">
        <f>G16</f>
        <v>352318.4</v>
      </c>
    </row>
    <row r="44" spans="2:7" x14ac:dyDescent="0.2">
      <c r="B44" s="8">
        <v>12</v>
      </c>
      <c r="C44" s="44" t="s">
        <v>50</v>
      </c>
      <c r="D44" s="44"/>
      <c r="E44" s="44"/>
      <c r="F44" s="44"/>
      <c r="G44" s="46">
        <f>G35</f>
        <v>-352318.4</v>
      </c>
    </row>
    <row r="45" spans="2:7" x14ac:dyDescent="0.2">
      <c r="B45" s="8"/>
      <c r="C45" s="44"/>
      <c r="D45" s="44"/>
      <c r="E45" s="44"/>
      <c r="F45" s="44"/>
      <c r="G45" s="45"/>
    </row>
    <row r="46" spans="2:7" ht="15" thickBot="1" x14ac:dyDescent="0.25">
      <c r="B46" s="8">
        <v>13</v>
      </c>
      <c r="C46" s="44" t="s">
        <v>51</v>
      </c>
      <c r="D46" s="44"/>
      <c r="E46" s="44"/>
      <c r="F46" s="44"/>
      <c r="G46" s="47">
        <f>G43+G44</f>
        <v>0</v>
      </c>
    </row>
    <row r="47" spans="2:7" ht="15" thickTop="1" x14ac:dyDescent="0.2">
      <c r="B47" s="8"/>
      <c r="C47" s="44"/>
      <c r="D47" s="44"/>
      <c r="E47" s="44"/>
      <c r="F47" s="44"/>
      <c r="G47" s="45"/>
    </row>
    <row r="48" spans="2:7" x14ac:dyDescent="0.2">
      <c r="B48" s="8">
        <v>14</v>
      </c>
      <c r="C48" s="44" t="s">
        <v>52</v>
      </c>
      <c r="D48" s="44"/>
      <c r="E48" s="44"/>
      <c r="F48" s="44"/>
      <c r="G48" s="45">
        <f>G37</f>
        <v>-32967.619999999937</v>
      </c>
    </row>
    <row r="49" spans="2:7" x14ac:dyDescent="0.2">
      <c r="B49" s="8"/>
      <c r="C49" s="44"/>
      <c r="D49" s="44"/>
      <c r="E49" s="44"/>
      <c r="F49" s="44"/>
      <c r="G49" s="45"/>
    </row>
    <row r="50" spans="2:7" x14ac:dyDescent="0.2">
      <c r="B50" s="8">
        <v>15</v>
      </c>
      <c r="C50" s="44" t="s">
        <v>53</v>
      </c>
      <c r="D50" s="44"/>
      <c r="E50" s="44"/>
      <c r="F50" s="44"/>
      <c r="G50" s="46">
        <f>SUM(F17:F22)</f>
        <v>-32967.619999999937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16</v>
      </c>
      <c r="C52" s="44" t="s">
        <v>54</v>
      </c>
      <c r="D52" s="44"/>
      <c r="E52" s="44"/>
      <c r="F52" s="44"/>
      <c r="G52" s="47">
        <f>G48-G50</f>
        <v>0</v>
      </c>
    </row>
    <row r="53" spans="2:7" ht="15" thickTop="1" x14ac:dyDescent="0.2">
      <c r="B53" s="32"/>
      <c r="C53" s="48"/>
      <c r="D53" s="48"/>
      <c r="E53" s="48"/>
      <c r="F53" s="48"/>
      <c r="G53" s="49"/>
    </row>
    <row r="55" spans="2:7" x14ac:dyDescent="0.2">
      <c r="B55" t="s">
        <v>55</v>
      </c>
    </row>
    <row r="56" spans="2:7" x14ac:dyDescent="0.2">
      <c r="B56" s="36"/>
      <c r="C56" s="5"/>
      <c r="D56" s="6" t="s">
        <v>56</v>
      </c>
      <c r="E56" s="31"/>
      <c r="F56" s="117"/>
      <c r="G56" s="117"/>
    </row>
    <row r="57" spans="2:7" x14ac:dyDescent="0.2">
      <c r="B57" s="36"/>
      <c r="C57" s="9" t="s">
        <v>17</v>
      </c>
      <c r="D57" s="9" t="s">
        <v>105</v>
      </c>
      <c r="E57" s="31"/>
      <c r="F57" s="117"/>
      <c r="G57" s="117"/>
    </row>
    <row r="58" spans="2:7" x14ac:dyDescent="0.2">
      <c r="C58" s="17">
        <v>44927</v>
      </c>
      <c r="D58" s="50">
        <v>0</v>
      </c>
      <c r="E58" s="118"/>
      <c r="F58" s="70"/>
      <c r="G58" s="70"/>
    </row>
    <row r="59" spans="2:7" x14ac:dyDescent="0.2">
      <c r="C59" s="19">
        <v>44958</v>
      </c>
      <c r="D59" s="51">
        <v>0</v>
      </c>
      <c r="E59" s="118"/>
      <c r="F59" s="70"/>
      <c r="G59" s="70"/>
    </row>
    <row r="60" spans="2:7" x14ac:dyDescent="0.2">
      <c r="C60" s="19">
        <v>44986</v>
      </c>
      <c r="D60" s="51">
        <v>0</v>
      </c>
      <c r="E60" s="118"/>
      <c r="F60" s="70"/>
      <c r="G60" s="70"/>
    </row>
    <row r="61" spans="2:7" x14ac:dyDescent="0.2">
      <c r="C61" s="19">
        <v>45017</v>
      </c>
      <c r="D61" s="51">
        <v>0</v>
      </c>
      <c r="E61" s="118"/>
      <c r="F61" s="70"/>
      <c r="G61" s="70"/>
    </row>
    <row r="62" spans="2:7" x14ac:dyDescent="0.2">
      <c r="C62" s="19">
        <v>45047</v>
      </c>
      <c r="D62" s="51">
        <v>0</v>
      </c>
      <c r="E62" s="118"/>
      <c r="F62" s="70"/>
      <c r="G62" s="70"/>
    </row>
    <row r="63" spans="2:7" x14ac:dyDescent="0.2">
      <c r="C63" s="19">
        <v>45078</v>
      </c>
      <c r="D63" s="52">
        <v>0</v>
      </c>
      <c r="E63" s="118"/>
      <c r="F63" s="70"/>
      <c r="G63" s="70"/>
    </row>
    <row r="64" spans="2:7" x14ac:dyDescent="0.2">
      <c r="C64" s="53" t="s">
        <v>57</v>
      </c>
      <c r="D64" s="39">
        <f>SUM(D58:D63)</f>
        <v>0</v>
      </c>
      <c r="E64" s="20"/>
      <c r="F64" s="70"/>
      <c r="G64" s="70"/>
    </row>
  </sheetData>
  <mergeCells count="3">
    <mergeCell ref="B4:G5"/>
    <mergeCell ref="C12:G12"/>
    <mergeCell ref="I4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6"/>
  <sheetViews>
    <sheetView workbookViewId="0">
      <selection activeCell="E34" sqref="E34"/>
    </sheetView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A4" s="54"/>
      <c r="B4" s="120" t="s">
        <v>97</v>
      </c>
      <c r="C4" s="121"/>
      <c r="D4" s="121"/>
      <c r="E4" s="121"/>
      <c r="F4" s="121"/>
      <c r="G4" s="122"/>
      <c r="I4" s="129" t="s">
        <v>99</v>
      </c>
      <c r="J4" s="130"/>
      <c r="K4" s="130"/>
      <c r="L4" s="130"/>
      <c r="M4" s="131"/>
    </row>
    <row r="5" spans="1:13" ht="14.25" customHeight="1" x14ac:dyDescent="0.2">
      <c r="A5" s="54"/>
      <c r="B5" s="123"/>
      <c r="C5" s="124"/>
      <c r="D5" s="124"/>
      <c r="E5" s="124"/>
      <c r="F5" s="124"/>
      <c r="G5" s="125"/>
      <c r="I5" s="132"/>
      <c r="J5" s="133"/>
      <c r="K5" s="133"/>
      <c r="L5" s="133"/>
      <c r="M5" s="134"/>
    </row>
    <row r="6" spans="1:13" ht="15" x14ac:dyDescent="0.2">
      <c r="A6" s="54"/>
      <c r="I6" s="73"/>
      <c r="J6" s="73"/>
      <c r="K6" s="73"/>
      <c r="L6" s="73"/>
      <c r="M6" s="73"/>
    </row>
    <row r="7" spans="1:13" x14ac:dyDescent="0.2">
      <c r="A7" s="54"/>
      <c r="B7" s="5"/>
      <c r="C7" s="5"/>
      <c r="D7" s="5"/>
      <c r="E7" s="6" t="s">
        <v>7</v>
      </c>
      <c r="F7" s="5"/>
      <c r="G7" s="5"/>
    </row>
    <row r="8" spans="1:13" x14ac:dyDescent="0.2">
      <c r="A8" s="54"/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A9" s="54"/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x14ac:dyDescent="0.2">
      <c r="A10" s="54"/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13" ht="15.75" x14ac:dyDescent="0.25">
      <c r="A11" s="54"/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74" t="s">
        <v>104</v>
      </c>
      <c r="J11" s="73"/>
      <c r="K11" s="73"/>
      <c r="L11" s="73"/>
      <c r="M11" s="73"/>
    </row>
    <row r="12" spans="1:13" ht="15" x14ac:dyDescent="0.2">
      <c r="A12" s="54"/>
      <c r="B12" s="6">
        <v>1</v>
      </c>
      <c r="C12" s="126" t="s">
        <v>22</v>
      </c>
      <c r="D12" s="127"/>
      <c r="E12" s="127"/>
      <c r="F12" s="127"/>
      <c r="G12" s="128"/>
      <c r="I12" s="73"/>
      <c r="J12" s="73"/>
      <c r="K12" s="73"/>
      <c r="L12" s="73"/>
      <c r="M12" s="73"/>
    </row>
    <row r="13" spans="1:13" x14ac:dyDescent="0.2">
      <c r="A13" s="54"/>
      <c r="B13" s="6" t="s">
        <v>23</v>
      </c>
      <c r="C13" s="12" t="s">
        <v>80</v>
      </c>
      <c r="D13" s="12"/>
      <c r="E13" s="12"/>
      <c r="F13" s="13"/>
      <c r="G13" s="14">
        <v>11503</v>
      </c>
      <c r="I13" s="75"/>
      <c r="J13" s="75"/>
      <c r="K13" s="76" t="s">
        <v>7</v>
      </c>
      <c r="L13" s="75"/>
      <c r="M13" s="75"/>
    </row>
    <row r="14" spans="1:13" x14ac:dyDescent="0.2">
      <c r="A14" s="54"/>
      <c r="B14" s="8" t="s">
        <v>24</v>
      </c>
      <c r="C14" s="12" t="s">
        <v>81</v>
      </c>
      <c r="D14" s="12"/>
      <c r="E14" s="12"/>
      <c r="F14" s="13"/>
      <c r="G14" s="56">
        <f>'A - 05-31-22'!G33</f>
        <v>-71053.040000000008</v>
      </c>
      <c r="I14" s="77"/>
      <c r="J14" s="78" t="s">
        <v>8</v>
      </c>
      <c r="K14" s="78" t="s">
        <v>9</v>
      </c>
      <c r="L14" s="77"/>
      <c r="M14" s="77"/>
    </row>
    <row r="15" spans="1:13" x14ac:dyDescent="0.2">
      <c r="A15" s="54"/>
      <c r="B15" s="8" t="s">
        <v>25</v>
      </c>
      <c r="C15" s="12" t="s">
        <v>86</v>
      </c>
      <c r="D15" s="12"/>
      <c r="E15" s="12"/>
      <c r="F15" s="13"/>
      <c r="G15" s="56">
        <f>'B - 11-30-22'!G35</f>
        <v>411868.44000000006</v>
      </c>
      <c r="I15" s="77"/>
      <c r="J15" s="78" t="s">
        <v>10</v>
      </c>
      <c r="K15" s="78" t="s">
        <v>11</v>
      </c>
      <c r="L15" s="78" t="s">
        <v>12</v>
      </c>
      <c r="M15" s="78" t="s">
        <v>13</v>
      </c>
    </row>
    <row r="16" spans="1:13" x14ac:dyDescent="0.2">
      <c r="A16" s="54"/>
      <c r="B16" s="8" t="s">
        <v>26</v>
      </c>
      <c r="C16" s="12" t="s">
        <v>89</v>
      </c>
      <c r="D16" s="12"/>
      <c r="E16" s="12"/>
      <c r="F16" s="15"/>
      <c r="G16" s="57">
        <f>'C - 05-31-23'!G37</f>
        <v>-32967.619999999937</v>
      </c>
      <c r="I16" s="79"/>
      <c r="J16" s="79" t="s">
        <v>14</v>
      </c>
      <c r="K16" s="79" t="s">
        <v>14</v>
      </c>
      <c r="L16" s="79" t="s">
        <v>15</v>
      </c>
      <c r="M16" s="79" t="s">
        <v>15</v>
      </c>
    </row>
    <row r="17" spans="1:13" x14ac:dyDescent="0.2">
      <c r="A17" s="54"/>
      <c r="B17" s="9" t="s">
        <v>58</v>
      </c>
      <c r="C17" s="12" t="s">
        <v>27</v>
      </c>
      <c r="D17" s="12"/>
      <c r="E17" s="12"/>
      <c r="F17" s="15"/>
      <c r="G17" s="16">
        <f>G13+G14+G15+G16</f>
        <v>319350.78000000009</v>
      </c>
      <c r="I17" s="80" t="s">
        <v>17</v>
      </c>
      <c r="J17" s="81" t="s">
        <v>101</v>
      </c>
      <c r="K17" s="81" t="s">
        <v>18</v>
      </c>
      <c r="L17" s="81" t="s">
        <v>19</v>
      </c>
      <c r="M17" s="81" t="s">
        <v>20</v>
      </c>
    </row>
    <row r="18" spans="1:13" x14ac:dyDescent="0.2">
      <c r="A18" s="54"/>
      <c r="B18" s="8">
        <v>2</v>
      </c>
      <c r="C18" s="17">
        <v>45108</v>
      </c>
      <c r="D18" s="57">
        <f>511925-74</f>
        <v>511851</v>
      </c>
      <c r="E18" s="58">
        <f>508878.14</f>
        <v>508878.14</v>
      </c>
      <c r="F18" s="18">
        <f t="shared" ref="F18:F25" si="0">D18-E18</f>
        <v>2972.859999999986</v>
      </c>
      <c r="G18" s="16">
        <f t="shared" ref="G18:G25" si="1">G17+F18</f>
        <v>322323.64000000007</v>
      </c>
      <c r="I18" s="82">
        <v>45108</v>
      </c>
      <c r="J18" s="83">
        <f>44344+68618</f>
        <v>112962</v>
      </c>
      <c r="K18" s="84">
        <v>112962</v>
      </c>
      <c r="L18" s="85">
        <f t="shared" ref="L18:L25" si="2">J18-K18</f>
        <v>0</v>
      </c>
      <c r="M18" s="86">
        <f>L18</f>
        <v>0</v>
      </c>
    </row>
    <row r="19" spans="1:13" x14ac:dyDescent="0.2">
      <c r="A19" s="54"/>
      <c r="B19" s="8">
        <v>3</v>
      </c>
      <c r="C19" s="19">
        <v>45139</v>
      </c>
      <c r="D19" s="59">
        <f>538190-0</f>
        <v>538190</v>
      </c>
      <c r="E19" s="60">
        <f>592726.59</f>
        <v>592726.59</v>
      </c>
      <c r="F19" s="20">
        <f t="shared" si="0"/>
        <v>-54536.589999999967</v>
      </c>
      <c r="G19" s="21">
        <f t="shared" si="1"/>
        <v>267787.0500000001</v>
      </c>
      <c r="I19" s="87">
        <v>45139</v>
      </c>
      <c r="J19" s="83">
        <f>56388+79780</f>
        <v>136168</v>
      </c>
      <c r="K19" s="104">
        <v>136168</v>
      </c>
      <c r="L19" s="86">
        <f t="shared" si="2"/>
        <v>0</v>
      </c>
      <c r="M19" s="86">
        <f>M18+L19</f>
        <v>0</v>
      </c>
    </row>
    <row r="20" spans="1:13" x14ac:dyDescent="0.2">
      <c r="A20" s="54"/>
      <c r="B20" s="8">
        <v>4</v>
      </c>
      <c r="C20" s="19">
        <v>45170</v>
      </c>
      <c r="D20" s="59">
        <f>343848-0</f>
        <v>343848</v>
      </c>
      <c r="E20" s="60">
        <v>443222.05</v>
      </c>
      <c r="F20" s="20">
        <f t="shared" si="0"/>
        <v>-99374.049999999988</v>
      </c>
      <c r="G20" s="21">
        <f t="shared" si="1"/>
        <v>168413.00000000012</v>
      </c>
      <c r="I20" s="87">
        <v>45170</v>
      </c>
      <c r="J20" s="83">
        <f>43152+57532</f>
        <v>100684</v>
      </c>
      <c r="K20" s="102">
        <v>100684</v>
      </c>
      <c r="L20" s="86">
        <f t="shared" si="2"/>
        <v>0</v>
      </c>
      <c r="M20" s="86">
        <f t="shared" ref="M20:M23" si="3">M19+L20</f>
        <v>0</v>
      </c>
    </row>
    <row r="21" spans="1:13" x14ac:dyDescent="0.2">
      <c r="A21" s="54"/>
      <c r="B21" s="8">
        <v>5</v>
      </c>
      <c r="C21" s="19">
        <v>45200</v>
      </c>
      <c r="D21" s="59">
        <f>310700-60</f>
        <v>310640</v>
      </c>
      <c r="E21" s="60">
        <v>291747.8</v>
      </c>
      <c r="F21" s="20">
        <f t="shared" si="0"/>
        <v>18892.200000000012</v>
      </c>
      <c r="G21" s="21">
        <f t="shared" si="1"/>
        <v>187305.20000000013</v>
      </c>
      <c r="I21" s="87">
        <v>45200</v>
      </c>
      <c r="J21" s="83">
        <f>43584+63952</f>
        <v>107536</v>
      </c>
      <c r="K21" s="102">
        <v>107536</v>
      </c>
      <c r="L21" s="86">
        <f t="shared" si="2"/>
        <v>0</v>
      </c>
      <c r="M21" s="86">
        <f t="shared" si="3"/>
        <v>0</v>
      </c>
    </row>
    <row r="22" spans="1:13" x14ac:dyDescent="0.2">
      <c r="A22" s="54"/>
      <c r="B22" s="8">
        <v>6</v>
      </c>
      <c r="C22" s="19">
        <v>45231</v>
      </c>
      <c r="D22" s="59">
        <f>475671-73</f>
        <v>475598</v>
      </c>
      <c r="E22" s="60">
        <v>392809.67</v>
      </c>
      <c r="F22" s="20">
        <f t="shared" si="0"/>
        <v>82788.330000000016</v>
      </c>
      <c r="G22" s="21">
        <f t="shared" si="1"/>
        <v>270093.53000000014</v>
      </c>
      <c r="I22" s="87">
        <v>45231</v>
      </c>
      <c r="J22" s="83">
        <f>48262+71664</f>
        <v>119926</v>
      </c>
      <c r="K22" s="105">
        <v>119926</v>
      </c>
      <c r="L22" s="86">
        <f t="shared" si="2"/>
        <v>0</v>
      </c>
      <c r="M22" s="86">
        <f t="shared" si="3"/>
        <v>0</v>
      </c>
    </row>
    <row r="23" spans="1:13" x14ac:dyDescent="0.2">
      <c r="A23" s="54"/>
      <c r="B23" s="8">
        <v>7</v>
      </c>
      <c r="C23" s="19">
        <v>45261</v>
      </c>
      <c r="D23" s="59">
        <f>526323-77</f>
        <v>526246</v>
      </c>
      <c r="E23" s="60">
        <v>481118.17</v>
      </c>
      <c r="F23" s="22">
        <f t="shared" si="0"/>
        <v>45127.830000000016</v>
      </c>
      <c r="G23" s="23">
        <f t="shared" si="1"/>
        <v>315221.36000000016</v>
      </c>
      <c r="I23" s="90">
        <v>45261</v>
      </c>
      <c r="J23" s="94">
        <f>50550+73074</f>
        <v>123624</v>
      </c>
      <c r="K23" s="94">
        <v>123624</v>
      </c>
      <c r="L23" s="92">
        <f t="shared" si="2"/>
        <v>0</v>
      </c>
      <c r="M23" s="92">
        <f t="shared" si="3"/>
        <v>0</v>
      </c>
    </row>
    <row r="24" spans="1:13" x14ac:dyDescent="0.2">
      <c r="A24" s="54"/>
      <c r="B24" s="24" t="s">
        <v>28</v>
      </c>
      <c r="C24" s="17">
        <v>45292</v>
      </c>
      <c r="D24" s="57">
        <f>662038-71</f>
        <v>661967</v>
      </c>
      <c r="E24" s="58">
        <v>640961.35</v>
      </c>
      <c r="F24" s="18">
        <f t="shared" si="0"/>
        <v>21005.650000000023</v>
      </c>
      <c r="G24" s="16">
        <f t="shared" si="1"/>
        <v>336227.01000000018</v>
      </c>
      <c r="I24" s="87">
        <v>45292</v>
      </c>
      <c r="J24" s="93">
        <f>39175+54696</f>
        <v>93871</v>
      </c>
      <c r="K24" s="93">
        <v>93871</v>
      </c>
      <c r="L24" s="86">
        <f t="shared" si="2"/>
        <v>0</v>
      </c>
      <c r="M24" s="86">
        <f>M23+L24</f>
        <v>0</v>
      </c>
    </row>
    <row r="25" spans="1:13" x14ac:dyDescent="0.2">
      <c r="A25" s="54"/>
      <c r="B25" s="25" t="s">
        <v>29</v>
      </c>
      <c r="C25" s="26">
        <v>45323</v>
      </c>
      <c r="D25" s="61">
        <f>466949-71</f>
        <v>466878</v>
      </c>
      <c r="E25" s="62">
        <v>432467.97</v>
      </c>
      <c r="F25" s="22">
        <f t="shared" si="0"/>
        <v>34410.030000000028</v>
      </c>
      <c r="G25" s="23">
        <f t="shared" si="1"/>
        <v>370637.04000000021</v>
      </c>
      <c r="I25" s="90">
        <v>45323</v>
      </c>
      <c r="J25" s="94">
        <f>47317+68481</f>
        <v>115798</v>
      </c>
      <c r="K25" s="103">
        <v>115798</v>
      </c>
      <c r="L25" s="92">
        <f t="shared" si="2"/>
        <v>0</v>
      </c>
      <c r="M25" s="92">
        <f>M24+L25</f>
        <v>0</v>
      </c>
    </row>
    <row r="26" spans="1:13" x14ac:dyDescent="0.2">
      <c r="A26" s="54"/>
      <c r="B26" s="9"/>
      <c r="C26" s="27" t="s">
        <v>74</v>
      </c>
      <c r="D26" s="28"/>
      <c r="E26" s="28"/>
      <c r="F26" s="28"/>
      <c r="G26" s="29"/>
      <c r="I26" s="95"/>
      <c r="J26" s="95"/>
      <c r="K26" s="95"/>
      <c r="L26" s="95"/>
      <c r="M26" s="95"/>
    </row>
    <row r="27" spans="1:13" x14ac:dyDescent="0.2">
      <c r="A27" s="54"/>
      <c r="B27" s="6"/>
      <c r="C27" s="5"/>
      <c r="D27" s="5"/>
      <c r="E27" s="5"/>
      <c r="F27" s="5"/>
      <c r="G27" s="16"/>
      <c r="I27" s="96" t="s">
        <v>102</v>
      </c>
      <c r="J27" s="97"/>
      <c r="K27" s="97"/>
      <c r="L27" s="98"/>
      <c r="M27" s="99">
        <f>M23</f>
        <v>0</v>
      </c>
    </row>
    <row r="28" spans="1:13" x14ac:dyDescent="0.2">
      <c r="A28" s="54"/>
      <c r="B28" s="8"/>
      <c r="C28" s="7"/>
      <c r="D28" s="8" t="s">
        <v>30</v>
      </c>
      <c r="E28" s="8" t="s">
        <v>31</v>
      </c>
      <c r="F28" s="7"/>
      <c r="G28" s="21"/>
      <c r="I28" s="95"/>
      <c r="J28" s="95"/>
      <c r="K28" s="95"/>
      <c r="L28" s="95"/>
      <c r="M28" s="100"/>
    </row>
    <row r="29" spans="1:13" x14ac:dyDescent="0.2">
      <c r="A29" s="54"/>
      <c r="B29" s="8">
        <v>8</v>
      </c>
      <c r="C29" s="7"/>
      <c r="D29" s="8" t="s">
        <v>32</v>
      </c>
      <c r="E29" s="8" t="s">
        <v>33</v>
      </c>
      <c r="F29" s="7"/>
      <c r="G29" s="30" t="s">
        <v>30</v>
      </c>
      <c r="I29" s="96" t="s">
        <v>103</v>
      </c>
      <c r="J29" s="97"/>
      <c r="K29" s="97"/>
      <c r="L29" s="98"/>
      <c r="M29" s="99">
        <f>M27/6</f>
        <v>0</v>
      </c>
    </row>
    <row r="30" spans="1:13" x14ac:dyDescent="0.2">
      <c r="A30" s="54"/>
      <c r="B30" s="8"/>
      <c r="C30" s="7"/>
      <c r="D30" s="8" t="s">
        <v>34</v>
      </c>
      <c r="E30" s="8" t="s">
        <v>35</v>
      </c>
      <c r="F30" s="7"/>
      <c r="G30" s="30" t="s">
        <v>36</v>
      </c>
    </row>
    <row r="31" spans="1:13" x14ac:dyDescent="0.2">
      <c r="A31" s="54"/>
      <c r="B31" s="8"/>
      <c r="C31" s="7"/>
      <c r="D31" s="8" t="s">
        <v>37</v>
      </c>
      <c r="E31" s="8" t="s">
        <v>38</v>
      </c>
      <c r="F31" s="7"/>
      <c r="G31" s="30" t="s">
        <v>39</v>
      </c>
    </row>
    <row r="32" spans="1:13" x14ac:dyDescent="0.2">
      <c r="A32" s="54"/>
      <c r="B32" s="9"/>
      <c r="C32" s="7"/>
      <c r="D32" s="8" t="s">
        <v>40</v>
      </c>
      <c r="E32" s="8" t="s">
        <v>41</v>
      </c>
      <c r="F32" s="7"/>
      <c r="G32" s="30" t="s">
        <v>42</v>
      </c>
    </row>
    <row r="33" spans="1:7" x14ac:dyDescent="0.2">
      <c r="A33" s="54"/>
      <c r="B33" s="24" t="s">
        <v>43</v>
      </c>
      <c r="C33" s="66" t="s">
        <v>90</v>
      </c>
      <c r="D33" s="67">
        <f>-G13</f>
        <v>-11503</v>
      </c>
      <c r="E33" s="67">
        <f>D66</f>
        <v>0</v>
      </c>
      <c r="F33" s="43"/>
      <c r="G33" s="68">
        <f t="shared" ref="G33:G36" si="4">D33+E33</f>
        <v>-11503</v>
      </c>
    </row>
    <row r="34" spans="1:7" x14ac:dyDescent="0.2">
      <c r="A34" s="54"/>
      <c r="B34" s="31" t="s">
        <v>44</v>
      </c>
      <c r="C34" s="69" t="s">
        <v>84</v>
      </c>
      <c r="D34" s="70">
        <f>-G14</f>
        <v>71053.040000000008</v>
      </c>
      <c r="E34" s="70">
        <v>0</v>
      </c>
      <c r="F34" s="44"/>
      <c r="G34" s="45">
        <f t="shared" si="4"/>
        <v>71053.040000000008</v>
      </c>
    </row>
    <row r="35" spans="1:7" x14ac:dyDescent="0.2">
      <c r="A35" s="54"/>
      <c r="B35" s="31" t="s">
        <v>45</v>
      </c>
      <c r="C35" s="69" t="s">
        <v>87</v>
      </c>
      <c r="D35" s="70">
        <f>-G15</f>
        <v>-411868.44000000006</v>
      </c>
      <c r="E35" s="70">
        <v>0</v>
      </c>
      <c r="F35" s="44"/>
      <c r="G35" s="45">
        <f t="shared" si="4"/>
        <v>-411868.44000000006</v>
      </c>
    </row>
    <row r="36" spans="1:7" x14ac:dyDescent="0.2">
      <c r="A36" s="54"/>
      <c r="B36" s="31" t="s">
        <v>46</v>
      </c>
      <c r="C36" s="71" t="s">
        <v>91</v>
      </c>
      <c r="D36" s="72">
        <f>-G16</f>
        <v>32967.619999999937</v>
      </c>
      <c r="E36" s="72">
        <v>0</v>
      </c>
      <c r="F36" s="48"/>
      <c r="G36" s="46">
        <f t="shared" si="4"/>
        <v>32967.619999999937</v>
      </c>
    </row>
    <row r="37" spans="1:7" x14ac:dyDescent="0.2">
      <c r="A37" s="54"/>
      <c r="B37" s="9" t="s">
        <v>59</v>
      </c>
      <c r="C37" s="33"/>
      <c r="D37" s="34"/>
      <c r="E37" s="34"/>
      <c r="F37" s="35" t="s">
        <v>47</v>
      </c>
      <c r="G37" s="23">
        <f>G33+G34+G35+G36</f>
        <v>-319350.78000000009</v>
      </c>
    </row>
    <row r="38" spans="1:7" x14ac:dyDescent="0.2">
      <c r="A38" s="54"/>
      <c r="B38" s="36"/>
      <c r="G38" s="37"/>
    </row>
    <row r="39" spans="1:7" x14ac:dyDescent="0.2">
      <c r="A39" s="54"/>
      <c r="B39" s="10">
        <v>9</v>
      </c>
      <c r="C39" s="38" t="s">
        <v>60</v>
      </c>
      <c r="D39" s="12"/>
      <c r="E39" s="12"/>
      <c r="F39" s="13"/>
      <c r="G39" s="39">
        <f>G23+G37</f>
        <v>-4129.4199999999255</v>
      </c>
    </row>
    <row r="40" spans="1:7" x14ac:dyDescent="0.2">
      <c r="A40" s="54"/>
      <c r="B40" s="36"/>
      <c r="G40" s="37"/>
    </row>
    <row r="41" spans="1:7" x14ac:dyDescent="0.2">
      <c r="A41" s="54"/>
      <c r="B41" s="10">
        <v>10</v>
      </c>
      <c r="C41" s="38" t="s">
        <v>62</v>
      </c>
      <c r="D41" s="12"/>
      <c r="E41" s="12"/>
      <c r="F41" s="13"/>
      <c r="G41" s="39">
        <f>G39/6</f>
        <v>-688.23666666665429</v>
      </c>
    </row>
    <row r="42" spans="1:7" x14ac:dyDescent="0.2">
      <c r="A42" s="54"/>
    </row>
    <row r="43" spans="1:7" x14ac:dyDescent="0.2">
      <c r="A43" s="54"/>
      <c r="B43" s="5"/>
      <c r="C43" s="40" t="s">
        <v>48</v>
      </c>
      <c r="D43" s="41"/>
      <c r="E43" s="41"/>
      <c r="F43" s="41"/>
      <c r="G43" s="42"/>
    </row>
    <row r="44" spans="1:7" x14ac:dyDescent="0.2">
      <c r="A44" s="54"/>
      <c r="B44" s="5"/>
      <c r="C44" s="43"/>
      <c r="D44" s="43"/>
      <c r="E44" s="43"/>
      <c r="F44" s="43"/>
      <c r="G44" s="15"/>
    </row>
    <row r="45" spans="1:7" x14ac:dyDescent="0.2">
      <c r="A45" s="54"/>
      <c r="B45" s="8">
        <v>11</v>
      </c>
      <c r="C45" s="44" t="s">
        <v>49</v>
      </c>
      <c r="D45" s="44"/>
      <c r="E45" s="44"/>
      <c r="F45" s="44"/>
      <c r="G45" s="45">
        <f>G17</f>
        <v>319350.78000000009</v>
      </c>
    </row>
    <row r="46" spans="1:7" x14ac:dyDescent="0.2">
      <c r="A46" s="54"/>
      <c r="B46" s="8">
        <v>12</v>
      </c>
      <c r="C46" s="44" t="s">
        <v>50</v>
      </c>
      <c r="D46" s="44"/>
      <c r="E46" s="44"/>
      <c r="F46" s="44"/>
      <c r="G46" s="46">
        <f>G37</f>
        <v>-319350.78000000009</v>
      </c>
    </row>
    <row r="47" spans="1:7" x14ac:dyDescent="0.2">
      <c r="A47" s="54"/>
      <c r="B47" s="8"/>
      <c r="C47" s="44"/>
      <c r="D47" s="44"/>
      <c r="E47" s="44"/>
      <c r="F47" s="44"/>
      <c r="G47" s="45"/>
    </row>
    <row r="48" spans="1:7" ht="15" thickBot="1" x14ac:dyDescent="0.25">
      <c r="A48" s="54"/>
      <c r="B48" s="8">
        <v>13</v>
      </c>
      <c r="C48" s="44" t="s">
        <v>51</v>
      </c>
      <c r="D48" s="44"/>
      <c r="E48" s="44"/>
      <c r="F48" s="44"/>
      <c r="G48" s="47">
        <f>G45+G46</f>
        <v>0</v>
      </c>
    </row>
    <row r="49" spans="1:7" ht="15" thickTop="1" x14ac:dyDescent="0.2">
      <c r="A49" s="54"/>
      <c r="B49" s="8"/>
      <c r="C49" s="44"/>
      <c r="D49" s="44"/>
      <c r="E49" s="44"/>
      <c r="F49" s="44"/>
      <c r="G49" s="45"/>
    </row>
    <row r="50" spans="1:7" x14ac:dyDescent="0.2">
      <c r="A50" s="54"/>
      <c r="B50" s="8">
        <v>14</v>
      </c>
      <c r="C50" s="44" t="s">
        <v>52</v>
      </c>
      <c r="D50" s="44"/>
      <c r="E50" s="44"/>
      <c r="F50" s="44"/>
      <c r="G50" s="45">
        <f>G39</f>
        <v>-4129.4199999999255</v>
      </c>
    </row>
    <row r="51" spans="1:7" x14ac:dyDescent="0.2">
      <c r="A51" s="54"/>
      <c r="B51" s="8"/>
      <c r="C51" s="44"/>
      <c r="D51" s="44"/>
      <c r="E51" s="44"/>
      <c r="F51" s="44"/>
      <c r="G51" s="45"/>
    </row>
    <row r="52" spans="1:7" x14ac:dyDescent="0.2">
      <c r="A52" s="54"/>
      <c r="B52" s="8">
        <v>15</v>
      </c>
      <c r="C52" s="44" t="s">
        <v>53</v>
      </c>
      <c r="D52" s="44"/>
      <c r="E52" s="44"/>
      <c r="F52" s="44"/>
      <c r="G52" s="46">
        <f>SUM(F18:F23)</f>
        <v>-4129.4199999999255</v>
      </c>
    </row>
    <row r="53" spans="1:7" x14ac:dyDescent="0.2">
      <c r="A53" s="54"/>
      <c r="B53" s="8"/>
      <c r="C53" s="44"/>
      <c r="D53" s="44"/>
      <c r="E53" s="44"/>
      <c r="F53" s="44"/>
      <c r="G53" s="45"/>
    </row>
    <row r="54" spans="1:7" ht="15" thickBot="1" x14ac:dyDescent="0.25">
      <c r="A54" s="54"/>
      <c r="B54" s="8">
        <v>16</v>
      </c>
      <c r="C54" s="44" t="s">
        <v>54</v>
      </c>
      <c r="D54" s="44"/>
      <c r="E54" s="44"/>
      <c r="F54" s="44"/>
      <c r="G54" s="47">
        <f>G50-G52</f>
        <v>0</v>
      </c>
    </row>
    <row r="55" spans="1:7" ht="15" thickTop="1" x14ac:dyDescent="0.2">
      <c r="A55" s="54"/>
      <c r="B55" s="32"/>
      <c r="C55" s="48"/>
      <c r="D55" s="48"/>
      <c r="E55" s="48"/>
      <c r="F55" s="48"/>
      <c r="G55" s="49"/>
    </row>
    <row r="56" spans="1:7" x14ac:dyDescent="0.2">
      <c r="A56" s="54"/>
    </row>
    <row r="57" spans="1:7" x14ac:dyDescent="0.2">
      <c r="A57" s="54"/>
      <c r="B57" t="s">
        <v>55</v>
      </c>
    </row>
    <row r="58" spans="1:7" x14ac:dyDescent="0.2">
      <c r="A58" s="54"/>
      <c r="B58" s="36"/>
      <c r="C58" s="5"/>
      <c r="D58" s="6" t="s">
        <v>56</v>
      </c>
      <c r="E58" s="31"/>
      <c r="F58" s="117"/>
      <c r="G58" s="117"/>
    </row>
    <row r="59" spans="1:7" x14ac:dyDescent="0.2">
      <c r="B59" s="36"/>
      <c r="C59" s="9" t="s">
        <v>17</v>
      </c>
      <c r="D59" s="9" t="s">
        <v>105</v>
      </c>
      <c r="E59" s="31"/>
      <c r="F59" s="117"/>
      <c r="G59" s="117"/>
    </row>
    <row r="60" spans="1:7" x14ac:dyDescent="0.2">
      <c r="C60" s="17">
        <v>45108</v>
      </c>
      <c r="D60" s="50">
        <v>0</v>
      </c>
      <c r="E60" s="118"/>
      <c r="F60" s="70"/>
      <c r="G60" s="70"/>
    </row>
    <row r="61" spans="1:7" x14ac:dyDescent="0.2">
      <c r="C61" s="19">
        <v>45139</v>
      </c>
      <c r="D61" s="51">
        <v>0</v>
      </c>
      <c r="E61" s="118"/>
      <c r="F61" s="70"/>
      <c r="G61" s="70"/>
    </row>
    <row r="62" spans="1:7" x14ac:dyDescent="0.2">
      <c r="C62" s="19">
        <v>45170</v>
      </c>
      <c r="D62" s="51">
        <v>0</v>
      </c>
      <c r="E62" s="118"/>
      <c r="F62" s="70"/>
      <c r="G62" s="70"/>
    </row>
    <row r="63" spans="1:7" x14ac:dyDescent="0.2">
      <c r="C63" s="19">
        <v>45200</v>
      </c>
      <c r="D63" s="51">
        <v>0</v>
      </c>
      <c r="E63" s="118"/>
      <c r="F63" s="70"/>
      <c r="G63" s="70"/>
    </row>
    <row r="64" spans="1:7" x14ac:dyDescent="0.2">
      <c r="C64" s="19">
        <v>45231</v>
      </c>
      <c r="D64" s="51">
        <v>0</v>
      </c>
      <c r="E64" s="118"/>
      <c r="F64" s="70"/>
      <c r="G64" s="70"/>
    </row>
    <row r="65" spans="3:7" x14ac:dyDescent="0.2">
      <c r="C65" s="19">
        <v>45261</v>
      </c>
      <c r="D65" s="52">
        <v>0</v>
      </c>
      <c r="E65" s="118"/>
      <c r="F65" s="70"/>
      <c r="G65" s="70"/>
    </row>
    <row r="66" spans="3:7" x14ac:dyDescent="0.2">
      <c r="C66" s="53" t="s">
        <v>57</v>
      </c>
      <c r="D66" s="39">
        <f>SUM(D60:D65)</f>
        <v>0</v>
      </c>
      <c r="E66" s="20"/>
      <c r="F66" s="70"/>
      <c r="G66" s="70"/>
    </row>
  </sheetData>
  <mergeCells count="3">
    <mergeCell ref="B4:G5"/>
    <mergeCell ref="C12:G12"/>
    <mergeCell ref="I4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7"/>
  <sheetViews>
    <sheetView workbookViewId="0">
      <selection activeCell="E34" sqref="E34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B4" s="120" t="s">
        <v>97</v>
      </c>
      <c r="C4" s="121"/>
      <c r="D4" s="121"/>
      <c r="E4" s="121"/>
      <c r="F4" s="121"/>
      <c r="G4" s="122"/>
      <c r="I4" s="129" t="s">
        <v>99</v>
      </c>
      <c r="J4" s="130"/>
      <c r="K4" s="130"/>
      <c r="L4" s="130"/>
      <c r="M4" s="131"/>
    </row>
    <row r="5" spans="1:13" x14ac:dyDescent="0.2">
      <c r="B5" s="123"/>
      <c r="C5" s="124"/>
      <c r="D5" s="124"/>
      <c r="E5" s="124"/>
      <c r="F5" s="124"/>
      <c r="G5" s="125"/>
      <c r="I5" s="132"/>
      <c r="J5" s="133"/>
      <c r="K5" s="133"/>
      <c r="L5" s="133"/>
      <c r="M5" s="134"/>
    </row>
    <row r="6" spans="1:13" ht="15" x14ac:dyDescent="0.2">
      <c r="I6" s="73"/>
      <c r="J6" s="73"/>
      <c r="K6" s="73"/>
      <c r="L6" s="73"/>
      <c r="M6" s="73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13" ht="15.75" x14ac:dyDescent="0.25">
      <c r="B12" s="6">
        <v>1</v>
      </c>
      <c r="C12" s="126" t="s">
        <v>22</v>
      </c>
      <c r="D12" s="127"/>
      <c r="E12" s="127"/>
      <c r="F12" s="127"/>
      <c r="G12" s="128"/>
      <c r="I12" s="74" t="s">
        <v>104</v>
      </c>
      <c r="J12" s="73"/>
      <c r="K12" s="73"/>
      <c r="L12" s="73"/>
      <c r="M12" s="73"/>
    </row>
    <row r="13" spans="1:13" ht="15" x14ac:dyDescent="0.2">
      <c r="B13" s="6" t="s">
        <v>23</v>
      </c>
      <c r="C13" s="12" t="s">
        <v>80</v>
      </c>
      <c r="D13" s="12"/>
      <c r="E13" s="12"/>
      <c r="F13" s="13"/>
      <c r="G13" s="14">
        <v>11503</v>
      </c>
      <c r="I13" s="73"/>
      <c r="J13" s="73"/>
      <c r="K13" s="73"/>
      <c r="L13" s="73"/>
      <c r="M13" s="73"/>
    </row>
    <row r="14" spans="1:13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-71053.040000000008</v>
      </c>
      <c r="I14" s="75"/>
      <c r="J14" s="75"/>
      <c r="K14" s="76" t="s">
        <v>7</v>
      </c>
      <c r="L14" s="75"/>
      <c r="M14" s="75"/>
    </row>
    <row r="15" spans="1:13" x14ac:dyDescent="0.2">
      <c r="B15" s="8" t="s">
        <v>25</v>
      </c>
      <c r="C15" s="12" t="s">
        <v>86</v>
      </c>
      <c r="D15" s="12"/>
      <c r="E15" s="12"/>
      <c r="F15" s="13"/>
      <c r="G15" s="56">
        <f>'B - 11-30-22'!G35</f>
        <v>411868.44000000006</v>
      </c>
      <c r="I15" s="77"/>
      <c r="J15" s="78" t="s">
        <v>8</v>
      </c>
      <c r="K15" s="78" t="s">
        <v>9</v>
      </c>
      <c r="L15" s="77"/>
      <c r="M15" s="77"/>
    </row>
    <row r="16" spans="1:13" x14ac:dyDescent="0.2">
      <c r="B16" s="8" t="s">
        <v>26</v>
      </c>
      <c r="C16" s="12" t="s">
        <v>89</v>
      </c>
      <c r="D16" s="12"/>
      <c r="E16" s="12"/>
      <c r="F16" s="15"/>
      <c r="G16" s="57">
        <f>'C - 05-31-23'!G37</f>
        <v>-32967.619999999937</v>
      </c>
      <c r="I16" s="77"/>
      <c r="J16" s="78" t="s">
        <v>10</v>
      </c>
      <c r="K16" s="78" t="s">
        <v>11</v>
      </c>
      <c r="L16" s="78" t="s">
        <v>12</v>
      </c>
      <c r="M16" s="78" t="s">
        <v>13</v>
      </c>
    </row>
    <row r="17" spans="2:13" x14ac:dyDescent="0.2">
      <c r="B17" s="8" t="s">
        <v>58</v>
      </c>
      <c r="C17" s="12" t="s">
        <v>92</v>
      </c>
      <c r="D17" s="12"/>
      <c r="E17" s="12"/>
      <c r="F17" s="15"/>
      <c r="G17" s="57">
        <f>'D - 11-30-23'!G39</f>
        <v>-4129.4199999999255</v>
      </c>
      <c r="I17" s="79"/>
      <c r="J17" s="79" t="s">
        <v>14</v>
      </c>
      <c r="K17" s="79" t="s">
        <v>14</v>
      </c>
      <c r="L17" s="79" t="s">
        <v>15</v>
      </c>
      <c r="M17" s="79" t="s">
        <v>15</v>
      </c>
    </row>
    <row r="18" spans="2:13" x14ac:dyDescent="0.2">
      <c r="B18" s="9" t="s">
        <v>64</v>
      </c>
      <c r="C18" s="12" t="s">
        <v>27</v>
      </c>
      <c r="D18" s="12"/>
      <c r="E18" s="12"/>
      <c r="F18" s="15"/>
      <c r="G18" s="16">
        <f>G13+G14+G15+G16+G17</f>
        <v>315221.36000000016</v>
      </c>
      <c r="I18" s="80" t="s">
        <v>17</v>
      </c>
      <c r="J18" s="81" t="s">
        <v>101</v>
      </c>
      <c r="K18" s="81" t="s">
        <v>18</v>
      </c>
      <c r="L18" s="81" t="s">
        <v>19</v>
      </c>
      <c r="M18" s="81" t="s">
        <v>20</v>
      </c>
    </row>
    <row r="19" spans="2:13" x14ac:dyDescent="0.2">
      <c r="B19" s="8">
        <v>2</v>
      </c>
      <c r="C19" s="17">
        <v>45292</v>
      </c>
      <c r="D19" s="57">
        <f>662038-71</f>
        <v>661967</v>
      </c>
      <c r="E19" s="58">
        <v>640961.35</v>
      </c>
      <c r="F19" s="18">
        <f t="shared" ref="F19:F26" si="0">D19-E19</f>
        <v>21005.650000000023</v>
      </c>
      <c r="G19" s="16">
        <f t="shared" ref="G19:G26" si="1">G18+F19</f>
        <v>336227.01000000018</v>
      </c>
      <c r="I19" s="17">
        <v>45292</v>
      </c>
      <c r="J19" s="83">
        <f>39175+54696</f>
        <v>93871</v>
      </c>
      <c r="K19" s="84">
        <v>93871</v>
      </c>
      <c r="L19" s="85">
        <f t="shared" ref="L19:L26" si="2">J19-K19</f>
        <v>0</v>
      </c>
      <c r="M19" s="86">
        <f>L19</f>
        <v>0</v>
      </c>
    </row>
    <row r="20" spans="2:13" x14ac:dyDescent="0.2">
      <c r="B20" s="8">
        <v>3</v>
      </c>
      <c r="C20" s="19">
        <v>45323</v>
      </c>
      <c r="D20" s="59">
        <f>466949-71</f>
        <v>466878</v>
      </c>
      <c r="E20" s="60">
        <v>432467.97</v>
      </c>
      <c r="F20" s="20">
        <f t="shared" si="0"/>
        <v>34410.030000000028</v>
      </c>
      <c r="G20" s="21">
        <f t="shared" si="1"/>
        <v>370637.04000000021</v>
      </c>
      <c r="I20" s="19">
        <v>45323</v>
      </c>
      <c r="J20" s="83">
        <f>47317+68481</f>
        <v>115798</v>
      </c>
      <c r="K20" s="104">
        <v>115798</v>
      </c>
      <c r="L20" s="86">
        <f t="shared" si="2"/>
        <v>0</v>
      </c>
      <c r="M20" s="86">
        <f>M19+L20</f>
        <v>0</v>
      </c>
    </row>
    <row r="21" spans="2:13" x14ac:dyDescent="0.2">
      <c r="B21" s="8">
        <v>4</v>
      </c>
      <c r="C21" s="19">
        <v>45352</v>
      </c>
      <c r="D21" s="59">
        <f>275918-50</f>
        <v>275868</v>
      </c>
      <c r="E21" s="60">
        <v>378059.7</v>
      </c>
      <c r="F21" s="20">
        <f t="shared" si="0"/>
        <v>-102191.70000000001</v>
      </c>
      <c r="G21" s="21">
        <f t="shared" si="1"/>
        <v>268445.3400000002</v>
      </c>
      <c r="I21" s="19">
        <v>45352</v>
      </c>
      <c r="J21" s="83">
        <f>31219+47808</f>
        <v>79027</v>
      </c>
      <c r="K21" s="102">
        <v>79027</v>
      </c>
      <c r="L21" s="86">
        <f t="shared" si="2"/>
        <v>0</v>
      </c>
      <c r="M21" s="86">
        <f t="shared" ref="M21:M24" si="3">M20+L21</f>
        <v>0</v>
      </c>
    </row>
    <row r="22" spans="2:13" x14ac:dyDescent="0.2">
      <c r="B22" s="8">
        <v>5</v>
      </c>
      <c r="C22" s="19">
        <v>45383</v>
      </c>
      <c r="D22" s="59">
        <f>280009-69</f>
        <v>279940</v>
      </c>
      <c r="E22" s="60">
        <v>199726.02</v>
      </c>
      <c r="F22" s="20">
        <f t="shared" si="0"/>
        <v>80213.98000000001</v>
      </c>
      <c r="G22" s="21">
        <f t="shared" si="1"/>
        <v>348659.32000000018</v>
      </c>
      <c r="I22" s="19">
        <v>45383</v>
      </c>
      <c r="J22" s="83">
        <f>37346+53574</f>
        <v>90920</v>
      </c>
      <c r="K22" s="102">
        <v>90920</v>
      </c>
      <c r="L22" s="86">
        <f t="shared" si="2"/>
        <v>0</v>
      </c>
      <c r="M22" s="86">
        <f t="shared" si="3"/>
        <v>0</v>
      </c>
    </row>
    <row r="23" spans="2:13" x14ac:dyDescent="0.2">
      <c r="B23" s="8">
        <v>6</v>
      </c>
      <c r="C23" s="19">
        <v>45413</v>
      </c>
      <c r="D23" s="59">
        <f>375495-84</f>
        <v>375411</v>
      </c>
      <c r="E23" s="60">
        <v>325603.65999999997</v>
      </c>
      <c r="F23" s="20">
        <f t="shared" si="0"/>
        <v>49807.340000000026</v>
      </c>
      <c r="G23" s="21">
        <f t="shared" si="1"/>
        <v>398466.66000000021</v>
      </c>
      <c r="I23" s="19">
        <v>45413</v>
      </c>
      <c r="J23" s="83">
        <f>51717+74885</f>
        <v>126602</v>
      </c>
      <c r="K23" s="105">
        <v>126602</v>
      </c>
      <c r="L23" s="86">
        <f t="shared" si="2"/>
        <v>0</v>
      </c>
      <c r="M23" s="86">
        <f t="shared" si="3"/>
        <v>0</v>
      </c>
    </row>
    <row r="24" spans="2:13" x14ac:dyDescent="0.2">
      <c r="B24" s="8">
        <v>7</v>
      </c>
      <c r="C24" s="19">
        <v>45444</v>
      </c>
      <c r="D24" s="59">
        <f>551566-103</f>
        <v>551463</v>
      </c>
      <c r="E24" s="60">
        <v>452110.66</v>
      </c>
      <c r="F24" s="22">
        <f t="shared" si="0"/>
        <v>99352.340000000026</v>
      </c>
      <c r="G24" s="23">
        <f t="shared" si="1"/>
        <v>497819.00000000023</v>
      </c>
      <c r="I24" s="26">
        <v>45444</v>
      </c>
      <c r="J24" s="94">
        <f>56230+78401</f>
        <v>134631</v>
      </c>
      <c r="K24" s="94">
        <v>134631</v>
      </c>
      <c r="L24" s="92">
        <f t="shared" si="2"/>
        <v>0</v>
      </c>
      <c r="M24" s="92">
        <f t="shared" si="3"/>
        <v>0</v>
      </c>
    </row>
    <row r="25" spans="2:13" x14ac:dyDescent="0.2">
      <c r="B25" s="24" t="s">
        <v>28</v>
      </c>
      <c r="C25" s="17">
        <v>45474</v>
      </c>
      <c r="D25" s="57">
        <f>534061-0</f>
        <v>534061</v>
      </c>
      <c r="E25" s="58">
        <v>629156.99</v>
      </c>
      <c r="F25" s="18">
        <f t="shared" si="0"/>
        <v>-95095.989999999991</v>
      </c>
      <c r="G25" s="16">
        <f t="shared" si="1"/>
        <v>402723.01000000024</v>
      </c>
      <c r="I25" s="87">
        <v>45474</v>
      </c>
      <c r="J25" s="93">
        <f>48185+68415</f>
        <v>116600</v>
      </c>
      <c r="K25" s="93">
        <v>116600</v>
      </c>
      <c r="L25" s="86">
        <f t="shared" si="2"/>
        <v>0</v>
      </c>
      <c r="M25" s="86">
        <f>M24+L25</f>
        <v>0</v>
      </c>
    </row>
    <row r="26" spans="2:13" x14ac:dyDescent="0.2">
      <c r="B26" s="25" t="s">
        <v>29</v>
      </c>
      <c r="C26" s="26">
        <v>45505</v>
      </c>
      <c r="D26" s="61">
        <f>454988-0</f>
        <v>454988</v>
      </c>
      <c r="E26" s="62">
        <v>505855.91</v>
      </c>
      <c r="F26" s="22">
        <f t="shared" si="0"/>
        <v>-50867.909999999974</v>
      </c>
      <c r="G26" s="23">
        <f t="shared" si="1"/>
        <v>351855.10000000027</v>
      </c>
      <c r="I26" s="90">
        <v>45505</v>
      </c>
      <c r="J26" s="94">
        <f>42409+60769</f>
        <v>103178</v>
      </c>
      <c r="K26" s="103">
        <v>103178</v>
      </c>
      <c r="L26" s="92">
        <f t="shared" si="2"/>
        <v>0</v>
      </c>
      <c r="M26" s="92">
        <f>M25+L26</f>
        <v>0</v>
      </c>
    </row>
    <row r="27" spans="2:13" x14ac:dyDescent="0.2">
      <c r="B27" s="9"/>
      <c r="C27" s="27" t="s">
        <v>76</v>
      </c>
      <c r="D27" s="28"/>
      <c r="E27" s="28"/>
      <c r="F27" s="28"/>
      <c r="G27" s="29"/>
      <c r="I27" s="95"/>
      <c r="J27" s="95"/>
      <c r="K27" s="95"/>
      <c r="L27" s="95"/>
      <c r="M27" s="95"/>
    </row>
    <row r="28" spans="2:13" x14ac:dyDescent="0.2">
      <c r="B28" s="6"/>
      <c r="C28" s="5"/>
      <c r="D28" s="5"/>
      <c r="E28" s="5"/>
      <c r="F28" s="5"/>
      <c r="G28" s="16"/>
      <c r="I28" s="96" t="s">
        <v>102</v>
      </c>
      <c r="J28" s="97"/>
      <c r="K28" s="97"/>
      <c r="L28" s="98"/>
      <c r="M28" s="99">
        <f>M24</f>
        <v>0</v>
      </c>
    </row>
    <row r="29" spans="2:13" x14ac:dyDescent="0.2">
      <c r="B29" s="8"/>
      <c r="C29" s="7"/>
      <c r="D29" s="8" t="s">
        <v>30</v>
      </c>
      <c r="E29" s="8" t="s">
        <v>31</v>
      </c>
      <c r="F29" s="7"/>
      <c r="G29" s="21"/>
      <c r="I29" s="95"/>
      <c r="J29" s="95"/>
      <c r="K29" s="95"/>
      <c r="L29" s="95"/>
      <c r="M29" s="100"/>
    </row>
    <row r="30" spans="2:13" x14ac:dyDescent="0.2">
      <c r="B30" s="8">
        <v>8</v>
      </c>
      <c r="C30" s="7"/>
      <c r="D30" s="8" t="s">
        <v>32</v>
      </c>
      <c r="E30" s="8" t="s">
        <v>33</v>
      </c>
      <c r="F30" s="7"/>
      <c r="G30" s="30" t="s">
        <v>30</v>
      </c>
      <c r="I30" s="96" t="s">
        <v>103</v>
      </c>
      <c r="J30" s="97"/>
      <c r="K30" s="97"/>
      <c r="L30" s="98"/>
      <c r="M30" s="99">
        <f>M28/6</f>
        <v>0</v>
      </c>
    </row>
    <row r="31" spans="2:13" x14ac:dyDescent="0.2">
      <c r="B31" s="8"/>
      <c r="C31" s="7"/>
      <c r="D31" s="8" t="s">
        <v>34</v>
      </c>
      <c r="E31" s="8" t="s">
        <v>35</v>
      </c>
      <c r="F31" s="7"/>
      <c r="G31" s="30" t="s">
        <v>36</v>
      </c>
    </row>
    <row r="32" spans="2:13" x14ac:dyDescent="0.2">
      <c r="B32" s="8"/>
      <c r="C32" s="7"/>
      <c r="D32" s="8" t="s">
        <v>37</v>
      </c>
      <c r="E32" s="8" t="s">
        <v>38</v>
      </c>
      <c r="F32" s="7"/>
      <c r="G32" s="30" t="s">
        <v>39</v>
      </c>
    </row>
    <row r="33" spans="2:7" x14ac:dyDescent="0.2">
      <c r="B33" s="9"/>
      <c r="C33" s="7"/>
      <c r="D33" s="8" t="s">
        <v>40</v>
      </c>
      <c r="E33" s="8" t="s">
        <v>41</v>
      </c>
      <c r="F33" s="7"/>
      <c r="G33" s="30" t="s">
        <v>42</v>
      </c>
    </row>
    <row r="34" spans="2:7" x14ac:dyDescent="0.2">
      <c r="B34" s="24" t="s">
        <v>43</v>
      </c>
      <c r="C34" s="5" t="s">
        <v>90</v>
      </c>
      <c r="D34" s="16">
        <f>-G13</f>
        <v>-11503</v>
      </c>
      <c r="E34" s="16">
        <f>D68</f>
        <v>7668</v>
      </c>
      <c r="F34" s="5"/>
      <c r="G34" s="16">
        <f t="shared" ref="G34:G38" si="4">D34+E34</f>
        <v>-3835</v>
      </c>
    </row>
    <row r="35" spans="2:7" x14ac:dyDescent="0.2">
      <c r="B35" s="31" t="s">
        <v>44</v>
      </c>
      <c r="C35" s="7" t="s">
        <v>84</v>
      </c>
      <c r="D35" s="21">
        <f>-G14</f>
        <v>71053.040000000008</v>
      </c>
      <c r="E35" s="21">
        <v>0</v>
      </c>
      <c r="F35" s="7"/>
      <c r="G35" s="21">
        <f t="shared" si="4"/>
        <v>71053.040000000008</v>
      </c>
    </row>
    <row r="36" spans="2:7" x14ac:dyDescent="0.2">
      <c r="B36" s="31" t="s">
        <v>45</v>
      </c>
      <c r="C36" s="7" t="s">
        <v>87</v>
      </c>
      <c r="D36" s="21">
        <f>-G15</f>
        <v>-411868.44000000006</v>
      </c>
      <c r="E36" s="21">
        <v>0</v>
      </c>
      <c r="F36" s="7"/>
      <c r="G36" s="21">
        <f t="shared" si="4"/>
        <v>-411868.44000000006</v>
      </c>
    </row>
    <row r="37" spans="2:7" x14ac:dyDescent="0.2">
      <c r="B37" s="31" t="s">
        <v>46</v>
      </c>
      <c r="C37" s="7" t="s">
        <v>91</v>
      </c>
      <c r="D37" s="21">
        <f>-G16</f>
        <v>32967.619999999937</v>
      </c>
      <c r="E37" s="21">
        <v>0</v>
      </c>
      <c r="F37" s="7"/>
      <c r="G37" s="21">
        <f t="shared" si="4"/>
        <v>32967.619999999937</v>
      </c>
    </row>
    <row r="38" spans="2:7" x14ac:dyDescent="0.2">
      <c r="B38" s="31" t="s">
        <v>59</v>
      </c>
      <c r="C38" s="32" t="s">
        <v>93</v>
      </c>
      <c r="D38" s="23">
        <f>-G17</f>
        <v>4129.4199999999255</v>
      </c>
      <c r="E38" s="23">
        <v>0</v>
      </c>
      <c r="F38" s="32"/>
      <c r="G38" s="23">
        <f t="shared" si="4"/>
        <v>4129.4199999999255</v>
      </c>
    </row>
    <row r="39" spans="2:7" x14ac:dyDescent="0.2">
      <c r="B39" s="9" t="s">
        <v>66</v>
      </c>
      <c r="C39" s="33"/>
      <c r="D39" s="34"/>
      <c r="E39" s="34"/>
      <c r="F39" s="35" t="s">
        <v>47</v>
      </c>
      <c r="G39" s="23">
        <f>G34+G35+G36+G37+G38</f>
        <v>-307553.36000000016</v>
      </c>
    </row>
    <row r="40" spans="2:7" x14ac:dyDescent="0.2">
      <c r="B40" s="36"/>
      <c r="G40" s="37"/>
    </row>
    <row r="41" spans="2:7" x14ac:dyDescent="0.2">
      <c r="B41" s="10">
        <v>9</v>
      </c>
      <c r="C41" s="38" t="s">
        <v>67</v>
      </c>
      <c r="D41" s="12"/>
      <c r="E41" s="12"/>
      <c r="F41" s="13"/>
      <c r="G41" s="39">
        <f>G24+G39</f>
        <v>190265.64000000007</v>
      </c>
    </row>
    <row r="42" spans="2:7" x14ac:dyDescent="0.2">
      <c r="B42" s="36"/>
      <c r="G42" s="37"/>
    </row>
    <row r="43" spans="2:7" x14ac:dyDescent="0.2">
      <c r="B43" s="10">
        <v>10</v>
      </c>
      <c r="C43" s="38" t="s">
        <v>62</v>
      </c>
      <c r="D43" s="12"/>
      <c r="E43" s="12"/>
      <c r="F43" s="13"/>
      <c r="G43" s="39">
        <f>G41/6</f>
        <v>31710.940000000013</v>
      </c>
    </row>
    <row r="45" spans="2:7" x14ac:dyDescent="0.2">
      <c r="B45" s="5"/>
      <c r="C45" s="40" t="s">
        <v>48</v>
      </c>
      <c r="D45" s="41"/>
      <c r="E45" s="41"/>
      <c r="F45" s="41"/>
      <c r="G45" s="42"/>
    </row>
    <row r="46" spans="2:7" x14ac:dyDescent="0.2">
      <c r="B46" s="5"/>
      <c r="C46" s="43"/>
      <c r="D46" s="43"/>
      <c r="E46" s="43"/>
      <c r="F46" s="43"/>
      <c r="G46" s="15"/>
    </row>
    <row r="47" spans="2:7" x14ac:dyDescent="0.2">
      <c r="B47" s="8">
        <v>11</v>
      </c>
      <c r="C47" s="44" t="s">
        <v>49</v>
      </c>
      <c r="D47" s="44"/>
      <c r="E47" s="44"/>
      <c r="F47" s="44"/>
      <c r="G47" s="45">
        <f>G18</f>
        <v>315221.36000000016</v>
      </c>
    </row>
    <row r="48" spans="2:7" x14ac:dyDescent="0.2">
      <c r="B48" s="8">
        <v>12</v>
      </c>
      <c r="C48" s="44" t="s">
        <v>50</v>
      </c>
      <c r="D48" s="44"/>
      <c r="E48" s="44"/>
      <c r="F48" s="44"/>
      <c r="G48" s="46">
        <f>G39</f>
        <v>-307553.36000000016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13</v>
      </c>
      <c r="C50" s="44" t="s">
        <v>51</v>
      </c>
      <c r="D50" s="44"/>
      <c r="E50" s="44"/>
      <c r="F50" s="44"/>
      <c r="G50" s="47">
        <f>G47+G48</f>
        <v>7668</v>
      </c>
    </row>
    <row r="51" spans="2:7" ht="15" thickTop="1" x14ac:dyDescent="0.2">
      <c r="B51" s="8"/>
      <c r="C51" s="44"/>
      <c r="D51" s="44"/>
      <c r="E51" s="44"/>
      <c r="F51" s="44"/>
      <c r="G51" s="45"/>
    </row>
    <row r="52" spans="2:7" x14ac:dyDescent="0.2">
      <c r="B52" s="8">
        <v>14</v>
      </c>
      <c r="C52" s="44" t="s">
        <v>52</v>
      </c>
      <c r="D52" s="44"/>
      <c r="E52" s="44"/>
      <c r="F52" s="44"/>
      <c r="G52" s="45">
        <f>G41</f>
        <v>190265.64000000007</v>
      </c>
    </row>
    <row r="53" spans="2:7" x14ac:dyDescent="0.2">
      <c r="B53" s="8"/>
      <c r="C53" s="44"/>
      <c r="D53" s="44"/>
      <c r="E53" s="44"/>
      <c r="F53" s="44"/>
      <c r="G53" s="45"/>
    </row>
    <row r="54" spans="2:7" x14ac:dyDescent="0.2">
      <c r="B54" s="8">
        <v>15</v>
      </c>
      <c r="C54" s="44" t="s">
        <v>53</v>
      </c>
      <c r="D54" s="44"/>
      <c r="E54" s="44"/>
      <c r="F54" s="44"/>
      <c r="G54" s="46">
        <f>SUM(F19:F24)</f>
        <v>182597.6400000001</v>
      </c>
    </row>
    <row r="55" spans="2:7" x14ac:dyDescent="0.2">
      <c r="B55" s="8"/>
      <c r="C55" s="44"/>
      <c r="D55" s="44"/>
      <c r="E55" s="44"/>
      <c r="F55" s="44"/>
      <c r="G55" s="45"/>
    </row>
    <row r="56" spans="2:7" ht="15" thickBot="1" x14ac:dyDescent="0.25">
      <c r="B56" s="8">
        <v>16</v>
      </c>
      <c r="C56" s="44" t="s">
        <v>54</v>
      </c>
      <c r="D56" s="44"/>
      <c r="E56" s="44"/>
      <c r="F56" s="44"/>
      <c r="G56" s="47">
        <f>G52-G54</f>
        <v>7667.9999999999709</v>
      </c>
    </row>
    <row r="57" spans="2:7" ht="15" thickTop="1" x14ac:dyDescent="0.2">
      <c r="B57" s="32"/>
      <c r="C57" s="48"/>
      <c r="D57" s="48"/>
      <c r="E57" s="48"/>
      <c r="F57" s="48"/>
      <c r="G57" s="49"/>
    </row>
    <row r="59" spans="2:7" x14ac:dyDescent="0.2">
      <c r="B59" t="s">
        <v>55</v>
      </c>
    </row>
    <row r="60" spans="2:7" x14ac:dyDescent="0.2">
      <c r="B60" s="36"/>
      <c r="C60" s="5"/>
      <c r="D60" s="6" t="s">
        <v>56</v>
      </c>
      <c r="E60" s="31"/>
      <c r="F60" s="117"/>
      <c r="G60" s="117"/>
    </row>
    <row r="61" spans="2:7" x14ac:dyDescent="0.2">
      <c r="B61" s="36"/>
      <c r="C61" s="9" t="s">
        <v>17</v>
      </c>
      <c r="D61" s="9" t="s">
        <v>105</v>
      </c>
      <c r="E61" s="31"/>
      <c r="F61" s="117"/>
      <c r="G61" s="117"/>
    </row>
    <row r="62" spans="2:7" x14ac:dyDescent="0.2">
      <c r="C62" s="17">
        <v>45292</v>
      </c>
      <c r="D62" s="50">
        <v>0</v>
      </c>
      <c r="E62" s="118"/>
      <c r="F62" s="70"/>
      <c r="G62" s="70"/>
    </row>
    <row r="63" spans="2:7" x14ac:dyDescent="0.2">
      <c r="C63" s="19">
        <v>45323</v>
      </c>
      <c r="D63" s="51">
        <v>0</v>
      </c>
      <c r="E63" s="118"/>
      <c r="F63" s="70"/>
      <c r="G63" s="70"/>
    </row>
    <row r="64" spans="2:7" x14ac:dyDescent="0.2">
      <c r="C64" s="19">
        <v>45352</v>
      </c>
      <c r="D64" s="51">
        <v>1917</v>
      </c>
      <c r="E64" s="118"/>
      <c r="F64" s="70"/>
      <c r="G64" s="70"/>
    </row>
    <row r="65" spans="2:7" x14ac:dyDescent="0.2">
      <c r="C65" s="19">
        <v>45383</v>
      </c>
      <c r="D65" s="51">
        <v>1917</v>
      </c>
      <c r="E65" s="118"/>
      <c r="F65" s="70"/>
      <c r="G65" s="70"/>
    </row>
    <row r="66" spans="2:7" x14ac:dyDescent="0.2">
      <c r="C66" s="19">
        <v>45413</v>
      </c>
      <c r="D66" s="51">
        <v>1917</v>
      </c>
      <c r="E66" s="118"/>
      <c r="F66" s="70"/>
      <c r="G66" s="70"/>
    </row>
    <row r="67" spans="2:7" x14ac:dyDescent="0.2">
      <c r="C67" s="19">
        <v>45444</v>
      </c>
      <c r="D67" s="52">
        <v>1917</v>
      </c>
      <c r="E67" s="118"/>
      <c r="F67" s="70"/>
      <c r="G67" s="70"/>
    </row>
    <row r="68" spans="2:7" x14ac:dyDescent="0.2">
      <c r="C68" s="53" t="s">
        <v>57</v>
      </c>
      <c r="D68" s="39">
        <f>SUM(D62:D67)</f>
        <v>7668</v>
      </c>
      <c r="E68" s="20"/>
      <c r="F68" s="70"/>
      <c r="G68" s="70"/>
    </row>
    <row r="79" spans="2:7" x14ac:dyDescent="0.2">
      <c r="B79" s="54"/>
    </row>
    <row r="80" spans="2:7" x14ac:dyDescent="0.2">
      <c r="B80" s="54"/>
    </row>
    <row r="81" spans="2:2" x14ac:dyDescent="0.2">
      <c r="B81" s="54"/>
    </row>
    <row r="82" spans="2:2" x14ac:dyDescent="0.2">
      <c r="B82" s="54"/>
    </row>
    <row r="83" spans="2:2" x14ac:dyDescent="0.2">
      <c r="B83" s="54"/>
    </row>
    <row r="84" spans="2:2" x14ac:dyDescent="0.2">
      <c r="B84" s="54"/>
    </row>
    <row r="85" spans="2:2" x14ac:dyDescent="0.2">
      <c r="B85" s="54"/>
    </row>
    <row r="86" spans="2:2" x14ac:dyDescent="0.2">
      <c r="B86" s="54"/>
    </row>
    <row r="87" spans="2:2" x14ac:dyDescent="0.2">
      <c r="B87" s="54"/>
    </row>
  </sheetData>
  <mergeCells count="3">
    <mergeCell ref="B4:G5"/>
    <mergeCell ref="C12:G12"/>
    <mergeCell ref="I4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0"/>
  <sheetViews>
    <sheetView workbookViewId="0"/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B4" s="120" t="s">
        <v>97</v>
      </c>
      <c r="C4" s="121"/>
      <c r="D4" s="121"/>
      <c r="E4" s="121"/>
      <c r="F4" s="121"/>
      <c r="G4" s="122"/>
      <c r="I4" s="129" t="s">
        <v>99</v>
      </c>
      <c r="J4" s="130"/>
      <c r="K4" s="130"/>
      <c r="L4" s="130"/>
      <c r="M4" s="131"/>
    </row>
    <row r="5" spans="1:13" ht="14.25" customHeight="1" x14ac:dyDescent="0.2">
      <c r="B5" s="123"/>
      <c r="C5" s="124"/>
      <c r="D5" s="124"/>
      <c r="E5" s="124"/>
      <c r="F5" s="124"/>
      <c r="G5" s="125"/>
      <c r="I5" s="132"/>
      <c r="J5" s="133"/>
      <c r="K5" s="133"/>
      <c r="L5" s="133"/>
      <c r="M5" s="134"/>
    </row>
    <row r="6" spans="1:13" ht="15" x14ac:dyDescent="0.2">
      <c r="I6" s="73"/>
      <c r="J6" s="73"/>
      <c r="K6" s="73"/>
      <c r="L6" s="73"/>
      <c r="M6" s="73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13" x14ac:dyDescent="0.2">
      <c r="B12" s="6">
        <v>1</v>
      </c>
      <c r="C12" s="126" t="s">
        <v>22</v>
      </c>
      <c r="D12" s="127"/>
      <c r="E12" s="127"/>
      <c r="F12" s="127"/>
      <c r="G12" s="128"/>
    </row>
    <row r="13" spans="1:13" ht="15.75" x14ac:dyDescent="0.25">
      <c r="B13" s="6" t="s">
        <v>23</v>
      </c>
      <c r="C13" s="12" t="s">
        <v>80</v>
      </c>
      <c r="D13" s="12"/>
      <c r="E13" s="12"/>
      <c r="F13" s="13"/>
      <c r="G13" s="14">
        <v>3835</v>
      </c>
      <c r="I13" s="74" t="s">
        <v>104</v>
      </c>
      <c r="J13" s="73"/>
      <c r="K13" s="73"/>
      <c r="L13" s="73"/>
      <c r="M13" s="73"/>
    </row>
    <row r="14" spans="1:13" ht="15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-71053.040000000008</v>
      </c>
      <c r="I14" s="73"/>
      <c r="J14" s="73"/>
      <c r="K14" s="73"/>
      <c r="L14" s="73"/>
      <c r="M14" s="73"/>
    </row>
    <row r="15" spans="1:13" x14ac:dyDescent="0.2">
      <c r="B15" s="8" t="s">
        <v>25</v>
      </c>
      <c r="C15" s="12" t="s">
        <v>86</v>
      </c>
      <c r="D15" s="12"/>
      <c r="E15" s="12"/>
      <c r="F15" s="13"/>
      <c r="G15" s="56">
        <f>'B - 11-30-22'!G35</f>
        <v>411868.44000000006</v>
      </c>
      <c r="I15" s="75"/>
      <c r="J15" s="75"/>
      <c r="K15" s="76" t="s">
        <v>7</v>
      </c>
      <c r="L15" s="75"/>
      <c r="M15" s="75"/>
    </row>
    <row r="16" spans="1:13" x14ac:dyDescent="0.2">
      <c r="B16" s="8" t="s">
        <v>26</v>
      </c>
      <c r="C16" s="12" t="s">
        <v>89</v>
      </c>
      <c r="D16" s="12"/>
      <c r="E16" s="12"/>
      <c r="F16" s="15"/>
      <c r="G16" s="57">
        <f>'C - 05-31-23'!G37</f>
        <v>-32967.619999999937</v>
      </c>
      <c r="I16" s="77"/>
      <c r="J16" s="78" t="s">
        <v>8</v>
      </c>
      <c r="K16" s="78" t="s">
        <v>9</v>
      </c>
      <c r="L16" s="77"/>
      <c r="M16" s="77"/>
    </row>
    <row r="17" spans="2:13" x14ac:dyDescent="0.2">
      <c r="B17" s="8" t="s">
        <v>58</v>
      </c>
      <c r="C17" s="12" t="s">
        <v>92</v>
      </c>
      <c r="D17" s="12"/>
      <c r="E17" s="12"/>
      <c r="F17" s="15"/>
      <c r="G17" s="57">
        <f>'D - 11-30-23'!G39</f>
        <v>-4129.4199999999255</v>
      </c>
      <c r="I17" s="77"/>
      <c r="J17" s="78" t="s">
        <v>10</v>
      </c>
      <c r="K17" s="78" t="s">
        <v>11</v>
      </c>
      <c r="L17" s="78" t="s">
        <v>12</v>
      </c>
      <c r="M17" s="78" t="s">
        <v>13</v>
      </c>
    </row>
    <row r="18" spans="2:13" x14ac:dyDescent="0.2">
      <c r="B18" s="8" t="s">
        <v>64</v>
      </c>
      <c r="C18" s="12" t="s">
        <v>94</v>
      </c>
      <c r="D18" s="12"/>
      <c r="E18" s="12"/>
      <c r="F18" s="15"/>
      <c r="G18" s="57">
        <f>'E - 05-31-24'!G41</f>
        <v>190265.64000000007</v>
      </c>
      <c r="I18" s="79"/>
      <c r="J18" s="79" t="s">
        <v>14</v>
      </c>
      <c r="K18" s="79" t="s">
        <v>14</v>
      </c>
      <c r="L18" s="79" t="s">
        <v>15</v>
      </c>
      <c r="M18" s="79" t="s">
        <v>15</v>
      </c>
    </row>
    <row r="19" spans="2:13" x14ac:dyDescent="0.2">
      <c r="B19" s="9" t="s">
        <v>69</v>
      </c>
      <c r="C19" s="12" t="s">
        <v>27</v>
      </c>
      <c r="D19" s="12"/>
      <c r="E19" s="12"/>
      <c r="F19" s="15"/>
      <c r="G19" s="16">
        <f>G13+G14+G15+G16+G17+G18</f>
        <v>497819.00000000023</v>
      </c>
      <c r="I19" s="80" t="s">
        <v>17</v>
      </c>
      <c r="J19" s="81" t="s">
        <v>101</v>
      </c>
      <c r="K19" s="81" t="s">
        <v>18</v>
      </c>
      <c r="L19" s="81" t="s">
        <v>19</v>
      </c>
      <c r="M19" s="81" t="s">
        <v>20</v>
      </c>
    </row>
    <row r="20" spans="2:13" x14ac:dyDescent="0.2">
      <c r="B20" s="8">
        <v>2</v>
      </c>
      <c r="C20" s="17">
        <v>45474</v>
      </c>
      <c r="D20" s="57">
        <f>534061-0</f>
        <v>534061</v>
      </c>
      <c r="E20" s="58">
        <v>629156.99</v>
      </c>
      <c r="F20" s="18">
        <f t="shared" ref="F20:F27" si="0">D20-E20</f>
        <v>-95095.989999999991</v>
      </c>
      <c r="G20" s="16">
        <f t="shared" ref="G20:G27" si="1">G19+F20</f>
        <v>402723.01000000024</v>
      </c>
      <c r="I20" s="17">
        <v>45474</v>
      </c>
      <c r="J20" s="83">
        <f>48185+68415</f>
        <v>116600</v>
      </c>
      <c r="K20" s="84">
        <v>116600</v>
      </c>
      <c r="L20" s="85">
        <f t="shared" ref="L20:L27" si="2">J20-K20</f>
        <v>0</v>
      </c>
      <c r="M20" s="86">
        <f>L20</f>
        <v>0</v>
      </c>
    </row>
    <row r="21" spans="2:13" x14ac:dyDescent="0.2">
      <c r="B21" s="8">
        <v>3</v>
      </c>
      <c r="C21" s="19">
        <v>45505</v>
      </c>
      <c r="D21" s="59">
        <f>454988-0</f>
        <v>454988</v>
      </c>
      <c r="E21" s="60">
        <v>505855.91</v>
      </c>
      <c r="F21" s="20">
        <f t="shared" si="0"/>
        <v>-50867.909999999974</v>
      </c>
      <c r="G21" s="21">
        <f t="shared" si="1"/>
        <v>351855.10000000027</v>
      </c>
      <c r="I21" s="19">
        <v>45505</v>
      </c>
      <c r="J21" s="83">
        <f>42409+60769</f>
        <v>103178</v>
      </c>
      <c r="K21" s="104">
        <v>103178</v>
      </c>
      <c r="L21" s="86">
        <f t="shared" si="2"/>
        <v>0</v>
      </c>
      <c r="M21" s="86">
        <f>M20+L21</f>
        <v>0</v>
      </c>
    </row>
    <row r="22" spans="2:13" x14ac:dyDescent="0.2">
      <c r="B22" s="8">
        <v>4</v>
      </c>
      <c r="C22" s="19">
        <v>45536</v>
      </c>
      <c r="D22" s="59">
        <f>421953-0</f>
        <v>421953</v>
      </c>
      <c r="E22" s="60">
        <v>430882.7</v>
      </c>
      <c r="F22" s="20">
        <f t="shared" si="0"/>
        <v>-8929.7000000000116</v>
      </c>
      <c r="G22" s="21">
        <f t="shared" si="1"/>
        <v>342925.40000000026</v>
      </c>
      <c r="I22" s="110">
        <v>45536</v>
      </c>
      <c r="J22" s="111">
        <f>42162+58978</f>
        <v>101140</v>
      </c>
      <c r="K22" s="112">
        <v>101140</v>
      </c>
      <c r="L22" s="86">
        <f t="shared" si="2"/>
        <v>0</v>
      </c>
      <c r="M22" s="86">
        <f t="shared" ref="M22:M25" si="3">M21+L22</f>
        <v>0</v>
      </c>
    </row>
    <row r="23" spans="2:13" x14ac:dyDescent="0.2">
      <c r="B23" s="8">
        <v>5</v>
      </c>
      <c r="C23" s="19">
        <v>45566</v>
      </c>
      <c r="D23" s="59">
        <f>354527-89</f>
        <v>354438</v>
      </c>
      <c r="E23" s="60">
        <v>440395.99</v>
      </c>
      <c r="F23" s="20">
        <f t="shared" si="0"/>
        <v>-85957.989999999991</v>
      </c>
      <c r="G23" s="21">
        <f t="shared" si="1"/>
        <v>256967.41000000027</v>
      </c>
      <c r="I23" s="19">
        <v>45566</v>
      </c>
      <c r="J23" s="113">
        <v>0</v>
      </c>
      <c r="K23" s="114">
        <v>0</v>
      </c>
      <c r="L23" s="86">
        <f t="shared" si="2"/>
        <v>0</v>
      </c>
      <c r="M23" s="86">
        <f t="shared" si="3"/>
        <v>0</v>
      </c>
    </row>
    <row r="24" spans="2:13" x14ac:dyDescent="0.2">
      <c r="B24" s="8">
        <v>6</v>
      </c>
      <c r="C24" s="19">
        <v>45597</v>
      </c>
      <c r="D24" s="59">
        <f>435862-94</f>
        <v>435768</v>
      </c>
      <c r="E24" s="60">
        <v>405004.66</v>
      </c>
      <c r="F24" s="20">
        <f t="shared" si="0"/>
        <v>30763.340000000026</v>
      </c>
      <c r="G24" s="21">
        <f t="shared" si="1"/>
        <v>287730.75000000029</v>
      </c>
      <c r="I24" s="19">
        <v>45597</v>
      </c>
      <c r="J24" s="115">
        <v>0</v>
      </c>
      <c r="K24" s="106">
        <v>0</v>
      </c>
      <c r="L24" s="86">
        <f t="shared" si="2"/>
        <v>0</v>
      </c>
      <c r="M24" s="86">
        <f t="shared" si="3"/>
        <v>0</v>
      </c>
    </row>
    <row r="25" spans="2:13" x14ac:dyDescent="0.2">
      <c r="B25" s="8">
        <v>7</v>
      </c>
      <c r="C25" s="19">
        <v>45627</v>
      </c>
      <c r="D25" s="59">
        <f>704727-112</f>
        <v>704615</v>
      </c>
      <c r="E25" s="60">
        <v>745154.63</v>
      </c>
      <c r="F25" s="22">
        <f t="shared" si="0"/>
        <v>-40539.630000000005</v>
      </c>
      <c r="G25" s="23">
        <f t="shared" si="1"/>
        <v>247191.12000000029</v>
      </c>
      <c r="I25" s="26">
        <v>45627</v>
      </c>
      <c r="J25" s="107">
        <v>0</v>
      </c>
      <c r="K25" s="107">
        <v>0</v>
      </c>
      <c r="L25" s="92">
        <f t="shared" si="2"/>
        <v>0</v>
      </c>
      <c r="M25" s="92">
        <f t="shared" si="3"/>
        <v>0</v>
      </c>
    </row>
    <row r="26" spans="2:13" x14ac:dyDescent="0.2">
      <c r="B26" s="24" t="s">
        <v>28</v>
      </c>
      <c r="C26" s="17">
        <v>45658</v>
      </c>
      <c r="D26" s="57">
        <f>890117-103</f>
        <v>890014</v>
      </c>
      <c r="E26" s="58">
        <v>1091203.67</v>
      </c>
      <c r="F26" s="18">
        <f t="shared" si="0"/>
        <v>-201189.66999999993</v>
      </c>
      <c r="G26" s="16">
        <f t="shared" si="1"/>
        <v>46001.450000000361</v>
      </c>
      <c r="I26" s="87">
        <v>45658</v>
      </c>
      <c r="J26" s="108">
        <v>0</v>
      </c>
      <c r="K26" s="108">
        <v>0</v>
      </c>
      <c r="L26" s="86">
        <f t="shared" si="2"/>
        <v>0</v>
      </c>
      <c r="M26" s="86">
        <f>M25+L26</f>
        <v>0</v>
      </c>
    </row>
    <row r="27" spans="2:13" x14ac:dyDescent="0.2">
      <c r="B27" s="25" t="s">
        <v>29</v>
      </c>
      <c r="C27" s="26">
        <v>45689</v>
      </c>
      <c r="D27" s="61">
        <f>602353-78</f>
        <v>602275</v>
      </c>
      <c r="E27" s="62">
        <v>746164.62</v>
      </c>
      <c r="F27" s="22">
        <f t="shared" si="0"/>
        <v>-143889.62</v>
      </c>
      <c r="G27" s="23">
        <f t="shared" si="1"/>
        <v>-97888.169999999634</v>
      </c>
      <c r="I27" s="90">
        <v>45689</v>
      </c>
      <c r="J27" s="107">
        <v>0</v>
      </c>
      <c r="K27" s="109">
        <v>0</v>
      </c>
      <c r="L27" s="92">
        <f t="shared" si="2"/>
        <v>0</v>
      </c>
      <c r="M27" s="92">
        <f>M26+L27</f>
        <v>0</v>
      </c>
    </row>
    <row r="28" spans="2:13" x14ac:dyDescent="0.2">
      <c r="B28" s="9"/>
      <c r="C28" s="27" t="s">
        <v>79</v>
      </c>
      <c r="D28" s="28"/>
      <c r="E28" s="28"/>
      <c r="F28" s="28"/>
      <c r="G28" s="29"/>
      <c r="I28" s="95"/>
      <c r="J28" s="95"/>
      <c r="K28" s="95"/>
      <c r="L28" s="95"/>
      <c r="M28" s="95"/>
    </row>
    <row r="29" spans="2:13" x14ac:dyDescent="0.2">
      <c r="B29" s="6"/>
      <c r="C29" s="5"/>
      <c r="D29" s="5"/>
      <c r="E29" s="5"/>
      <c r="F29" s="5"/>
      <c r="G29" s="16"/>
      <c r="I29" s="96" t="s">
        <v>102</v>
      </c>
      <c r="J29" s="97"/>
      <c r="K29" s="97"/>
      <c r="L29" s="98"/>
      <c r="M29" s="99">
        <f>M25</f>
        <v>0</v>
      </c>
    </row>
    <row r="30" spans="2:13" x14ac:dyDescent="0.2">
      <c r="B30" s="8"/>
      <c r="C30" s="7"/>
      <c r="D30" s="8" t="s">
        <v>30</v>
      </c>
      <c r="E30" s="8" t="s">
        <v>31</v>
      </c>
      <c r="F30" s="7"/>
      <c r="G30" s="21"/>
      <c r="I30" s="95"/>
      <c r="J30" s="95"/>
      <c r="K30" s="95"/>
      <c r="L30" s="95"/>
      <c r="M30" s="100"/>
    </row>
    <row r="31" spans="2:13" x14ac:dyDescent="0.2">
      <c r="B31" s="8">
        <v>8</v>
      </c>
      <c r="C31" s="7"/>
      <c r="D31" s="8" t="s">
        <v>32</v>
      </c>
      <c r="E31" s="8" t="s">
        <v>33</v>
      </c>
      <c r="F31" s="7"/>
      <c r="G31" s="30" t="s">
        <v>30</v>
      </c>
      <c r="I31" s="96" t="s">
        <v>103</v>
      </c>
      <c r="J31" s="97"/>
      <c r="K31" s="97"/>
      <c r="L31" s="98"/>
      <c r="M31" s="99">
        <f>M29/6</f>
        <v>0</v>
      </c>
    </row>
    <row r="32" spans="2:13" x14ac:dyDescent="0.2">
      <c r="B32" s="8"/>
      <c r="C32" s="7"/>
      <c r="D32" s="8" t="s">
        <v>34</v>
      </c>
      <c r="E32" s="8" t="s">
        <v>35</v>
      </c>
      <c r="F32" s="7"/>
      <c r="G32" s="30" t="s">
        <v>36</v>
      </c>
    </row>
    <row r="33" spans="2:7" x14ac:dyDescent="0.2">
      <c r="B33" s="8"/>
      <c r="C33" s="7"/>
      <c r="D33" s="8" t="s">
        <v>37</v>
      </c>
      <c r="E33" s="8" t="s">
        <v>38</v>
      </c>
      <c r="F33" s="7"/>
      <c r="G33" s="30" t="s">
        <v>39</v>
      </c>
    </row>
    <row r="34" spans="2:7" x14ac:dyDescent="0.2">
      <c r="B34" s="9"/>
      <c r="C34" s="7"/>
      <c r="D34" s="8" t="s">
        <v>40</v>
      </c>
      <c r="E34" s="8" t="s">
        <v>41</v>
      </c>
      <c r="F34" s="7"/>
      <c r="G34" s="30" t="s">
        <v>42</v>
      </c>
    </row>
    <row r="35" spans="2:7" x14ac:dyDescent="0.2">
      <c r="B35" s="24" t="s">
        <v>43</v>
      </c>
      <c r="C35" s="5" t="s">
        <v>90</v>
      </c>
      <c r="D35" s="16">
        <f t="shared" ref="D35:D40" si="4">-G13</f>
        <v>-3835</v>
      </c>
      <c r="E35" s="16">
        <f>D70</f>
        <v>3835</v>
      </c>
      <c r="F35" s="5"/>
      <c r="G35" s="16">
        <f t="shared" ref="G35:G40" si="5">D35+E35</f>
        <v>0</v>
      </c>
    </row>
    <row r="36" spans="2:7" x14ac:dyDescent="0.2">
      <c r="B36" s="31" t="s">
        <v>44</v>
      </c>
      <c r="C36" s="7" t="s">
        <v>84</v>
      </c>
      <c r="D36" s="21">
        <f t="shared" si="4"/>
        <v>71053.040000000008</v>
      </c>
      <c r="E36" s="21">
        <v>0</v>
      </c>
      <c r="F36" s="7"/>
      <c r="G36" s="21">
        <f t="shared" si="5"/>
        <v>71053.040000000008</v>
      </c>
    </row>
    <row r="37" spans="2:7" x14ac:dyDescent="0.2">
      <c r="B37" s="31" t="s">
        <v>45</v>
      </c>
      <c r="C37" s="7" t="s">
        <v>87</v>
      </c>
      <c r="D37" s="21">
        <f t="shared" si="4"/>
        <v>-411868.44000000006</v>
      </c>
      <c r="E37" s="21">
        <v>0</v>
      </c>
      <c r="F37" s="7"/>
      <c r="G37" s="21">
        <f t="shared" si="5"/>
        <v>-411868.44000000006</v>
      </c>
    </row>
    <row r="38" spans="2:7" x14ac:dyDescent="0.2">
      <c r="B38" s="31" t="s">
        <v>46</v>
      </c>
      <c r="C38" s="7" t="s">
        <v>91</v>
      </c>
      <c r="D38" s="21">
        <f t="shared" si="4"/>
        <v>32967.619999999937</v>
      </c>
      <c r="E38" s="21">
        <v>0</v>
      </c>
      <c r="F38" s="7"/>
      <c r="G38" s="21">
        <f t="shared" si="5"/>
        <v>32967.619999999937</v>
      </c>
    </row>
    <row r="39" spans="2:7" x14ac:dyDescent="0.2">
      <c r="B39" s="31" t="s">
        <v>59</v>
      </c>
      <c r="C39" s="7" t="s">
        <v>93</v>
      </c>
      <c r="D39" s="21">
        <f t="shared" si="4"/>
        <v>4129.4199999999255</v>
      </c>
      <c r="E39" s="21">
        <v>0</v>
      </c>
      <c r="F39" s="7"/>
      <c r="G39" s="21">
        <f t="shared" si="5"/>
        <v>4129.4199999999255</v>
      </c>
    </row>
    <row r="40" spans="2:7" x14ac:dyDescent="0.2">
      <c r="B40" s="31" t="s">
        <v>66</v>
      </c>
      <c r="C40" s="32" t="s">
        <v>95</v>
      </c>
      <c r="D40" s="23">
        <f t="shared" si="4"/>
        <v>-190265.64000000007</v>
      </c>
      <c r="E40" s="23">
        <v>0</v>
      </c>
      <c r="F40" s="32"/>
      <c r="G40" s="23">
        <f t="shared" si="5"/>
        <v>-190265.64000000007</v>
      </c>
    </row>
    <row r="41" spans="2:7" x14ac:dyDescent="0.2">
      <c r="B41" s="9" t="s">
        <v>71</v>
      </c>
      <c r="C41" s="33"/>
      <c r="D41" s="34"/>
      <c r="E41" s="34"/>
      <c r="F41" s="35" t="s">
        <v>47</v>
      </c>
      <c r="G41" s="23">
        <f>G35+G36+G37+G38+G39+G40</f>
        <v>-493984.00000000023</v>
      </c>
    </row>
    <row r="42" spans="2:7" x14ac:dyDescent="0.2">
      <c r="B42" s="36"/>
      <c r="G42" s="37"/>
    </row>
    <row r="43" spans="2:7" x14ac:dyDescent="0.2">
      <c r="B43" s="10">
        <v>9</v>
      </c>
      <c r="C43" s="38" t="s">
        <v>72</v>
      </c>
      <c r="D43" s="12"/>
      <c r="E43" s="12"/>
      <c r="F43" s="13"/>
      <c r="G43" s="39">
        <f>G25+G41</f>
        <v>-246792.87999999995</v>
      </c>
    </row>
    <row r="44" spans="2:7" x14ac:dyDescent="0.2">
      <c r="B44" s="36"/>
      <c r="G44" s="37"/>
    </row>
    <row r="45" spans="2:7" x14ac:dyDescent="0.2">
      <c r="B45" s="10">
        <v>10</v>
      </c>
      <c r="C45" s="38" t="s">
        <v>62</v>
      </c>
      <c r="D45" s="12"/>
      <c r="E45" s="12"/>
      <c r="F45" s="13"/>
      <c r="G45" s="39">
        <f>G43/6</f>
        <v>-41132.14666666666</v>
      </c>
    </row>
    <row r="47" spans="2:7" x14ac:dyDescent="0.2">
      <c r="B47" s="5"/>
      <c r="C47" s="40" t="s">
        <v>48</v>
      </c>
      <c r="D47" s="41"/>
      <c r="E47" s="41"/>
      <c r="F47" s="41"/>
      <c r="G47" s="42"/>
    </row>
    <row r="48" spans="2:7" x14ac:dyDescent="0.2">
      <c r="B48" s="5"/>
      <c r="C48" s="43"/>
      <c r="D48" s="43"/>
      <c r="E48" s="43"/>
      <c r="F48" s="43"/>
      <c r="G48" s="15"/>
    </row>
    <row r="49" spans="2:7" x14ac:dyDescent="0.2">
      <c r="B49" s="8">
        <v>11</v>
      </c>
      <c r="C49" s="44" t="s">
        <v>49</v>
      </c>
      <c r="D49" s="44"/>
      <c r="E49" s="44"/>
      <c r="F49" s="44"/>
      <c r="G49" s="45">
        <f>G19</f>
        <v>497819.00000000023</v>
      </c>
    </row>
    <row r="50" spans="2:7" x14ac:dyDescent="0.2">
      <c r="B50" s="8">
        <v>12</v>
      </c>
      <c r="C50" s="44" t="s">
        <v>50</v>
      </c>
      <c r="D50" s="44"/>
      <c r="E50" s="44"/>
      <c r="F50" s="44"/>
      <c r="G50" s="46">
        <f>G41</f>
        <v>-493984.00000000023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13</v>
      </c>
      <c r="C52" s="44" t="s">
        <v>51</v>
      </c>
      <c r="D52" s="44"/>
      <c r="E52" s="44"/>
      <c r="F52" s="44"/>
      <c r="G52" s="47">
        <f>G49+G50</f>
        <v>3835</v>
      </c>
    </row>
    <row r="53" spans="2:7" ht="15" thickTop="1" x14ac:dyDescent="0.2">
      <c r="B53" s="8"/>
      <c r="C53" s="44"/>
      <c r="D53" s="44"/>
      <c r="E53" s="44"/>
      <c r="F53" s="44"/>
      <c r="G53" s="45"/>
    </row>
    <row r="54" spans="2:7" x14ac:dyDescent="0.2">
      <c r="B54" s="8">
        <v>14</v>
      </c>
      <c r="C54" s="44" t="s">
        <v>52</v>
      </c>
      <c r="D54" s="44"/>
      <c r="E54" s="44"/>
      <c r="F54" s="44"/>
      <c r="G54" s="45">
        <f>G43</f>
        <v>-246792.87999999995</v>
      </c>
    </row>
    <row r="55" spans="2:7" x14ac:dyDescent="0.2">
      <c r="B55" s="8"/>
      <c r="C55" s="44"/>
      <c r="D55" s="44"/>
      <c r="E55" s="44"/>
      <c r="F55" s="44"/>
      <c r="G55" s="45"/>
    </row>
    <row r="56" spans="2:7" x14ac:dyDescent="0.2">
      <c r="B56" s="8">
        <v>15</v>
      </c>
      <c r="C56" s="44" t="s">
        <v>53</v>
      </c>
      <c r="D56" s="44"/>
      <c r="E56" s="44"/>
      <c r="F56" s="44"/>
      <c r="G56" s="46">
        <f>SUM(F20:F25)</f>
        <v>-250627.87999999995</v>
      </c>
    </row>
    <row r="57" spans="2:7" x14ac:dyDescent="0.2">
      <c r="B57" s="8"/>
      <c r="C57" s="44"/>
      <c r="D57" s="44"/>
      <c r="E57" s="44"/>
      <c r="F57" s="44"/>
      <c r="G57" s="45"/>
    </row>
    <row r="58" spans="2:7" ht="15" thickBot="1" x14ac:dyDescent="0.25">
      <c r="B58" s="8">
        <v>16</v>
      </c>
      <c r="C58" s="44" t="s">
        <v>54</v>
      </c>
      <c r="D58" s="44"/>
      <c r="E58" s="44"/>
      <c r="F58" s="44"/>
      <c r="G58" s="47">
        <f>G54-G56</f>
        <v>3835</v>
      </c>
    </row>
    <row r="59" spans="2:7" ht="15" thickTop="1" x14ac:dyDescent="0.2">
      <c r="B59" s="32"/>
      <c r="C59" s="48"/>
      <c r="D59" s="48"/>
      <c r="E59" s="48"/>
      <c r="F59" s="48"/>
      <c r="G59" s="49"/>
    </row>
    <row r="61" spans="2:7" x14ac:dyDescent="0.2">
      <c r="B61" t="s">
        <v>55</v>
      </c>
    </row>
    <row r="62" spans="2:7" x14ac:dyDescent="0.2">
      <c r="B62" s="36"/>
      <c r="C62" s="5"/>
      <c r="D62" s="6" t="s">
        <v>56</v>
      </c>
      <c r="E62" s="31"/>
      <c r="F62" s="117"/>
      <c r="G62" s="117"/>
    </row>
    <row r="63" spans="2:7" x14ac:dyDescent="0.2">
      <c r="B63" s="36"/>
      <c r="C63" s="9" t="s">
        <v>17</v>
      </c>
      <c r="D63" s="9" t="s">
        <v>105</v>
      </c>
      <c r="E63" s="31"/>
      <c r="F63" s="117"/>
      <c r="G63" s="117"/>
    </row>
    <row r="64" spans="2:7" x14ac:dyDescent="0.2">
      <c r="C64" s="17">
        <v>45474</v>
      </c>
      <c r="D64" s="50">
        <v>1917</v>
      </c>
      <c r="E64" s="118"/>
      <c r="F64" s="70"/>
      <c r="G64" s="70"/>
    </row>
    <row r="65" spans="3:7" x14ac:dyDescent="0.2">
      <c r="C65" s="19">
        <v>45505</v>
      </c>
      <c r="D65" s="51">
        <v>1918</v>
      </c>
      <c r="E65" s="118"/>
      <c r="F65" s="70"/>
      <c r="G65" s="70"/>
    </row>
    <row r="66" spans="3:7" x14ac:dyDescent="0.2">
      <c r="C66" s="19">
        <v>45536</v>
      </c>
      <c r="D66" s="51">
        <v>0</v>
      </c>
      <c r="E66" s="118"/>
      <c r="F66" s="70"/>
      <c r="G66" s="70"/>
    </row>
    <row r="67" spans="3:7" x14ac:dyDescent="0.2">
      <c r="C67" s="19">
        <v>45566</v>
      </c>
      <c r="D67" s="51">
        <v>0</v>
      </c>
      <c r="E67" s="118"/>
      <c r="F67" s="70"/>
      <c r="G67" s="70"/>
    </row>
    <row r="68" spans="3:7" x14ac:dyDescent="0.2">
      <c r="C68" s="19">
        <v>45597</v>
      </c>
      <c r="D68" s="51">
        <v>0</v>
      </c>
      <c r="E68" s="118"/>
      <c r="F68" s="70"/>
      <c r="G68" s="70"/>
    </row>
    <row r="69" spans="3:7" x14ac:dyDescent="0.2">
      <c r="C69" s="19">
        <v>45627</v>
      </c>
      <c r="D69" s="52">
        <v>0</v>
      </c>
      <c r="E69" s="118"/>
      <c r="F69" s="70"/>
      <c r="G69" s="70"/>
    </row>
    <row r="70" spans="3:7" x14ac:dyDescent="0.2">
      <c r="C70" s="53" t="s">
        <v>57</v>
      </c>
      <c r="D70" s="39">
        <f>SUM(D64:D69)</f>
        <v>3835</v>
      </c>
      <c r="E70" s="20"/>
      <c r="F70" s="70"/>
      <c r="G70" s="70"/>
    </row>
  </sheetData>
  <mergeCells count="3">
    <mergeCell ref="B4:G5"/>
    <mergeCell ref="C12:G12"/>
    <mergeCell ref="I4:M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2025-03-31T01:13:02Z</dcterms:modified>
</cp:coreProperties>
</file>