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East Bend Limestone Conversion CPCN/Testimony/Chad Donner CONF/"/>
    </mc:Choice>
  </mc:AlternateContent>
  <xr:revisionPtr revIDLastSave="0" documentId="13_ncr:1_{FE050C7B-57F9-472B-903D-EBF5AD64E9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26" i="1"/>
  <c r="E17" i="1"/>
  <c r="E15" i="1"/>
  <c r="E61" i="1"/>
  <c r="E60" i="1"/>
  <c r="E59" i="1"/>
  <c r="E58" i="1"/>
  <c r="F62" i="1"/>
  <c r="F61" i="1"/>
  <c r="E28" i="1"/>
  <c r="E32" i="1"/>
  <c r="E30" i="1"/>
  <c r="E38" i="1"/>
  <c r="E36" i="1"/>
  <c r="E34" i="1"/>
  <c r="E24" i="1"/>
  <c r="E22" i="1"/>
  <c r="E20" i="1"/>
  <c r="E13" i="1"/>
  <c r="E11" i="1"/>
  <c r="E10" i="1"/>
  <c r="E9" i="1"/>
  <c r="F60" i="1"/>
  <c r="F59" i="1"/>
  <c r="F58" i="1"/>
  <c r="G55" i="1"/>
  <c r="G54" i="1"/>
  <c r="G53" i="1"/>
  <c r="G52" i="1"/>
  <c r="G51" i="1"/>
  <c r="F55" i="1"/>
  <c r="F54" i="1"/>
  <c r="F53" i="1"/>
  <c r="F52" i="1"/>
  <c r="F51" i="1"/>
  <c r="D28" i="1"/>
  <c r="O28" i="1"/>
  <c r="R24" i="1"/>
  <c r="R27" i="1" s="1"/>
  <c r="R30" i="1" s="1"/>
  <c r="D30" i="1" l="1"/>
  <c r="L26" i="1"/>
  <c r="D26" i="1" s="1"/>
  <c r="V32" i="1"/>
  <c r="D32" i="1" s="1"/>
  <c r="I17" i="1" l="1"/>
  <c r="D17" i="1" s="1"/>
  <c r="F15" i="1" l="1"/>
  <c r="D15" i="1" s="1"/>
  <c r="D46" i="1" s="1"/>
</calcChain>
</file>

<file path=xl/sharedStrings.xml><?xml version="1.0" encoding="utf-8"?>
<sst xmlns="http://schemas.openxmlformats.org/spreadsheetml/2006/main" count="123" uniqueCount="99">
  <si>
    <t>Description</t>
  </si>
  <si>
    <t>Total</t>
  </si>
  <si>
    <t>AFUDC Debt  (99970)</t>
  </si>
  <si>
    <t>AFUDC Equity (99971)</t>
  </si>
  <si>
    <t>Company Labor - Exempt (11000)</t>
  </si>
  <si>
    <t>Company Labor - Union (11002)</t>
  </si>
  <si>
    <t>Company Material (21000)</t>
  </si>
  <si>
    <t>Contract Labor (69000)</t>
  </si>
  <si>
    <t>Labor Loadings - Exempt (18001)</t>
  </si>
  <si>
    <t>Labor Loadings - Union (18001)</t>
  </si>
  <si>
    <t>Labor Loadings (18000)</t>
  </si>
  <si>
    <t>Overhead (78000)</t>
  </si>
  <si>
    <t>Stores Loading Allocation (28002)</t>
  </si>
  <si>
    <t>Retirements - Overhead (78000)</t>
  </si>
  <si>
    <t>Retirements</t>
  </si>
  <si>
    <t>Retirements - Salvage (99416)</t>
  </si>
  <si>
    <t>Power Plan - calculated labor loadings</t>
  </si>
  <si>
    <t>Civil Work</t>
  </si>
  <si>
    <t>Contract Material (31000)</t>
  </si>
  <si>
    <t>Insulation</t>
  </si>
  <si>
    <t>Piping</t>
  </si>
  <si>
    <t>Escalation</t>
  </si>
  <si>
    <t>Estimate Charge Type           (Power Plan)</t>
  </si>
  <si>
    <t xml:space="preserve">Power Plan - calculated labor loadings </t>
  </si>
  <si>
    <t>Electrical Equipment</t>
  </si>
  <si>
    <t>Contingency</t>
  </si>
  <si>
    <t xml:space="preserve">Mech Eqpt </t>
  </si>
  <si>
    <t>Labor Supervision</t>
  </si>
  <si>
    <t>Construction CM</t>
  </si>
  <si>
    <t>Field Office Expenses</t>
  </si>
  <si>
    <t>Pre-Operational Testing</t>
  </si>
  <si>
    <t xml:space="preserve">Site Services </t>
  </si>
  <si>
    <t>Temporary Facilities</t>
  </si>
  <si>
    <t>Temporary Utilities</t>
  </si>
  <si>
    <t>Mobilization/Demob</t>
  </si>
  <si>
    <t>Legal Expenses/Claims</t>
  </si>
  <si>
    <t>Small Tools &amp; Consumables</t>
  </si>
  <si>
    <t>Scaffolding</t>
  </si>
  <si>
    <t>General Liability Insurance</t>
  </si>
  <si>
    <t>Constr. Equip. Mob/Demob.</t>
  </si>
  <si>
    <t>Freight on Material</t>
  </si>
  <si>
    <t>Power Plan - calculated overhead</t>
  </si>
  <si>
    <t>Contingency on Constr.Eqpt</t>
  </si>
  <si>
    <t>Contingency on Material</t>
  </si>
  <si>
    <t>Contingency on Labor &amp; SO</t>
  </si>
  <si>
    <t>Contingency on Subcontr.</t>
  </si>
  <si>
    <t>Contingency on Process Eq.</t>
  </si>
  <si>
    <t>Contingency on Indirects</t>
  </si>
  <si>
    <t xml:space="preserve">Total Cost = </t>
  </si>
  <si>
    <t>EB022450-1    East Bend, Limestone Conversion</t>
  </si>
  <si>
    <t>Plant Support, Startup, Training  (2026 &amp; 2027)</t>
  </si>
  <si>
    <r>
      <rPr>
        <b/>
        <sz val="11"/>
        <color theme="1"/>
        <rFont val="Calibri"/>
        <family val="2"/>
        <scheme val="minor"/>
      </rPr>
      <t>Contract Labor-AECOM Est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(Demo, Civil, Concrete, Architectural, Painting &amp; Coating, Mech Eqpt, Piping-Valves-Supports, Insulation, Elec Eqpt, Raceway-Cable-Conduit, Cable, Control &amp; Instr)</t>
    </r>
  </si>
  <si>
    <r>
      <rPr>
        <b/>
        <sz val="11"/>
        <color theme="1"/>
        <rFont val="Calibri"/>
        <family val="2"/>
        <scheme val="minor"/>
      </rPr>
      <t>Contract Material-AECOM Est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(Civil, Concrete. Architectural, Painting &amp; Coating, Piping, Insulation, Elect Eqpt, Raceway-Cable Tray-Conduit, Cable, Control &amp; Instr, Escalation)</t>
    </r>
  </si>
  <si>
    <t>Demo Mag Lime Prep Eq.- Labor Cost + Constr Indirect &amp; Contingency</t>
  </si>
  <si>
    <t xml:space="preserve">Contingency - Duke </t>
  </si>
  <si>
    <t>Subcontract L&amp;M - Estimate</t>
  </si>
  <si>
    <t>Construction Indirects - Estimate</t>
  </si>
  <si>
    <t>Contingency on Estimates</t>
  </si>
  <si>
    <t>Material Handling</t>
  </si>
  <si>
    <t>Contstruction Oversight</t>
  </si>
  <si>
    <t>IM - Performance Contractors</t>
  </si>
  <si>
    <t>EPC Contract Labor - AECOM Estimate</t>
  </si>
  <si>
    <t>EPC Contract Material - AECOM Estimate</t>
  </si>
  <si>
    <t>Reagent Prep</t>
  </si>
  <si>
    <t>FGD Area</t>
  </si>
  <si>
    <t>Dewatering Area</t>
  </si>
  <si>
    <t>Misc. Freight</t>
  </si>
  <si>
    <t>Concrete, Asphalt</t>
  </si>
  <si>
    <t>PA System for Reagent Prep Building</t>
  </si>
  <si>
    <t>Fire Protection Systems</t>
  </si>
  <si>
    <t>FRP Plan &amp; Permitting</t>
  </si>
  <si>
    <t>Construction Indirects, IM / Construction Management</t>
  </si>
  <si>
    <t>Construction Indirects</t>
  </si>
  <si>
    <t>Absorber Recirc Pump Rebuilds</t>
  </si>
  <si>
    <t>Demo Agitators/Other- Subcontract Cost</t>
  </si>
  <si>
    <t>Demo Mag Lime Equipment - Scrap Value</t>
  </si>
  <si>
    <t xml:space="preserve">   PM, PE, Env-SME-Plant Support  (2024 thru 2027)</t>
  </si>
  <si>
    <t>Tank Coatings</t>
  </si>
  <si>
    <t>Subcontract - Duke Managed Scope</t>
  </si>
  <si>
    <t>Subcontract - Owners Engineering</t>
  </si>
  <si>
    <t>Engineering (AECOM), Scheduler, Elec Engr, Mech Engr, Ctls Engr - 2024 thru 2027</t>
  </si>
  <si>
    <r>
      <rPr>
        <b/>
        <sz val="10"/>
        <rFont val="Arial"/>
        <family val="2"/>
      </rPr>
      <t xml:space="preserve">Storeroom Supplies to Support Project, 2025 - 2027  </t>
    </r>
    <r>
      <rPr>
        <sz val="9"/>
        <rFont val="Arial"/>
        <family val="2"/>
      </rPr>
      <t>(ie; valves, instr, flex conduit, piping &amp; tubing fittings, ss tubing, elect matls, threaded rod, plugs, fire blanket, fire ext, safety supplies)</t>
    </r>
  </si>
  <si>
    <t>Fee and profit</t>
  </si>
  <si>
    <t>Construction Management</t>
  </si>
  <si>
    <t>Site Improvements</t>
  </si>
  <si>
    <t>Quality Control</t>
  </si>
  <si>
    <t>Safety Oversight</t>
  </si>
  <si>
    <t>Owners Engineering Support</t>
  </si>
  <si>
    <t>Design Review</t>
  </si>
  <si>
    <t>Construction Oversight</t>
  </si>
  <si>
    <t>Misc Ductwork and piping</t>
  </si>
  <si>
    <t>Construction Indirects &amp; Construction Oversight</t>
  </si>
  <si>
    <t>% of FGD Area Scope</t>
  </si>
  <si>
    <t>EPC Contract Labor</t>
  </si>
  <si>
    <t>EPC Contract Material</t>
  </si>
  <si>
    <t>Subcontract L&amp;M</t>
  </si>
  <si>
    <t>FGD Fee &amp; Profit, Misc Freight</t>
  </si>
  <si>
    <t>FGD Const Mgmt, Misc Ductwork/Piping</t>
  </si>
  <si>
    <t>MATs PortionTotal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</si>
</sst>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44" fontId="11" fillId="0" borderId="0" applyFont="0" applyFill="0" applyBorder="0" applyAlignment="0" applyProtection="0"/>
  </cellStyleXfs>
  <cellXfs count="210">
    <xf numFmtId="0" fontId="0" fillId="0" borderId="0" xfId="0"/>
    <xf numFmtId="42" fontId="0" fillId="0" borderId="0" xfId="0" applyNumberForma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2" fontId="2" fillId="0" borderId="0" xfId="1" applyNumberFormat="1"/>
    <xf numFmtId="0" fontId="2" fillId="0" borderId="1" xfId="1" applyBorder="1" applyAlignment="1">
      <alignment horizontal="center" vertical="center"/>
    </xf>
    <xf numFmtId="42" fontId="9" fillId="3" borderId="10" xfId="0" applyNumberFormat="1" applyFont="1" applyFill="1" applyBorder="1"/>
    <xf numFmtId="42" fontId="9" fillId="3" borderId="11" xfId="0" applyNumberFormat="1" applyFont="1" applyFill="1" applyBorder="1"/>
    <xf numFmtId="42" fontId="9" fillId="3" borderId="10" xfId="0" applyNumberFormat="1" applyFont="1" applyFill="1" applyBorder="1" applyAlignment="1">
      <alignment horizontal="center"/>
    </xf>
    <xf numFmtId="42" fontId="9" fillId="3" borderId="10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/>
    <xf numFmtId="0" fontId="9" fillId="3" borderId="8" xfId="0" applyFont="1" applyFill="1" applyBorder="1"/>
    <xf numFmtId="0" fontId="9" fillId="3" borderId="7" xfId="0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2" fontId="0" fillId="5" borderId="12" xfId="0" applyNumberFormat="1" applyFill="1" applyBorder="1"/>
    <xf numFmtId="0" fontId="0" fillId="5" borderId="6" xfId="0" applyFill="1" applyBorder="1"/>
    <xf numFmtId="42" fontId="0" fillId="5" borderId="10" xfId="0" applyNumberFormat="1" applyFill="1" applyBorder="1"/>
    <xf numFmtId="0" fontId="0" fillId="5" borderId="7" xfId="0" applyFill="1" applyBorder="1"/>
    <xf numFmtId="0" fontId="0" fillId="5" borderId="8" xfId="0" applyFill="1" applyBorder="1"/>
    <xf numFmtId="42" fontId="0" fillId="5" borderId="11" xfId="0" applyNumberFormat="1" applyFill="1" applyBorder="1"/>
    <xf numFmtId="42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0" fillId="9" borderId="0" xfId="0" applyFill="1"/>
    <xf numFmtId="42" fontId="0" fillId="9" borderId="10" xfId="0" applyNumberFormat="1" applyFill="1" applyBorder="1" applyAlignment="1">
      <alignment horizontal="center"/>
    </xf>
    <xf numFmtId="0" fontId="0" fillId="9" borderId="7" xfId="0" applyFill="1" applyBorder="1"/>
    <xf numFmtId="42" fontId="0" fillId="9" borderId="10" xfId="0" applyNumberFormat="1" applyFill="1" applyBorder="1"/>
    <xf numFmtId="42" fontId="1" fillId="9" borderId="11" xfId="0" applyNumberFormat="1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42" fontId="0" fillId="9" borderId="11" xfId="0" applyNumberFormat="1" applyFill="1" applyBorder="1"/>
    <xf numFmtId="0" fontId="0" fillId="9" borderId="8" xfId="0" applyFill="1" applyBorder="1"/>
    <xf numFmtId="42" fontId="9" fillId="9" borderId="12" xfId="0" applyNumberFormat="1" applyFont="1" applyFill="1" applyBorder="1"/>
    <xf numFmtId="42" fontId="2" fillId="9" borderId="0" xfId="1" applyNumberFormat="1" applyFill="1"/>
    <xf numFmtId="0" fontId="0" fillId="6" borderId="0" xfId="0" applyFill="1"/>
    <xf numFmtId="0" fontId="0" fillId="5" borderId="0" xfId="0" applyFill="1"/>
    <xf numFmtId="42" fontId="2" fillId="6" borderId="0" xfId="1" applyNumberForma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/>
    </xf>
    <xf numFmtId="0" fontId="0" fillId="4" borderId="0" xfId="0" applyFill="1"/>
    <xf numFmtId="49" fontId="0" fillId="4" borderId="0" xfId="0" applyNumberFormat="1" applyFill="1" applyAlignment="1">
      <alignment horizontal="left" vertical="center"/>
    </xf>
    <xf numFmtId="0" fontId="0" fillId="0" borderId="13" xfId="0" applyBorder="1"/>
    <xf numFmtId="0" fontId="0" fillId="0" borderId="15" xfId="0" applyBorder="1"/>
    <xf numFmtId="42" fontId="2" fillId="8" borderId="0" xfId="1" applyNumberFormat="1" applyFill="1"/>
    <xf numFmtId="42" fontId="3" fillId="10" borderId="0" xfId="1" applyNumberFormat="1" applyFont="1" applyFill="1"/>
    <xf numFmtId="0" fontId="1" fillId="10" borderId="0" xfId="0" applyFont="1" applyFill="1"/>
    <xf numFmtId="42" fontId="0" fillId="8" borderId="12" xfId="0" applyNumberFormat="1" applyFill="1" applyBorder="1"/>
    <xf numFmtId="0" fontId="0" fillId="8" borderId="15" xfId="0" applyFill="1" applyBorder="1"/>
    <xf numFmtId="0" fontId="0" fillId="8" borderId="6" xfId="0" applyFill="1" applyBorder="1"/>
    <xf numFmtId="42" fontId="0" fillId="8" borderId="10" xfId="0" applyNumberFormat="1" applyFill="1" applyBorder="1"/>
    <xf numFmtId="0" fontId="0" fillId="8" borderId="7" xfId="0" applyFill="1" applyBorder="1"/>
    <xf numFmtId="42" fontId="1" fillId="8" borderId="11" xfId="0" applyNumberFormat="1" applyFont="1" applyFill="1" applyBorder="1"/>
    <xf numFmtId="0" fontId="1" fillId="8" borderId="13" xfId="0" applyFont="1" applyFill="1" applyBorder="1"/>
    <xf numFmtId="0" fontId="0" fillId="8" borderId="8" xfId="0" applyFill="1" applyBorder="1"/>
    <xf numFmtId="42" fontId="3" fillId="2" borderId="17" xfId="1" applyNumberFormat="1" applyFont="1" applyFill="1" applyBorder="1"/>
    <xf numFmtId="0" fontId="2" fillId="0" borderId="1" xfId="1" applyBorder="1" applyAlignment="1">
      <alignment horizontal="center"/>
    </xf>
    <xf numFmtId="0" fontId="3" fillId="10" borderId="1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1" applyBorder="1"/>
    <xf numFmtId="0" fontId="2" fillId="0" borderId="15" xfId="1" applyBorder="1"/>
    <xf numFmtId="0" fontId="2" fillId="0" borderId="15" xfId="1" applyBorder="1" applyAlignment="1">
      <alignment horizontal="center"/>
    </xf>
    <xf numFmtId="49" fontId="3" fillId="0" borderId="16" xfId="1" applyNumberFormat="1" applyFont="1" applyBorder="1" applyAlignment="1">
      <alignment horizontal="right"/>
    </xf>
    <xf numFmtId="0" fontId="2" fillId="0" borderId="13" xfId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5" fontId="1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42" fontId="9" fillId="3" borderId="10" xfId="0" applyNumberFormat="1" applyFont="1" applyFill="1" applyBorder="1" applyAlignment="1">
      <alignment vertical="center"/>
    </xf>
    <xf numFmtId="0" fontId="2" fillId="0" borderId="30" xfId="1" applyBorder="1" applyAlignment="1">
      <alignment horizontal="center" vertical="center"/>
    </xf>
    <xf numFmtId="42" fontId="2" fillId="0" borderId="20" xfId="1" applyNumberFormat="1" applyBorder="1" applyAlignment="1">
      <alignment horizontal="center" vertical="center"/>
    </xf>
    <xf numFmtId="0" fontId="2" fillId="0" borderId="30" xfId="1" applyBorder="1" applyAlignment="1">
      <alignment vertical="center"/>
    </xf>
    <xf numFmtId="42" fontId="2" fillId="0" borderId="20" xfId="1" applyNumberForma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0" borderId="30" xfId="1" applyBorder="1"/>
    <xf numFmtId="42" fontId="2" fillId="0" borderId="20" xfId="1" applyNumberFormat="1" applyBorder="1"/>
    <xf numFmtId="0" fontId="2" fillId="0" borderId="19" xfId="1" applyBorder="1"/>
    <xf numFmtId="42" fontId="2" fillId="0" borderId="32" xfId="1" applyNumberFormat="1" applyBorder="1"/>
    <xf numFmtId="42" fontId="2" fillId="9" borderId="20" xfId="1" applyNumberFormat="1" applyFill="1" applyBorder="1" applyAlignment="1">
      <alignment vertical="center"/>
    </xf>
    <xf numFmtId="42" fontId="2" fillId="6" borderId="20" xfId="1" applyNumberFormat="1" applyFill="1" applyBorder="1"/>
    <xf numFmtId="42" fontId="2" fillId="8" borderId="20" xfId="1" applyNumberFormat="1" applyFill="1" applyBorder="1"/>
    <xf numFmtId="0" fontId="2" fillId="5" borderId="30" xfId="1" applyFill="1" applyBorder="1"/>
    <xf numFmtId="42" fontId="2" fillId="5" borderId="20" xfId="1" applyNumberFormat="1" applyFill="1" applyBorder="1"/>
    <xf numFmtId="0" fontId="2" fillId="7" borderId="30" xfId="1" applyFill="1" applyBorder="1"/>
    <xf numFmtId="42" fontId="2" fillId="7" borderId="20" xfId="1" applyNumberFormat="1" applyFill="1" applyBorder="1"/>
    <xf numFmtId="42" fontId="2" fillId="0" borderId="33" xfId="1" applyNumberFormat="1" applyBorder="1"/>
    <xf numFmtId="0" fontId="2" fillId="0" borderId="31" xfId="1" applyBorder="1"/>
    <xf numFmtId="0" fontId="0" fillId="0" borderId="34" xfId="0" applyBorder="1"/>
    <xf numFmtId="0" fontId="0" fillId="0" borderId="18" xfId="0" applyBorder="1"/>
    <xf numFmtId="0" fontId="0" fillId="0" borderId="35" xfId="0" applyBorder="1"/>
    <xf numFmtId="42" fontId="2" fillId="10" borderId="20" xfId="1" applyNumberFormat="1" applyFill="1" applyBorder="1"/>
    <xf numFmtId="0" fontId="3" fillId="6" borderId="1" xfId="1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 vertical="center" wrapText="1"/>
    </xf>
    <xf numFmtId="0" fontId="0" fillId="10" borderId="0" xfId="0" applyFill="1"/>
    <xf numFmtId="0" fontId="3" fillId="0" borderId="1" xfId="1" applyFont="1" applyBorder="1" applyAlignment="1">
      <alignment horizontal="center"/>
    </xf>
    <xf numFmtId="42" fontId="9" fillId="9" borderId="6" xfId="0" applyNumberFormat="1" applyFont="1" applyFill="1" applyBorder="1"/>
    <xf numFmtId="0" fontId="0" fillId="0" borderId="0" xfId="0" applyAlignment="1">
      <alignment horizontal="center" vertical="center"/>
    </xf>
    <xf numFmtId="42" fontId="9" fillId="0" borderId="0" xfId="0" applyNumberFormat="1" applyFont="1"/>
    <xf numFmtId="0" fontId="1" fillId="0" borderId="0" xfId="0" applyFont="1" applyAlignment="1">
      <alignment vertical="center"/>
    </xf>
    <xf numFmtId="0" fontId="0" fillId="6" borderId="4" xfId="0" applyFill="1" applyBorder="1"/>
    <xf numFmtId="0" fontId="0" fillId="6" borderId="5" xfId="0" applyFill="1" applyBorder="1" applyAlignment="1">
      <alignment horizontal="left"/>
    </xf>
    <xf numFmtId="44" fontId="0" fillId="6" borderId="12" xfId="2" applyFont="1" applyFill="1" applyBorder="1"/>
    <xf numFmtId="0" fontId="0" fillId="6" borderId="6" xfId="0" applyFill="1" applyBorder="1"/>
    <xf numFmtId="44" fontId="0" fillId="6" borderId="10" xfId="2" applyFont="1" applyFill="1" applyBorder="1"/>
    <xf numFmtId="0" fontId="0" fillId="6" borderId="7" xfId="0" applyFill="1" applyBorder="1"/>
    <xf numFmtId="42" fontId="0" fillId="10" borderId="12" xfId="0" applyNumberFormat="1" applyFill="1" applyBorder="1"/>
    <xf numFmtId="0" fontId="0" fillId="10" borderId="15" xfId="0" applyFill="1" applyBorder="1"/>
    <xf numFmtId="42" fontId="0" fillId="10" borderId="10" xfId="0" applyNumberFormat="1" applyFill="1" applyBorder="1"/>
    <xf numFmtId="42" fontId="1" fillId="10" borderId="11" xfId="0" applyNumberFormat="1" applyFont="1" applyFill="1" applyBorder="1"/>
    <xf numFmtId="0" fontId="1" fillId="10" borderId="13" xfId="0" applyFont="1" applyFill="1" applyBorder="1"/>
    <xf numFmtId="42" fontId="0" fillId="8" borderId="10" xfId="0" applyNumberFormat="1" applyFill="1" applyBorder="1" applyAlignment="1">
      <alignment horizontal="center"/>
    </xf>
    <xf numFmtId="42" fontId="0" fillId="8" borderId="0" xfId="0" applyNumberFormat="1" applyFill="1" applyAlignment="1">
      <alignment horizontal="left"/>
    </xf>
    <xf numFmtId="0" fontId="0" fillId="8" borderId="7" xfId="0" applyFill="1" applyBorder="1" applyAlignment="1">
      <alignment horizontal="left"/>
    </xf>
    <xf numFmtId="42" fontId="0" fillId="8" borderId="11" xfId="0" applyNumberFormat="1" applyFill="1" applyBorder="1"/>
    <xf numFmtId="0" fontId="0" fillId="9" borderId="4" xfId="0" applyFill="1" applyBorder="1"/>
    <xf numFmtId="0" fontId="0" fillId="9" borderId="5" xfId="0" applyFill="1" applyBorder="1"/>
    <xf numFmtId="42" fontId="0" fillId="9" borderId="12" xfId="0" applyNumberFormat="1" applyFill="1" applyBorder="1"/>
    <xf numFmtId="0" fontId="0" fillId="9" borderId="6" xfId="0" applyFill="1" applyBorder="1"/>
    <xf numFmtId="44" fontId="11" fillId="6" borderId="10" xfId="2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44" fontId="1" fillId="6" borderId="11" xfId="2" applyFont="1" applyFill="1" applyBorder="1"/>
    <xf numFmtId="0" fontId="1" fillId="6" borderId="8" xfId="0" applyFont="1" applyFill="1" applyBorder="1"/>
    <xf numFmtId="44" fontId="0" fillId="0" borderId="0" xfId="0" applyNumberFormat="1"/>
    <xf numFmtId="0" fontId="1" fillId="0" borderId="0" xfId="0" applyFont="1"/>
    <xf numFmtId="44" fontId="1" fillId="0" borderId="0" xfId="0" applyNumberFormat="1" applyFont="1"/>
    <xf numFmtId="42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2" fontId="3" fillId="2" borderId="0" xfId="1" applyNumberFormat="1" applyFont="1" applyFill="1" applyAlignment="1">
      <alignment horizontal="center"/>
    </xf>
    <xf numFmtId="0" fontId="7" fillId="0" borderId="19" xfId="0" applyFont="1" applyBorder="1" applyAlignment="1">
      <alignment horizontal="center" vertical="center"/>
    </xf>
    <xf numFmtId="42" fontId="2" fillId="0" borderId="36" xfId="1" applyNumberFormat="1" applyBorder="1" applyAlignment="1">
      <alignment horizontal="center"/>
    </xf>
    <xf numFmtId="42" fontId="2" fillId="3" borderId="36" xfId="1" applyNumberFormat="1" applyFill="1" applyBorder="1" applyAlignment="1">
      <alignment horizontal="center"/>
    </xf>
    <xf numFmtId="42" fontId="2" fillId="5" borderId="19" xfId="1" applyNumberForma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6" xfId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2" fontId="2" fillId="3" borderId="27" xfId="1" applyNumberForma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5" borderId="26" xfId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2" fontId="2" fillId="5" borderId="27" xfId="1" applyNumberFormat="1" applyFill="1" applyBorder="1" applyAlignment="1">
      <alignment vertical="center"/>
    </xf>
    <xf numFmtId="0" fontId="0" fillId="5" borderId="29" xfId="0" applyFill="1" applyBorder="1" applyAlignment="1">
      <alignment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7" xfId="0" applyFill="1" applyBorder="1" applyAlignment="1">
      <alignment horizontal="left"/>
    </xf>
    <xf numFmtId="42" fontId="0" fillId="8" borderId="0" xfId="0" applyNumberFormat="1" applyFill="1" applyAlignment="1">
      <alignment horizontal="left"/>
    </xf>
    <xf numFmtId="42" fontId="0" fillId="8" borderId="7" xfId="0" applyNumberFormat="1" applyFill="1" applyBorder="1" applyAlignment="1">
      <alignment horizontal="left"/>
    </xf>
    <xf numFmtId="0" fontId="1" fillId="8" borderId="14" xfId="0" applyFont="1" applyFill="1" applyBorder="1"/>
    <xf numFmtId="0" fontId="1" fillId="8" borderId="5" xfId="0" applyFont="1" applyFill="1" applyBorder="1"/>
    <xf numFmtId="0" fontId="0" fillId="8" borderId="13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2" fontId="2" fillId="0" borderId="27" xfId="1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2" fontId="2" fillId="0" borderId="27" xfId="1" applyNumberFormat="1" applyBorder="1" applyAlignment="1">
      <alignment vertical="center"/>
    </xf>
    <xf numFmtId="0" fontId="2" fillId="3" borderId="26" xfId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42" fontId="1" fillId="5" borderId="10" xfId="0" applyNumberFormat="1" applyFont="1" applyFill="1" applyBorder="1" applyAlignment="1">
      <alignment horizontal="center" vertical="center"/>
    </xf>
    <xf numFmtId="5" fontId="1" fillId="5" borderId="11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42" fontId="3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" fillId="8" borderId="4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8" borderId="15" xfId="0" applyFill="1" applyBorder="1" applyAlignment="1">
      <alignment horizontal="left"/>
    </xf>
    <xf numFmtId="0" fontId="0" fillId="8" borderId="6" xfId="0" applyFill="1" applyBorder="1" applyAlignment="1">
      <alignment horizontal="left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62"/>
  <sheetViews>
    <sheetView tabSelected="1" view="pageLayout" topLeftCell="R1" zoomScaleNormal="70" workbookViewId="0">
      <selection activeCell="W7" sqref="W7"/>
    </sheetView>
  </sheetViews>
  <sheetFormatPr defaultRowHeight="14.4" x14ac:dyDescent="0.3"/>
  <cols>
    <col min="1" max="1" width="2.5546875" customWidth="1"/>
    <col min="2" max="2" width="28.44140625" customWidth="1"/>
    <col min="3" max="3" width="92.6640625" customWidth="1"/>
    <col min="4" max="4" width="15.6640625" bestFit="1" customWidth="1"/>
    <col min="5" max="5" width="33.88671875" bestFit="1" customWidth="1"/>
    <col min="6" max="6" width="19.33203125" customWidth="1"/>
    <col min="7" max="7" width="26" customWidth="1"/>
    <col min="8" max="8" width="1.6640625" customWidth="1"/>
    <col min="9" max="9" width="19.6640625" customWidth="1"/>
    <col min="10" max="10" width="26.44140625" customWidth="1"/>
    <col min="11" max="11" width="1.6640625" customWidth="1"/>
    <col min="12" max="12" width="21.5546875" customWidth="1"/>
    <col min="13" max="13" width="36.44140625" customWidth="1"/>
    <col min="14" max="14" width="5.5546875" customWidth="1"/>
    <col min="15" max="15" width="19.6640625" customWidth="1"/>
    <col min="16" max="16" width="36.44140625" customWidth="1"/>
    <col min="17" max="17" width="11.33203125" customWidth="1"/>
    <col min="18" max="18" width="17.6640625" customWidth="1"/>
    <col min="19" max="19" width="25.6640625" bestFit="1" customWidth="1"/>
    <col min="22" max="22" width="20.6640625" customWidth="1"/>
    <col min="23" max="23" width="28.5546875" customWidth="1"/>
    <col min="24" max="24" width="0.6640625" customWidth="1"/>
    <col min="25" max="25" width="0.5546875" customWidth="1"/>
  </cols>
  <sheetData>
    <row r="1" spans="2:20" ht="25.2" customHeight="1" x14ac:dyDescent="0.3">
      <c r="C1" s="3"/>
      <c r="D1" s="4"/>
      <c r="E1" s="4"/>
    </row>
    <row r="2" spans="2:20" ht="25.2" customHeight="1" thickBot="1" x14ac:dyDescent="0.35">
      <c r="C2" s="3"/>
      <c r="D2" s="4"/>
      <c r="E2" s="4"/>
    </row>
    <row r="3" spans="2:20" ht="25.2" customHeight="1" thickTop="1" x14ac:dyDescent="0.3">
      <c r="B3" s="173" t="s">
        <v>49</v>
      </c>
      <c r="C3" s="174"/>
      <c r="D3" s="175"/>
      <c r="E3" s="140" t="s">
        <v>98</v>
      </c>
    </row>
    <row r="4" spans="2:20" x14ac:dyDescent="0.3">
      <c r="B4" s="176"/>
      <c r="C4" s="177"/>
      <c r="D4" s="178"/>
      <c r="E4" s="140"/>
    </row>
    <row r="5" spans="2:20" x14ac:dyDescent="0.3">
      <c r="B5" s="197" t="s">
        <v>22</v>
      </c>
      <c r="C5" s="199" t="s">
        <v>0</v>
      </c>
      <c r="D5" s="201" t="s">
        <v>1</v>
      </c>
      <c r="E5" s="5"/>
    </row>
    <row r="6" spans="2:20" x14ac:dyDescent="0.3">
      <c r="B6" s="198"/>
      <c r="C6" s="200"/>
      <c r="D6" s="202"/>
      <c r="E6" s="6"/>
      <c r="K6" s="2"/>
    </row>
    <row r="7" spans="2:20" ht="25.2" customHeight="1" x14ac:dyDescent="0.3">
      <c r="B7" s="75" t="s">
        <v>2</v>
      </c>
      <c r="C7" s="8" t="s">
        <v>23</v>
      </c>
      <c r="D7" s="76">
        <v>0</v>
      </c>
      <c r="E7" s="7"/>
      <c r="R7" s="205" t="s">
        <v>56</v>
      </c>
      <c r="S7" s="206"/>
      <c r="T7" s="207"/>
    </row>
    <row r="8" spans="2:20" ht="25.2" customHeight="1" x14ac:dyDescent="0.3">
      <c r="B8" s="75" t="s">
        <v>3</v>
      </c>
      <c r="C8" s="8" t="s">
        <v>23</v>
      </c>
      <c r="D8" s="76">
        <v>0</v>
      </c>
      <c r="E8" s="7"/>
      <c r="F8" s="144" t="s">
        <v>61</v>
      </c>
      <c r="G8" s="145"/>
      <c r="R8" s="52">
        <v>467000</v>
      </c>
      <c r="S8" s="208" t="s">
        <v>27</v>
      </c>
      <c r="T8" s="209"/>
    </row>
    <row r="9" spans="2:20" ht="25.2" customHeight="1" x14ac:dyDescent="0.3">
      <c r="B9" s="77" t="s">
        <v>4</v>
      </c>
      <c r="C9" s="73" t="s">
        <v>76</v>
      </c>
      <c r="D9" s="78">
        <v>3675000</v>
      </c>
      <c r="E9" s="7">
        <f>D9*$F$52</f>
        <v>690428.06183115346</v>
      </c>
      <c r="F9" s="12">
        <v>3850000</v>
      </c>
      <c r="G9" s="15" t="s">
        <v>58</v>
      </c>
      <c r="R9" s="55">
        <v>1525000</v>
      </c>
      <c r="S9" s="165" t="s">
        <v>28</v>
      </c>
      <c r="T9" s="166"/>
    </row>
    <row r="10" spans="2:20" ht="25.2" customHeight="1" x14ac:dyDescent="0.3">
      <c r="B10" s="77" t="s">
        <v>5</v>
      </c>
      <c r="C10" s="73" t="s">
        <v>50</v>
      </c>
      <c r="D10" s="78">
        <v>438125</v>
      </c>
      <c r="E10" s="7">
        <f>D10*$F$52</f>
        <v>82311.236623067787</v>
      </c>
      <c r="F10" s="11">
        <v>12250000</v>
      </c>
      <c r="G10" s="13" t="s">
        <v>63</v>
      </c>
      <c r="I10" s="187" t="s">
        <v>62</v>
      </c>
      <c r="J10" s="188"/>
      <c r="R10" s="55">
        <v>652000</v>
      </c>
      <c r="S10" s="165" t="s">
        <v>29</v>
      </c>
      <c r="T10" s="166"/>
    </row>
    <row r="11" spans="2:20" ht="18" customHeight="1" x14ac:dyDescent="0.3">
      <c r="B11" s="148" t="s">
        <v>6</v>
      </c>
      <c r="C11" s="146" t="s">
        <v>81</v>
      </c>
      <c r="D11" s="181">
        <v>375000</v>
      </c>
      <c r="E11" s="141">
        <f>D11*G52</f>
        <v>67300.539334201225</v>
      </c>
      <c r="F11" s="9">
        <v>3950000</v>
      </c>
      <c r="G11" s="13" t="s">
        <v>64</v>
      </c>
      <c r="I11" s="19">
        <v>3810000</v>
      </c>
      <c r="J11" s="20" t="s">
        <v>58</v>
      </c>
      <c r="R11" s="55">
        <v>144000</v>
      </c>
      <c r="S11" s="165" t="s">
        <v>30</v>
      </c>
      <c r="T11" s="166"/>
    </row>
    <row r="12" spans="2:20" ht="18" customHeight="1" x14ac:dyDescent="0.3">
      <c r="B12" s="149"/>
      <c r="C12" s="147"/>
      <c r="D12" s="153"/>
      <c r="E12" s="141"/>
      <c r="F12" s="9">
        <v>975000</v>
      </c>
      <c r="G12" s="13" t="s">
        <v>65</v>
      </c>
      <c r="I12" s="21">
        <v>17375000</v>
      </c>
      <c r="J12" s="22" t="s">
        <v>63</v>
      </c>
      <c r="L12" s="124"/>
      <c r="M12" s="125"/>
      <c r="R12" s="55">
        <v>175000</v>
      </c>
      <c r="S12" s="165" t="s">
        <v>31</v>
      </c>
      <c r="T12" s="166"/>
    </row>
    <row r="13" spans="2:20" ht="18" customHeight="1" x14ac:dyDescent="0.3">
      <c r="B13" s="148" t="s">
        <v>7</v>
      </c>
      <c r="C13" s="150" t="s">
        <v>80</v>
      </c>
      <c r="D13" s="179">
        <v>7250000</v>
      </c>
      <c r="E13" s="141">
        <f>D13*F52</f>
        <v>1362068.9655172415</v>
      </c>
      <c r="F13" s="74">
        <v>9750000</v>
      </c>
      <c r="G13" s="15" t="s">
        <v>82</v>
      </c>
      <c r="I13" s="21">
        <v>4825000</v>
      </c>
      <c r="J13" s="22" t="s">
        <v>64</v>
      </c>
      <c r="L13" s="195" t="s">
        <v>55</v>
      </c>
      <c r="M13" s="196"/>
      <c r="N13" s="106"/>
      <c r="O13" s="106"/>
      <c r="P13" s="106"/>
      <c r="R13" s="55">
        <v>325000</v>
      </c>
      <c r="S13" s="165" t="s">
        <v>32</v>
      </c>
      <c r="T13" s="166"/>
    </row>
    <row r="14" spans="2:20" ht="18" customHeight="1" x14ac:dyDescent="0.3">
      <c r="B14" s="149"/>
      <c r="C14" s="151"/>
      <c r="D14" s="180"/>
      <c r="E14" s="141"/>
      <c r="F14" s="10">
        <v>4125000</v>
      </c>
      <c r="G14" s="14" t="s">
        <v>83</v>
      </c>
      <c r="I14" s="21">
        <v>875000</v>
      </c>
      <c r="J14" s="22" t="s">
        <v>65</v>
      </c>
      <c r="L14" s="126">
        <v>300000</v>
      </c>
      <c r="M14" s="127" t="s">
        <v>17</v>
      </c>
      <c r="R14" s="55">
        <v>150000</v>
      </c>
      <c r="S14" s="165" t="s">
        <v>33</v>
      </c>
      <c r="T14" s="166"/>
    </row>
    <row r="15" spans="2:20" ht="15" customHeight="1" x14ac:dyDescent="0.3">
      <c r="B15" s="182" t="s">
        <v>7</v>
      </c>
      <c r="C15" s="154" t="s">
        <v>51</v>
      </c>
      <c r="D15" s="152">
        <f>F15</f>
        <v>34900000</v>
      </c>
      <c r="E15" s="142">
        <f>F55</f>
        <v>6556718.1926278239</v>
      </c>
      <c r="F15" s="203">
        <f>SUM(F8:F14)</f>
        <v>34900000</v>
      </c>
      <c r="G15" s="191" t="s">
        <v>1</v>
      </c>
      <c r="I15" s="21">
        <v>750000</v>
      </c>
      <c r="J15" s="22" t="s">
        <v>66</v>
      </c>
      <c r="L15" s="32">
        <v>835000</v>
      </c>
      <c r="M15" s="31" t="s">
        <v>67</v>
      </c>
      <c r="R15" s="55">
        <v>175000</v>
      </c>
      <c r="S15" s="165" t="s">
        <v>34</v>
      </c>
      <c r="T15" s="166"/>
    </row>
    <row r="16" spans="2:20" x14ac:dyDescent="0.3">
      <c r="B16" s="183"/>
      <c r="C16" s="155"/>
      <c r="D16" s="153"/>
      <c r="E16" s="142"/>
      <c r="F16" s="204"/>
      <c r="G16" s="192"/>
      <c r="I16" s="24">
        <v>2525000</v>
      </c>
      <c r="J16" s="23" t="s">
        <v>90</v>
      </c>
      <c r="L16" s="32">
        <v>325000</v>
      </c>
      <c r="M16" s="31" t="s">
        <v>26</v>
      </c>
      <c r="R16" s="55">
        <v>50000</v>
      </c>
      <c r="S16" s="165" t="s">
        <v>35</v>
      </c>
      <c r="T16" s="166"/>
    </row>
    <row r="17" spans="2:25" ht="15" customHeight="1" x14ac:dyDescent="0.3">
      <c r="B17" s="156" t="s">
        <v>18</v>
      </c>
      <c r="C17" s="158" t="s">
        <v>52</v>
      </c>
      <c r="D17" s="160">
        <f>I17</f>
        <v>30160000</v>
      </c>
      <c r="E17" s="143">
        <f>G55</f>
        <v>5412758.0435186904</v>
      </c>
      <c r="F17" s="40"/>
      <c r="G17" s="40"/>
      <c r="H17" s="40"/>
      <c r="I17" s="193">
        <f>SUM(I11:I16)</f>
        <v>30160000</v>
      </c>
      <c r="J17" s="189" t="s">
        <v>1</v>
      </c>
      <c r="L17" s="32">
        <v>725000</v>
      </c>
      <c r="M17" s="31" t="s">
        <v>20</v>
      </c>
      <c r="R17" s="55">
        <v>125000</v>
      </c>
      <c r="S17" s="165" t="s">
        <v>36</v>
      </c>
      <c r="T17" s="166"/>
    </row>
    <row r="18" spans="2:25" x14ac:dyDescent="0.3">
      <c r="B18" s="157"/>
      <c r="C18" s="159"/>
      <c r="D18" s="161"/>
      <c r="E18" s="143"/>
      <c r="F18" s="40"/>
      <c r="G18" s="40"/>
      <c r="H18" s="40"/>
      <c r="I18" s="194"/>
      <c r="J18" s="190"/>
      <c r="K18" s="25"/>
      <c r="L18" s="32">
        <v>425000</v>
      </c>
      <c r="M18" s="31" t="s">
        <v>19</v>
      </c>
      <c r="Q18" s="26"/>
      <c r="R18" s="120">
        <v>755000</v>
      </c>
      <c r="S18" s="167" t="s">
        <v>37</v>
      </c>
      <c r="T18" s="168"/>
    </row>
    <row r="19" spans="2:25" x14ac:dyDescent="0.3">
      <c r="B19" s="79"/>
      <c r="C19" s="72"/>
      <c r="D19" s="80"/>
      <c r="E19" s="70"/>
      <c r="I19" s="71"/>
      <c r="J19" s="69"/>
      <c r="K19" s="25"/>
      <c r="L19" s="35">
        <v>450000</v>
      </c>
      <c r="M19" s="36" t="s">
        <v>24</v>
      </c>
      <c r="Q19" s="26"/>
      <c r="R19" s="120">
        <v>450000</v>
      </c>
      <c r="S19" s="121" t="s">
        <v>84</v>
      </c>
      <c r="T19" s="122"/>
    </row>
    <row r="20" spans="2:25" x14ac:dyDescent="0.3">
      <c r="B20" s="81" t="s">
        <v>8</v>
      </c>
      <c r="C20" s="63" t="s">
        <v>16</v>
      </c>
      <c r="D20" s="82">
        <v>2590000</v>
      </c>
      <c r="E20" s="7">
        <f>D20*F52</f>
        <v>486587.39595719386</v>
      </c>
      <c r="K20" s="6"/>
      <c r="L20" s="37">
        <v>850000</v>
      </c>
      <c r="M20" s="105" t="s">
        <v>77</v>
      </c>
      <c r="N20" s="107"/>
      <c r="O20" s="107"/>
      <c r="P20" s="107"/>
      <c r="Q20" s="42"/>
      <c r="R20" s="120">
        <v>75000</v>
      </c>
      <c r="S20" s="165" t="s">
        <v>38</v>
      </c>
      <c r="T20" s="166"/>
    </row>
    <row r="21" spans="2:25" x14ac:dyDescent="0.3">
      <c r="B21" s="83"/>
      <c r="C21" s="68"/>
      <c r="D21" s="84"/>
      <c r="E21" s="7"/>
      <c r="F21" s="1"/>
      <c r="K21" s="1"/>
      <c r="L21" s="30">
        <v>1825000</v>
      </c>
      <c r="M21" s="31" t="s">
        <v>73</v>
      </c>
      <c r="Q21" s="42"/>
      <c r="R21" s="55">
        <v>15000</v>
      </c>
      <c r="S21" s="167" t="s">
        <v>39</v>
      </c>
      <c r="T21" s="168"/>
    </row>
    <row r="22" spans="2:25" x14ac:dyDescent="0.3">
      <c r="B22" s="81" t="s">
        <v>9</v>
      </c>
      <c r="C22" s="63" t="s">
        <v>16</v>
      </c>
      <c r="D22" s="82">
        <v>227500</v>
      </c>
      <c r="E22" s="7">
        <f>D22*F52</f>
        <v>42740.784780023787</v>
      </c>
      <c r="F22" s="1"/>
      <c r="K22" s="27"/>
      <c r="L22" s="32">
        <v>325000</v>
      </c>
      <c r="M22" s="31" t="s">
        <v>68</v>
      </c>
      <c r="Q22" s="44"/>
      <c r="R22" s="55">
        <v>225000</v>
      </c>
      <c r="S22" s="165" t="s">
        <v>40</v>
      </c>
      <c r="T22" s="166"/>
    </row>
    <row r="23" spans="2:25" x14ac:dyDescent="0.3">
      <c r="B23" s="83"/>
      <c r="C23" s="64"/>
      <c r="D23" s="84"/>
      <c r="E23" s="7"/>
      <c r="L23" s="32">
        <v>275000</v>
      </c>
      <c r="M23" s="31" t="s">
        <v>69</v>
      </c>
      <c r="Q23" s="45"/>
      <c r="R23" s="123">
        <v>875000</v>
      </c>
      <c r="S23" s="171" t="s">
        <v>85</v>
      </c>
      <c r="T23" s="172"/>
    </row>
    <row r="24" spans="2:25" x14ac:dyDescent="0.3">
      <c r="B24" s="81" t="s">
        <v>10</v>
      </c>
      <c r="C24" s="63" t="s">
        <v>16</v>
      </c>
      <c r="D24" s="82">
        <v>120</v>
      </c>
      <c r="E24" s="7">
        <f>D24*F52</f>
        <v>22.544589774078478</v>
      </c>
      <c r="L24" s="32">
        <v>85000</v>
      </c>
      <c r="M24" s="31" t="s">
        <v>70</v>
      </c>
      <c r="O24" s="109"/>
      <c r="P24" s="110" t="s">
        <v>87</v>
      </c>
      <c r="Q24" s="46"/>
      <c r="R24" s="57">
        <f>SUM(R8:R23)</f>
        <v>6183000</v>
      </c>
      <c r="S24" s="169" t="s">
        <v>1</v>
      </c>
      <c r="T24" s="170"/>
    </row>
    <row r="25" spans="2:25" x14ac:dyDescent="0.3">
      <c r="B25" s="83"/>
      <c r="C25" s="64"/>
      <c r="D25" s="84"/>
      <c r="E25" s="7"/>
      <c r="L25" s="35">
        <v>325000</v>
      </c>
      <c r="M25" s="36" t="s">
        <v>21</v>
      </c>
      <c r="O25" s="111">
        <v>1825000</v>
      </c>
      <c r="P25" s="112" t="s">
        <v>88</v>
      </c>
      <c r="Q25" s="43"/>
      <c r="U25" s="27"/>
      <c r="V25" s="162" t="s">
        <v>57</v>
      </c>
      <c r="W25" s="163"/>
      <c r="X25" s="163"/>
      <c r="Y25" s="164"/>
    </row>
    <row r="26" spans="2:25" ht="25.2" customHeight="1" x14ac:dyDescent="0.3">
      <c r="B26" s="81" t="s">
        <v>7</v>
      </c>
      <c r="C26" s="102" t="s">
        <v>78</v>
      </c>
      <c r="D26" s="85">
        <f>L26</f>
        <v>6745000</v>
      </c>
      <c r="E26" s="38">
        <f>F62</f>
        <v>3325000</v>
      </c>
      <c r="F26" s="29"/>
      <c r="G26" s="29"/>
      <c r="H26" s="29"/>
      <c r="I26" s="29"/>
      <c r="J26" s="29"/>
      <c r="K26" s="29"/>
      <c r="L26" s="33">
        <f>SUM(L14:L25)</f>
        <v>6745000</v>
      </c>
      <c r="M26" s="34" t="s">
        <v>1</v>
      </c>
      <c r="N26" s="108"/>
      <c r="O26" s="128">
        <v>550000</v>
      </c>
      <c r="P26" s="129" t="s">
        <v>85</v>
      </c>
      <c r="Q26" s="43"/>
      <c r="R26" s="184" t="s">
        <v>91</v>
      </c>
      <c r="S26" s="185"/>
      <c r="T26" s="186"/>
      <c r="V26" s="115">
        <v>300000</v>
      </c>
      <c r="W26" s="116" t="s">
        <v>42</v>
      </c>
      <c r="X26" s="48"/>
      <c r="Y26" s="16"/>
    </row>
    <row r="27" spans="2:25" x14ac:dyDescent="0.3">
      <c r="B27" s="83"/>
      <c r="C27" s="65"/>
      <c r="D27" s="84"/>
      <c r="E27" s="7"/>
      <c r="O27" s="113">
        <v>1750000</v>
      </c>
      <c r="P27" s="114" t="s">
        <v>89</v>
      </c>
      <c r="R27" s="52">
        <f>R24</f>
        <v>6183000</v>
      </c>
      <c r="S27" s="53" t="s">
        <v>72</v>
      </c>
      <c r="T27" s="54"/>
      <c r="V27" s="117">
        <v>6200000</v>
      </c>
      <c r="W27" s="103" t="s">
        <v>43</v>
      </c>
      <c r="Y27" s="17"/>
    </row>
    <row r="28" spans="2:25" x14ac:dyDescent="0.3">
      <c r="B28" s="81" t="s">
        <v>7</v>
      </c>
      <c r="C28" s="98" t="s">
        <v>79</v>
      </c>
      <c r="D28" s="86">
        <f>O28</f>
        <v>4125000</v>
      </c>
      <c r="E28" s="41">
        <f>D28*F52</f>
        <v>774970.27348394773</v>
      </c>
      <c r="F28" s="39"/>
      <c r="G28" s="39"/>
      <c r="H28" s="39"/>
      <c r="I28" s="39"/>
      <c r="J28" s="39"/>
      <c r="K28" s="39"/>
      <c r="L28" s="39"/>
      <c r="M28" s="39"/>
      <c r="N28" s="39"/>
      <c r="O28" s="130">
        <f>SUM(O25:O27)</f>
        <v>4125000</v>
      </c>
      <c r="P28" s="131" t="s">
        <v>1</v>
      </c>
      <c r="R28" s="55">
        <v>625000</v>
      </c>
      <c r="S28" s="28" t="s">
        <v>86</v>
      </c>
      <c r="T28" s="56"/>
      <c r="V28" s="117">
        <v>8500000</v>
      </c>
      <c r="W28" s="103" t="s">
        <v>44</v>
      </c>
      <c r="Y28" s="17"/>
    </row>
    <row r="29" spans="2:25" x14ac:dyDescent="0.3">
      <c r="B29" s="83"/>
      <c r="C29" s="64"/>
      <c r="D29" s="84"/>
      <c r="E29" s="7"/>
      <c r="R29" s="55">
        <v>1800000</v>
      </c>
      <c r="S29" s="28" t="s">
        <v>60</v>
      </c>
      <c r="T29" s="56"/>
      <c r="V29" s="117">
        <v>1500000</v>
      </c>
      <c r="W29" s="103" t="s">
        <v>45</v>
      </c>
      <c r="Y29" s="17"/>
    </row>
    <row r="30" spans="2:25" x14ac:dyDescent="0.3">
      <c r="B30" s="81" t="s">
        <v>59</v>
      </c>
      <c r="C30" s="99" t="s">
        <v>71</v>
      </c>
      <c r="D30" s="87">
        <f>R30</f>
        <v>8608000</v>
      </c>
      <c r="E30" s="49">
        <f>D30*F52</f>
        <v>1617198.5731272297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57">
        <f>SUM(R27:R29)</f>
        <v>8608000</v>
      </c>
      <c r="S30" s="58" t="s">
        <v>1</v>
      </c>
      <c r="T30" s="59"/>
      <c r="V30" s="117">
        <v>300000</v>
      </c>
      <c r="W30" s="103" t="s">
        <v>46</v>
      </c>
      <c r="Y30" s="17"/>
    </row>
    <row r="31" spans="2:25" x14ac:dyDescent="0.3">
      <c r="B31" s="83"/>
      <c r="C31" s="64"/>
      <c r="D31" s="84"/>
      <c r="E31" s="7"/>
      <c r="V31" s="117">
        <v>1400000</v>
      </c>
      <c r="W31" s="103" t="s">
        <v>47</v>
      </c>
      <c r="Y31" s="17"/>
    </row>
    <row r="32" spans="2:25" x14ac:dyDescent="0.3">
      <c r="B32" s="81" t="s">
        <v>25</v>
      </c>
      <c r="C32" s="62" t="s">
        <v>54</v>
      </c>
      <c r="D32" s="97">
        <f>V32</f>
        <v>18200000</v>
      </c>
      <c r="E32" s="50">
        <f>D32*(AVERAGE(F52,G52))</f>
        <v>3342791.1457109009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103"/>
      <c r="R32" s="51"/>
      <c r="S32" s="51"/>
      <c r="T32" s="51"/>
      <c r="U32" s="51"/>
      <c r="V32" s="118">
        <f>SUM(V26:V31)</f>
        <v>18200000</v>
      </c>
      <c r="W32" s="119" t="s">
        <v>1</v>
      </c>
      <c r="X32" s="47"/>
      <c r="Y32" s="18"/>
    </row>
    <row r="33" spans="2:6" x14ac:dyDescent="0.3">
      <c r="B33" s="83"/>
      <c r="C33" s="64"/>
      <c r="D33" s="84"/>
      <c r="E33" s="7"/>
    </row>
    <row r="34" spans="2:6" x14ac:dyDescent="0.3">
      <c r="B34" s="81" t="s">
        <v>11</v>
      </c>
      <c r="C34" s="61" t="s">
        <v>41</v>
      </c>
      <c r="D34" s="82">
        <v>5456000</v>
      </c>
      <c r="E34" s="7">
        <f>D34*F52</f>
        <v>1025027.3483947682</v>
      </c>
    </row>
    <row r="35" spans="2:6" x14ac:dyDescent="0.3">
      <c r="B35" s="83"/>
      <c r="C35" s="64"/>
      <c r="D35" s="84"/>
      <c r="E35" s="7"/>
    </row>
    <row r="36" spans="2:6" x14ac:dyDescent="0.3">
      <c r="B36" s="81" t="s">
        <v>12</v>
      </c>
      <c r="C36" s="61" t="s">
        <v>41</v>
      </c>
      <c r="D36" s="82">
        <v>72000</v>
      </c>
      <c r="E36" s="7">
        <f>D36*F52</f>
        <v>13526.753864447088</v>
      </c>
    </row>
    <row r="37" spans="2:6" x14ac:dyDescent="0.3">
      <c r="B37" s="83"/>
      <c r="C37" s="64"/>
      <c r="D37" s="84"/>
      <c r="E37" s="7"/>
    </row>
    <row r="38" spans="2:6" x14ac:dyDescent="0.3">
      <c r="B38" s="81" t="s">
        <v>13</v>
      </c>
      <c r="C38" s="61" t="s">
        <v>41</v>
      </c>
      <c r="D38" s="82">
        <v>-2230.87</v>
      </c>
      <c r="E38" s="7">
        <f>D38*F52</f>
        <v>-419.11707491082046</v>
      </c>
    </row>
    <row r="39" spans="2:6" x14ac:dyDescent="0.3">
      <c r="B39" s="83"/>
      <c r="C39" s="64"/>
      <c r="D39" s="84"/>
      <c r="E39" s="7"/>
    </row>
    <row r="40" spans="2:6" x14ac:dyDescent="0.3">
      <c r="B40" s="81" t="s">
        <v>14</v>
      </c>
      <c r="C40" s="104" t="s">
        <v>53</v>
      </c>
      <c r="D40" s="82">
        <v>2750000</v>
      </c>
      <c r="E40" s="7"/>
    </row>
    <row r="41" spans="2:6" x14ac:dyDescent="0.3">
      <c r="B41" s="83"/>
      <c r="C41" s="64"/>
      <c r="D41" s="84"/>
      <c r="E41" s="7"/>
    </row>
    <row r="42" spans="2:6" x14ac:dyDescent="0.3">
      <c r="B42" s="88" t="s">
        <v>14</v>
      </c>
      <c r="C42" s="100" t="s">
        <v>74</v>
      </c>
      <c r="D42" s="89">
        <v>325000</v>
      </c>
      <c r="E42" s="7"/>
    </row>
    <row r="43" spans="2:6" x14ac:dyDescent="0.3">
      <c r="B43" s="83"/>
      <c r="C43" s="64"/>
      <c r="D43" s="84"/>
      <c r="E43" s="7"/>
    </row>
    <row r="44" spans="2:6" x14ac:dyDescent="0.3">
      <c r="B44" s="90" t="s">
        <v>15</v>
      </c>
      <c r="C44" s="101" t="s">
        <v>75</v>
      </c>
      <c r="D44" s="91">
        <v>-81968.52</v>
      </c>
      <c r="E44" s="7"/>
    </row>
    <row r="45" spans="2:6" ht="15" thickBot="1" x14ac:dyDescent="0.35">
      <c r="B45" s="83"/>
      <c r="C45" s="66"/>
      <c r="D45" s="92"/>
      <c r="E45" s="7"/>
    </row>
    <row r="46" spans="2:6" ht="15.6" thickTop="1" thickBot="1" x14ac:dyDescent="0.35">
      <c r="B46" s="93"/>
      <c r="C46" s="67" t="s">
        <v>48</v>
      </c>
      <c r="D46" s="60">
        <f>SUM(D7:D44)</f>
        <v>125812545.61</v>
      </c>
      <c r="E46" s="139">
        <f>SUM(E7:E44)</f>
        <v>24799030.742285553</v>
      </c>
      <c r="F46" s="27"/>
    </row>
    <row r="47" spans="2:6" ht="15.6" thickTop="1" thickBot="1" x14ac:dyDescent="0.35">
      <c r="B47" s="94"/>
      <c r="C47" s="95"/>
      <c r="D47" s="96"/>
    </row>
    <row r="48" spans="2:6" ht="15" thickTop="1" x14ac:dyDescent="0.3"/>
    <row r="50" spans="5:8" x14ac:dyDescent="0.3">
      <c r="F50" s="133" t="s">
        <v>93</v>
      </c>
      <c r="G50" s="133" t="s">
        <v>94</v>
      </c>
      <c r="H50" s="133"/>
    </row>
    <row r="51" spans="5:8" x14ac:dyDescent="0.3">
      <c r="E51" s="137" t="s">
        <v>64</v>
      </c>
      <c r="F51" s="1">
        <f>F11</f>
        <v>3950000</v>
      </c>
      <c r="G51" s="1">
        <f>I13</f>
        <v>4825000</v>
      </c>
    </row>
    <row r="52" spans="5:8" x14ac:dyDescent="0.3">
      <c r="E52" s="137" t="s">
        <v>92</v>
      </c>
      <c r="F52" s="136">
        <f>F51/(F9+F10+F11+F12)</f>
        <v>0.187871581450654</v>
      </c>
      <c r="G52" s="136">
        <f>G51/(I11+I12+I13+I14)</f>
        <v>0.17946810489120327</v>
      </c>
    </row>
    <row r="53" spans="5:8" x14ac:dyDescent="0.3">
      <c r="E53" s="137" t="s">
        <v>96</v>
      </c>
      <c r="F53" s="132">
        <f>F52*F13</f>
        <v>1831747.9191438765</v>
      </c>
      <c r="G53" s="132">
        <f>G52*I15</f>
        <v>134601.07866840245</v>
      </c>
    </row>
    <row r="54" spans="5:8" x14ac:dyDescent="0.3">
      <c r="E54" s="137" t="s">
        <v>97</v>
      </c>
      <c r="F54" s="132">
        <f>F52*F14</f>
        <v>774970.27348394773</v>
      </c>
      <c r="G54" s="132">
        <f>G52*I16</f>
        <v>453156.96485028823</v>
      </c>
    </row>
    <row r="55" spans="5:8" x14ac:dyDescent="0.3">
      <c r="E55" s="138" t="s">
        <v>1</v>
      </c>
      <c r="F55" s="134">
        <f>F51+F53+F54</f>
        <v>6556718.1926278239</v>
      </c>
      <c r="G55" s="134">
        <f>G51+G53+G54</f>
        <v>5412758.0435186904</v>
      </c>
      <c r="H55" s="133"/>
    </row>
    <row r="57" spans="5:8" x14ac:dyDescent="0.3">
      <c r="F57" s="133" t="s">
        <v>95</v>
      </c>
    </row>
    <row r="58" spans="5:8" x14ac:dyDescent="0.3">
      <c r="E58" s="137" t="str">
        <f>M21</f>
        <v>Absorber Recirc Pump Rebuilds</v>
      </c>
      <c r="F58" s="1">
        <f>L21</f>
        <v>1825000</v>
      </c>
    </row>
    <row r="59" spans="5:8" x14ac:dyDescent="0.3">
      <c r="E59" s="137" t="str">
        <f>M16</f>
        <v xml:space="preserve">Mech Eqpt </v>
      </c>
      <c r="F59" s="1">
        <f>L16</f>
        <v>325000</v>
      </c>
    </row>
    <row r="60" spans="5:8" x14ac:dyDescent="0.3">
      <c r="E60" s="137" t="str">
        <f>M17</f>
        <v>Piping</v>
      </c>
      <c r="F60" s="1">
        <f>L17</f>
        <v>725000</v>
      </c>
    </row>
    <row r="61" spans="5:8" x14ac:dyDescent="0.3">
      <c r="E61" s="137" t="str">
        <f>M19</f>
        <v>Electrical Equipment</v>
      </c>
      <c r="F61" s="1">
        <f>L19</f>
        <v>450000</v>
      </c>
    </row>
    <row r="62" spans="5:8" x14ac:dyDescent="0.3">
      <c r="E62" s="138" t="s">
        <v>1</v>
      </c>
      <c r="F62" s="135">
        <f>F58+F59+F60+F61</f>
        <v>3325000</v>
      </c>
    </row>
  </sheetData>
  <mergeCells count="47">
    <mergeCell ref="S14:T14"/>
    <mergeCell ref="S13:T13"/>
    <mergeCell ref="S12:T12"/>
    <mergeCell ref="S11:T11"/>
    <mergeCell ref="R7:T7"/>
    <mergeCell ref="S10:T10"/>
    <mergeCell ref="S9:T9"/>
    <mergeCell ref="S8:T8"/>
    <mergeCell ref="B3:D4"/>
    <mergeCell ref="D13:D14"/>
    <mergeCell ref="D11:D12"/>
    <mergeCell ref="B15:B16"/>
    <mergeCell ref="R26:T26"/>
    <mergeCell ref="I10:J10"/>
    <mergeCell ref="J17:J18"/>
    <mergeCell ref="G15:G16"/>
    <mergeCell ref="I17:I18"/>
    <mergeCell ref="L13:M13"/>
    <mergeCell ref="S16:T16"/>
    <mergeCell ref="S15:T15"/>
    <mergeCell ref="B5:B6"/>
    <mergeCell ref="C5:C6"/>
    <mergeCell ref="D5:D6"/>
    <mergeCell ref="F15:F16"/>
    <mergeCell ref="V25:Y25"/>
    <mergeCell ref="S17:T17"/>
    <mergeCell ref="S18:T18"/>
    <mergeCell ref="S20:T20"/>
    <mergeCell ref="S21:T21"/>
    <mergeCell ref="S22:T22"/>
    <mergeCell ref="S24:T24"/>
    <mergeCell ref="S23:T23"/>
    <mergeCell ref="D15:D16"/>
    <mergeCell ref="C15:C16"/>
    <mergeCell ref="B17:B18"/>
    <mergeCell ref="C17:C18"/>
    <mergeCell ref="D17:D18"/>
    <mergeCell ref="F8:G8"/>
    <mergeCell ref="C11:C12"/>
    <mergeCell ref="B11:B12"/>
    <mergeCell ref="B13:B14"/>
    <mergeCell ref="C13:C14"/>
    <mergeCell ref="E3:E4"/>
    <mergeCell ref="E11:E12"/>
    <mergeCell ref="E13:E14"/>
    <mergeCell ref="E15:E16"/>
    <mergeCell ref="E17:E18"/>
  </mergeCells>
  <pageMargins left="0.1" right="0" top="1" bottom="0" header="0.3" footer="0.25"/>
  <pageSetup paperSize="5" scale="35" fitToHeight="0" orientation="landscape" r:id="rId1"/>
  <headerFooter>
    <oddHeader>&amp;R&amp;"Times New Roman,Bold"&amp;10KyPSC Case No. 2025-00002
 Attachment CMD-1
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36" sqref="N36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36" sqref="N36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794857735C44A8C7E3CE3CE5BE8D4" ma:contentTypeVersion="4" ma:contentTypeDescription="Create a new document." ma:contentTypeScope="" ma:versionID="5f52e1cadccfe8de0eaed1fab9862caa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0FB52-D50F-4AF5-B799-76033EEC87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B5BB1-E05E-4659-93E9-BFFE013C7264}">
  <ds:schemaRefs>
    <ds:schemaRef ds:uri="3c9d8c27-8a6d-4d9e-a15e-ef5d28c114af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2612a682-5ffb-4b9c-9555-01761893517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D3FDD8-1B05-4426-BAEE-C4EAA4125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EB Limestone Conversion Cost Estimate</dc:subject>
  <dc:creator>Custer, Jeffrey</dc:creator>
  <cp:lastModifiedBy>Sunderman, Minna</cp:lastModifiedBy>
  <cp:lastPrinted>2025-01-27T17:56:02Z</cp:lastPrinted>
  <dcterms:created xsi:type="dcterms:W3CDTF">2017-02-02T20:00:37Z</dcterms:created>
  <dcterms:modified xsi:type="dcterms:W3CDTF">2025-01-27T17:56:09Z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0x01010094B794857735C44A8C7E3CE3CE5BE8D4</vt:lpwstr>
  </property>
</Properties>
</file>