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dba73962b2cd367/Documents/Western Rockcastle/Application/1st DR/"/>
    </mc:Choice>
  </mc:AlternateContent>
  <xr:revisionPtr revIDLastSave="0" documentId="8_{BF2BB9E5-1D7F-4586-8628-1BF8A4FA29B1}" xr6:coauthVersionLast="47" xr6:coauthVersionMax="47" xr10:uidLastSave="{00000000-0000-0000-0000-000000000000}"/>
  <bookViews>
    <workbookView xWindow="-120" yWindow="-120" windowWidth="24240" windowHeight="13020" activeTab="2" xr2:uid="{31179C0C-E8D3-48BE-831C-A17A76A1E7B6}"/>
  </bookViews>
  <sheets>
    <sheet name="BA CY 2023 Rates" sheetId="1" r:id="rId1"/>
    <sheet name="CN 2023-000334 Rates" sheetId="3" r:id="rId2"/>
    <sheet name="Prop Rates BA" sheetId="4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7" i="1"/>
  <c r="D52" i="4"/>
  <c r="F44" i="4"/>
  <c r="E44" i="4"/>
  <c r="D44" i="4"/>
  <c r="G43" i="4"/>
  <c r="F43" i="4"/>
  <c r="I43" i="4" s="1"/>
  <c r="E43" i="4"/>
  <c r="D43" i="4"/>
  <c r="I40" i="4" s="1"/>
  <c r="F42" i="4"/>
  <c r="H42" i="4" s="1"/>
  <c r="E42" i="4"/>
  <c r="G42" i="4" s="1"/>
  <c r="D42" i="4"/>
  <c r="H40" i="4" s="1"/>
  <c r="H43" i="4" s="1"/>
  <c r="F41" i="4"/>
  <c r="G41" i="4" s="1"/>
  <c r="E41" i="4"/>
  <c r="E45" i="4" s="1"/>
  <c r="E49" i="4" s="1"/>
  <c r="G8" i="4" s="1"/>
  <c r="D41" i="4"/>
  <c r="J40" i="4"/>
  <c r="G40" i="4"/>
  <c r="D35" i="4"/>
  <c r="D34" i="4"/>
  <c r="D33" i="4"/>
  <c r="D32" i="4"/>
  <c r="D31" i="4"/>
  <c r="R27" i="4"/>
  <c r="P27" i="4"/>
  <c r="O27" i="4"/>
  <c r="N27" i="4"/>
  <c r="Q26" i="4"/>
  <c r="J26" i="4"/>
  <c r="I26" i="4"/>
  <c r="H26" i="4"/>
  <c r="G26" i="4"/>
  <c r="F26" i="4"/>
  <c r="E26" i="4"/>
  <c r="D26" i="4"/>
  <c r="Q25" i="4"/>
  <c r="F25" i="4"/>
  <c r="E25" i="4"/>
  <c r="I25" i="4" s="1"/>
  <c r="Q24" i="4"/>
  <c r="F24" i="4"/>
  <c r="E24" i="4"/>
  <c r="H24" i="4" s="1"/>
  <c r="Q23" i="4"/>
  <c r="Q27" i="4" s="1"/>
  <c r="F23" i="4"/>
  <c r="E23" i="4"/>
  <c r="Q22" i="4"/>
  <c r="F22" i="4"/>
  <c r="F27" i="4" s="1"/>
  <c r="E22" i="4"/>
  <c r="E27" i="4" s="1"/>
  <c r="E31" i="4" s="1"/>
  <c r="K21" i="4"/>
  <c r="J21" i="4"/>
  <c r="I21" i="4"/>
  <c r="H21" i="4"/>
  <c r="G21" i="4"/>
  <c r="G23" i="4" s="1"/>
  <c r="I9" i="4"/>
  <c r="B2" i="4"/>
  <c r="C55" i="3"/>
  <c r="C54" i="3"/>
  <c r="C56" i="3" s="1"/>
  <c r="F53" i="3"/>
  <c r="C53" i="3"/>
  <c r="D49" i="3"/>
  <c r="D53" i="3" s="1"/>
  <c r="E48" i="3"/>
  <c r="D48" i="3"/>
  <c r="H48" i="3" s="1"/>
  <c r="C48" i="3"/>
  <c r="G47" i="3"/>
  <c r="F47" i="3"/>
  <c r="E47" i="3"/>
  <c r="H47" i="3" s="1"/>
  <c r="H49" i="3" s="1"/>
  <c r="E55" i="3" s="1"/>
  <c r="H55" i="3" s="1"/>
  <c r="D47" i="3"/>
  <c r="E46" i="3"/>
  <c r="D46" i="3"/>
  <c r="F46" i="3" s="1"/>
  <c r="E45" i="3"/>
  <c r="F45" i="3" s="1"/>
  <c r="D45" i="3"/>
  <c r="I44" i="3"/>
  <c r="H44" i="3"/>
  <c r="G44" i="3"/>
  <c r="F44" i="3"/>
  <c r="S39" i="3"/>
  <c r="Q39" i="3"/>
  <c r="P39" i="3"/>
  <c r="R38" i="3"/>
  <c r="E28" i="3" s="1"/>
  <c r="T37" i="3"/>
  <c r="R37" i="3"/>
  <c r="F37" i="3"/>
  <c r="R36" i="3"/>
  <c r="E26" i="3" s="1"/>
  <c r="F36" i="3"/>
  <c r="C36" i="3"/>
  <c r="T35" i="3"/>
  <c r="R35" i="3"/>
  <c r="F35" i="3"/>
  <c r="C35" i="3"/>
  <c r="R34" i="3"/>
  <c r="E24" i="3" s="1"/>
  <c r="F34" i="3"/>
  <c r="C34" i="3"/>
  <c r="F33" i="3"/>
  <c r="C33" i="3"/>
  <c r="S29" i="3"/>
  <c r="Q29" i="3"/>
  <c r="P29" i="3"/>
  <c r="R28" i="3"/>
  <c r="D28" i="3" s="1"/>
  <c r="L28" i="3" s="1"/>
  <c r="C28" i="3"/>
  <c r="J23" i="3" s="1"/>
  <c r="R27" i="3"/>
  <c r="T27" i="3" s="1"/>
  <c r="E27" i="3"/>
  <c r="R26" i="3"/>
  <c r="D26" i="3" s="1"/>
  <c r="R25" i="3"/>
  <c r="T25" i="3" s="1"/>
  <c r="E25" i="3"/>
  <c r="D25" i="3"/>
  <c r="T24" i="3"/>
  <c r="R24" i="3"/>
  <c r="D24" i="3" s="1"/>
  <c r="I23" i="3"/>
  <c r="H23" i="3"/>
  <c r="G23" i="3"/>
  <c r="F23" i="3"/>
  <c r="F12" i="3"/>
  <c r="A2" i="3"/>
  <c r="F41" i="1"/>
  <c r="L41" i="1" s="1"/>
  <c r="H44" i="1"/>
  <c r="G43" i="1"/>
  <c r="F43" i="1"/>
  <c r="F42" i="1"/>
  <c r="E25" i="1"/>
  <c r="I24" i="1"/>
  <c r="H24" i="1"/>
  <c r="G24" i="1"/>
  <c r="G23" i="1"/>
  <c r="F22" i="1"/>
  <c r="G22" i="1"/>
  <c r="D25" i="1"/>
  <c r="F20" i="1"/>
  <c r="I44" i="4" l="1"/>
  <c r="I45" i="4"/>
  <c r="F51" i="4" s="1"/>
  <c r="G7" i="4"/>
  <c r="J25" i="4"/>
  <c r="J27" i="4" s="1"/>
  <c r="F34" i="4" s="1"/>
  <c r="L26" i="4"/>
  <c r="L23" i="4"/>
  <c r="S23" i="4" s="1"/>
  <c r="L43" i="4"/>
  <c r="L41" i="4"/>
  <c r="H23" i="4"/>
  <c r="L42" i="4"/>
  <c r="F45" i="4"/>
  <c r="G25" i="4"/>
  <c r="H25" i="4"/>
  <c r="K26" i="4"/>
  <c r="G22" i="4"/>
  <c r="G24" i="4"/>
  <c r="I24" i="4" s="1"/>
  <c r="I27" i="4" s="1"/>
  <c r="F33" i="4" s="1"/>
  <c r="G44" i="4"/>
  <c r="H44" i="4"/>
  <c r="H45" i="4" s="1"/>
  <c r="F50" i="4" s="1"/>
  <c r="F24" i="3"/>
  <c r="E29" i="3"/>
  <c r="H53" i="3"/>
  <c r="F8" i="3"/>
  <c r="L47" i="3"/>
  <c r="I28" i="3"/>
  <c r="L45" i="3"/>
  <c r="F49" i="3"/>
  <c r="E53" i="3" s="1"/>
  <c r="G26" i="3"/>
  <c r="H26" i="3" s="1"/>
  <c r="L26" i="3"/>
  <c r="F26" i="3"/>
  <c r="G28" i="3"/>
  <c r="G46" i="3"/>
  <c r="G49" i="3" s="1"/>
  <c r="E54" i="3" s="1"/>
  <c r="H54" i="3" s="1"/>
  <c r="T28" i="3"/>
  <c r="T38" i="3"/>
  <c r="T26" i="3"/>
  <c r="T29" i="3" s="1"/>
  <c r="T34" i="3"/>
  <c r="C37" i="3"/>
  <c r="F28" i="3"/>
  <c r="R39" i="3"/>
  <c r="H28" i="3"/>
  <c r="G48" i="3"/>
  <c r="R29" i="3"/>
  <c r="R19" i="3" s="1"/>
  <c r="E49" i="3"/>
  <c r="F25" i="3"/>
  <c r="T36" i="3"/>
  <c r="D27" i="3"/>
  <c r="L27" i="3" s="1"/>
  <c r="F48" i="3"/>
  <c r="H43" i="1"/>
  <c r="L43" i="1" s="1"/>
  <c r="G42" i="1"/>
  <c r="L42" i="1"/>
  <c r="F44" i="1"/>
  <c r="G44" i="1"/>
  <c r="H22" i="1"/>
  <c r="K22" i="1"/>
  <c r="K20" i="1"/>
  <c r="F23" i="1"/>
  <c r="H23" i="1"/>
  <c r="F21" i="1"/>
  <c r="G21" i="1" s="1"/>
  <c r="G25" i="1" s="1"/>
  <c r="F24" i="1"/>
  <c r="J44" i="4" l="1"/>
  <c r="J45" i="4" s="1"/>
  <c r="F52" i="4" s="1"/>
  <c r="L24" i="4"/>
  <c r="G27" i="4"/>
  <c r="F31" i="4" s="1"/>
  <c r="L22" i="4"/>
  <c r="K27" i="4"/>
  <c r="F35" i="4"/>
  <c r="L25" i="4"/>
  <c r="H27" i="4"/>
  <c r="F32" i="4" s="1"/>
  <c r="G45" i="4"/>
  <c r="F49" i="4" s="1"/>
  <c r="G27" i="3"/>
  <c r="K26" i="3"/>
  <c r="G25" i="3"/>
  <c r="G29" i="3" s="1"/>
  <c r="E34" i="3" s="1"/>
  <c r="H34" i="3" s="1"/>
  <c r="L46" i="3"/>
  <c r="D29" i="3"/>
  <c r="H27" i="3"/>
  <c r="H29" i="3" s="1"/>
  <c r="E35" i="3" s="1"/>
  <c r="H35" i="3" s="1"/>
  <c r="K28" i="3"/>
  <c r="I48" i="3"/>
  <c r="I49" i="3" s="1"/>
  <c r="E56" i="3" s="1"/>
  <c r="H56" i="3" s="1"/>
  <c r="H57" i="3" s="1"/>
  <c r="H8" i="3" s="1"/>
  <c r="F27" i="3"/>
  <c r="T39" i="3"/>
  <c r="J28" i="3"/>
  <c r="K24" i="3"/>
  <c r="F29" i="3"/>
  <c r="E33" i="3" s="1"/>
  <c r="I44" i="1"/>
  <c r="L44" i="1" s="1"/>
  <c r="I23" i="1"/>
  <c r="I25" i="1" s="1"/>
  <c r="J24" i="1"/>
  <c r="J25" i="1" s="1"/>
  <c r="K21" i="1"/>
  <c r="K23" i="1"/>
  <c r="F25" i="1"/>
  <c r="H25" i="1"/>
  <c r="L27" i="4" l="1"/>
  <c r="F36" i="4"/>
  <c r="H7" i="4" s="1"/>
  <c r="F53" i="4"/>
  <c r="H8" i="4" s="1"/>
  <c r="L44" i="4"/>
  <c r="L45" i="4" s="1"/>
  <c r="L32" i="3"/>
  <c r="L33" i="3" s="1"/>
  <c r="D33" i="3"/>
  <c r="K25" i="3"/>
  <c r="U25" i="3" s="1"/>
  <c r="J29" i="3"/>
  <c r="E37" i="3"/>
  <c r="H37" i="3" s="1"/>
  <c r="I27" i="3"/>
  <c r="I29" i="3" s="1"/>
  <c r="E36" i="3" s="1"/>
  <c r="H36" i="3" s="1"/>
  <c r="K27" i="3"/>
  <c r="E57" i="3"/>
  <c r="E38" i="3"/>
  <c r="L48" i="3"/>
  <c r="L49" i="3" s="1"/>
  <c r="K24" i="1"/>
  <c r="K25" i="1" s="1"/>
  <c r="G7" i="3" l="1"/>
  <c r="N38" i="3"/>
  <c r="N57" i="3"/>
  <c r="G8" i="3"/>
  <c r="K29" i="3"/>
  <c r="F7" i="3"/>
  <c r="F9" i="3" s="1"/>
  <c r="F11" i="3" s="1"/>
  <c r="F13" i="3" s="1"/>
  <c r="H33" i="3"/>
  <c r="H38" i="3" s="1"/>
  <c r="H7" i="3" s="1"/>
  <c r="H9" i="3" s="1"/>
  <c r="H11" i="3" s="1"/>
  <c r="H13" i="3" s="1"/>
  <c r="G9" i="3" l="1"/>
  <c r="G11" i="3" s="1"/>
  <c r="G13" i="3" s="1"/>
  <c r="I16" i="4" l="1"/>
  <c r="G33" i="4" l="1"/>
  <c r="G49" i="4" l="1"/>
  <c r="I49" i="4" s="1"/>
  <c r="G50" i="4"/>
  <c r="I50" i="4" s="1"/>
  <c r="I33" i="4"/>
  <c r="G34" i="4"/>
  <c r="G32" i="4"/>
  <c r="I32" i="4" s="1"/>
  <c r="G35" i="4" l="1"/>
  <c r="G31" i="4"/>
  <c r="I31" i="4" s="1"/>
  <c r="G51" i="4"/>
  <c r="I51" i="4" s="1"/>
  <c r="I34" i="4"/>
  <c r="G52" i="4" l="1"/>
  <c r="I52" i="4" s="1"/>
  <c r="I53" i="4" s="1"/>
  <c r="I8" i="4" s="1"/>
  <c r="I35" i="4"/>
  <c r="I36" i="4" s="1"/>
  <c r="I7" i="4" s="1"/>
  <c r="I10" i="4" s="1"/>
  <c r="I15" i="4" l="1"/>
  <c r="I17" i="4" s="1"/>
  <c r="I12" i="4"/>
</calcChain>
</file>

<file path=xl/sharedStrings.xml><?xml version="1.0" encoding="utf-8"?>
<sst xmlns="http://schemas.openxmlformats.org/spreadsheetml/2006/main" count="254" uniqueCount="53">
  <si>
    <t>CURRENT BILLING ANALYSIS - 2022 USAGE &amp;  Tariffed Water Rates</t>
  </si>
  <si>
    <t xml:space="preserve">  SUMMARY  </t>
  </si>
  <si>
    <t>Meter Size</t>
  </si>
  <si>
    <t># of Bills</t>
  </si>
  <si>
    <t>Gallons Sold</t>
  </si>
  <si>
    <t>Revenue</t>
  </si>
  <si>
    <t>5/8-Inch x 3/4_Inch Meter</t>
  </si>
  <si>
    <t>1-Inch Meter</t>
  </si>
  <si>
    <t>Total Billed Revenue</t>
  </si>
  <si>
    <t>Less Adjustments - Residential</t>
  </si>
  <si>
    <t>NET RETAIL</t>
  </si>
  <si>
    <t>FROM PSC ANNUAL REPORT</t>
  </si>
  <si>
    <t>Total adjustment</t>
  </si>
  <si>
    <t>Meter Size:</t>
  </si>
  <si>
    <t>3/4-Inch x 5/8-Inch Meter</t>
  </si>
  <si>
    <t>First</t>
  </si>
  <si>
    <t>Next</t>
  </si>
  <si>
    <t>Over</t>
  </si>
  <si>
    <t>Total</t>
  </si>
  <si>
    <t>Usage</t>
  </si>
  <si>
    <t>Bills</t>
  </si>
  <si>
    <t>Gallons</t>
  </si>
  <si>
    <t>TOTALS</t>
  </si>
  <si>
    <t>REVENUE BY RATE INCREMENT</t>
  </si>
  <si>
    <t xml:space="preserve">Rate </t>
  </si>
  <si>
    <t>Difference</t>
  </si>
  <si>
    <t>Min. Bill</t>
  </si>
  <si>
    <t>per Gallon</t>
  </si>
  <si>
    <t>TOTAL</t>
  </si>
  <si>
    <t>,</t>
  </si>
  <si>
    <t>Western Rockcastle Association</t>
  </si>
  <si>
    <t>Avg Cust Usage</t>
  </si>
  <si>
    <t>by Rate Block</t>
  </si>
  <si>
    <t>for Cust. Notice</t>
  </si>
  <si>
    <t>5/8</t>
  </si>
  <si>
    <t>3/4</t>
  </si>
  <si>
    <t>Sub-total</t>
  </si>
  <si>
    <t>0-2,000</t>
  </si>
  <si>
    <t>2,001 - 5000</t>
  </si>
  <si>
    <t>5,001-10,000</t>
  </si>
  <si>
    <t>10,001-25,000</t>
  </si>
  <si>
    <t>25,001-999,999</t>
  </si>
  <si>
    <t>Consumption</t>
  </si>
  <si>
    <t>1 1/2-Inch Meter</t>
  </si>
  <si>
    <t>Revised Proposed Billing Analysis - 2022 Usage &amp; Proposed Water Rates</t>
  </si>
  <si>
    <t>Net Revenue Proposed Water Rates</t>
  </si>
  <si>
    <t>Revenue Water Sales - Normalized</t>
  </si>
  <si>
    <t>Rate Check Calculation.</t>
  </si>
  <si>
    <t xml:space="preserve">Revenue Water Sales - Proposed Rates </t>
  </si>
  <si>
    <t>Less:  Revenue Requirement Operating Ratio</t>
  </si>
  <si>
    <t>Commercial</t>
  </si>
  <si>
    <t>Other</t>
  </si>
  <si>
    <t>Residential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</si>
</sst>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00_);_(&quot;$&quot;* \(#,##0.000000\);_(&quot;$&quot;* &quot;-&quot;??_);_(@_)"/>
    <numFmt numFmtId="166" formatCode="_(&quot;$&quot;* #,##0.00000_);_(&quot;$&quot;* \(#,##0.00000\);_(&quot;$&quot;* &quot;-&quot;??_);_(@_)"/>
    <numFmt numFmtId="167" formatCode="_(&quot;$&quot;* #,##0_);_(&quot;$&quot;* \(#,##0\);_(&quot;$&quot;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name val="Aptos Narrow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2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0" xfId="1" applyNumberFormat="1" applyFont="1"/>
    <xf numFmtId="37" fontId="0" fillId="0" borderId="0" xfId="0" applyNumberFormat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2" xfId="1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4" fontId="0" fillId="0" borderId="0" xfId="1" applyNumberFormat="1" applyFont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39" fontId="0" fillId="0" borderId="2" xfId="1" applyNumberFormat="1" applyFont="1" applyBorder="1" applyAlignment="1">
      <alignment vertical="center"/>
    </xf>
    <xf numFmtId="0" fontId="0" fillId="0" borderId="0" xfId="0" applyAlignment="1">
      <alignment horizontal="left" vertical="center"/>
    </xf>
    <xf numFmtId="37" fontId="0" fillId="0" borderId="2" xfId="1" applyNumberFormat="1" applyFont="1" applyFill="1" applyBorder="1" applyAlignment="1">
      <alignment vertical="center"/>
    </xf>
    <xf numFmtId="37" fontId="0" fillId="0" borderId="0" xfId="1" applyNumberFormat="1" applyFont="1" applyAlignment="1">
      <alignment vertical="center"/>
    </xf>
    <xf numFmtId="37" fontId="0" fillId="0" borderId="2" xfId="1" applyNumberFormat="1" applyFont="1" applyBorder="1" applyAlignment="1">
      <alignment vertical="center"/>
    </xf>
    <xf numFmtId="0" fontId="0" fillId="0" borderId="0" xfId="0" applyAlignment="1">
      <alignment horizontal="left"/>
    </xf>
    <xf numFmtId="37" fontId="0" fillId="0" borderId="3" xfId="1" applyNumberFormat="1" applyFont="1" applyBorder="1" applyAlignment="1">
      <alignment vertical="center"/>
    </xf>
    <xf numFmtId="42" fontId="0" fillId="0" borderId="3" xfId="1" applyNumberFormat="1" applyFont="1" applyBorder="1" applyAlignment="1">
      <alignment vertical="center"/>
    </xf>
    <xf numFmtId="10" fontId="0" fillId="0" borderId="0" xfId="3" applyNumberFormat="1" applyFont="1"/>
    <xf numFmtId="0" fontId="0" fillId="0" borderId="0" xfId="0" applyAlignment="1">
      <alignment horizontal="center" vertical="center"/>
    </xf>
    <xf numFmtId="164" fontId="0" fillId="0" borderId="0" xfId="1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vertical="center"/>
    </xf>
    <xf numFmtId="3" fontId="0" fillId="0" borderId="2" xfId="0" applyNumberFormat="1" applyBorder="1" applyAlignment="1">
      <alignment horizontal="center" vertical="center"/>
    </xf>
    <xf numFmtId="37" fontId="0" fillId="0" borderId="0" xfId="0" applyNumberFormat="1" applyAlignment="1">
      <alignment vertical="center"/>
    </xf>
    <xf numFmtId="164" fontId="0" fillId="0" borderId="0" xfId="1" applyNumberFormat="1" applyFont="1" applyAlignment="1">
      <alignment horizontal="center" vertical="center"/>
    </xf>
    <xf numFmtId="164" fontId="0" fillId="0" borderId="4" xfId="0" applyNumberFormat="1" applyBorder="1"/>
    <xf numFmtId="164" fontId="0" fillId="0" borderId="3" xfId="0" applyNumberFormat="1" applyBorder="1"/>
    <xf numFmtId="164" fontId="0" fillId="0" borderId="3" xfId="1" applyNumberFormat="1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164" fontId="0" fillId="0" borderId="0" xfId="0" applyNumberFormat="1"/>
    <xf numFmtId="44" fontId="0" fillId="0" borderId="0" xfId="2" applyFont="1" applyBorder="1"/>
    <xf numFmtId="44" fontId="0" fillId="0" borderId="0" xfId="2" applyFont="1"/>
    <xf numFmtId="44" fontId="0" fillId="0" borderId="0" xfId="0" applyNumberFormat="1"/>
    <xf numFmtId="43" fontId="0" fillId="0" borderId="0" xfId="0" applyNumberFormat="1"/>
    <xf numFmtId="165" fontId="0" fillId="0" borderId="0" xfId="2" applyNumberFormat="1" applyFont="1" applyBorder="1"/>
    <xf numFmtId="39" fontId="0" fillId="0" borderId="0" xfId="2" applyNumberFormat="1" applyFont="1"/>
    <xf numFmtId="164" fontId="0" fillId="0" borderId="2" xfId="0" applyNumberFormat="1" applyBorder="1"/>
    <xf numFmtId="44" fontId="0" fillId="0" borderId="3" xfId="2" applyFont="1" applyBorder="1"/>
    <xf numFmtId="166" fontId="0" fillId="0" borderId="0" xfId="2" applyNumberFormat="1" applyFont="1"/>
    <xf numFmtId="37" fontId="5" fillId="0" borderId="5" xfId="0" applyNumberFormat="1" applyFont="1" applyBorder="1" applyAlignment="1">
      <alignment horizontal="center"/>
    </xf>
    <xf numFmtId="37" fontId="5" fillId="0" borderId="6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37" fontId="6" fillId="0" borderId="7" xfId="0" applyNumberFormat="1" applyFont="1" applyBorder="1" applyAlignment="1">
      <alignment horizontal="center"/>
    </xf>
    <xf numFmtId="37" fontId="6" fillId="0" borderId="6" xfId="0" applyNumberFormat="1" applyFont="1" applyBorder="1" applyAlignment="1">
      <alignment horizontal="center"/>
    </xf>
    <xf numFmtId="37" fontId="5" fillId="0" borderId="6" xfId="0" applyNumberFormat="1" applyFont="1" applyBorder="1"/>
    <xf numFmtId="167" fontId="0" fillId="0" borderId="0" xfId="1" applyNumberFormat="1" applyFont="1" applyBorder="1" applyAlignment="1">
      <alignment horizontal="center" vertical="center"/>
    </xf>
    <xf numFmtId="37" fontId="0" fillId="0" borderId="0" xfId="1" applyNumberFormat="1" applyFont="1" applyBorder="1" applyAlignment="1">
      <alignment vertical="center"/>
    </xf>
    <xf numFmtId="42" fontId="0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37" fontId="5" fillId="0" borderId="6" xfId="0" applyNumberFormat="1" applyFont="1" applyBorder="1" applyAlignment="1">
      <alignment horizontal="center" vertical="center"/>
    </xf>
    <xf numFmtId="16" fontId="0" fillId="0" borderId="0" xfId="0" quotePrefix="1" applyNumberFormat="1" applyAlignment="1">
      <alignment horizontal="center" vertical="center"/>
    </xf>
    <xf numFmtId="0" fontId="0" fillId="0" borderId="0" xfId="0" quotePrefix="1" applyAlignment="1">
      <alignment horizontal="center" vertical="center"/>
    </xf>
    <xf numFmtId="164" fontId="0" fillId="0" borderId="8" xfId="1" applyNumberFormat="1" applyFont="1" applyBorder="1"/>
    <xf numFmtId="164" fontId="0" fillId="0" borderId="8" xfId="0" applyNumberFormat="1" applyBorder="1"/>
    <xf numFmtId="164" fontId="0" fillId="0" borderId="0" xfId="1" applyNumberFormat="1" applyFont="1" applyBorder="1" applyAlignment="1"/>
    <xf numFmtId="164" fontId="0" fillId="0" borderId="0" xfId="1" applyNumberFormat="1" applyFont="1" applyBorder="1" applyAlignment="1">
      <alignment horizontal="center"/>
    </xf>
    <xf numFmtId="39" fontId="0" fillId="0" borderId="0" xfId="2" applyNumberFormat="1" applyFont="1" applyBorder="1"/>
    <xf numFmtId="37" fontId="5" fillId="0" borderId="6" xfId="1" applyNumberFormat="1" applyFont="1" applyBorder="1"/>
    <xf numFmtId="0" fontId="5" fillId="0" borderId="0" xfId="0" applyFont="1"/>
    <xf numFmtId="37" fontId="5" fillId="0" borderId="0" xfId="0" applyNumberFormat="1" applyFont="1"/>
    <xf numFmtId="3" fontId="2" fillId="0" borderId="0" xfId="0" applyNumberFormat="1" applyFont="1" applyAlignment="1">
      <alignment horizontal="center"/>
    </xf>
    <xf numFmtId="39" fontId="0" fillId="0" borderId="0" xfId="1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39" fontId="2" fillId="0" borderId="0" xfId="0" applyNumberFormat="1" applyFont="1"/>
    <xf numFmtId="39" fontId="2" fillId="0" borderId="2" xfId="0" applyNumberFormat="1" applyFont="1" applyBorder="1"/>
    <xf numFmtId="39" fontId="2" fillId="0" borderId="3" xfId="0" applyNumberFormat="1" applyFont="1" applyBorder="1"/>
    <xf numFmtId="42" fontId="2" fillId="0" borderId="0" xfId="0" applyNumberFormat="1" applyFont="1" applyAlignment="1">
      <alignment horizontal="center"/>
    </xf>
    <xf numFmtId="164" fontId="0" fillId="0" borderId="8" xfId="0" applyNumberFormat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dba73962b2cd367/Documents/Western%20Rockcastle/Application/1st%20DR/3_WRWA_Rate%20Model.xlsx" TargetMode="External"/><Relationship Id="rId1" Type="http://schemas.openxmlformats.org/officeDocument/2006/relationships/externalLinkPath" Target="3_WRWA_Rate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AO - DSC"/>
      <sheetName val="SAO - Op Ratio"/>
      <sheetName val="Adj Rev to Reflect Audit"/>
      <sheetName val="Reclass Emp Bonus"/>
      <sheetName val="Warrenty Reimb"/>
      <sheetName val="Emp Sal &amp; Wages"/>
      <sheetName val="Tap-ons"/>
      <sheetName val="Decrease In Anthem Premium"/>
      <sheetName val="Allowable Emp Insurance"/>
      <sheetName val="Retirement"/>
      <sheetName val="Emp Benefits Aly Method"/>
      <sheetName val="Excess Water Loss"/>
      <sheetName val="Monthly Loss Reports"/>
      <sheetName val="Dep Adj"/>
      <sheetName val="Dep New Installations"/>
      <sheetName val="NARUC Dep Lives"/>
      <sheetName val="Debt Sch"/>
      <sheetName val="RD 1996"/>
      <sheetName val="RD 1999"/>
      <sheetName val="RD 2001"/>
      <sheetName val="RD 2004"/>
      <sheetName val="RD 2006"/>
      <sheetName val="RD 2010"/>
      <sheetName val="RD 2014"/>
      <sheetName val="RD 2024"/>
      <sheetName val="Cur Rates 2023"/>
      <sheetName val="CurRates CN 2023-00334"/>
      <sheetName val="Rates Comp DSC"/>
      <sheetName val="Rates Comp OR"/>
      <sheetName val="Revised Rate Comp OR"/>
      <sheetName val="BA CY 2023 Rates"/>
      <sheetName val="CN 2023-000334 Rates"/>
      <sheetName val="Prop BA OR"/>
      <sheetName val="PropBA DSC"/>
      <sheetName val="Table A"/>
      <sheetName val="Tble B"/>
      <sheetName val="Table C"/>
      <sheetName val="Sheet2"/>
      <sheetName val="Table D"/>
      <sheetName val="Cust Notice"/>
      <sheetName val="34x58 Inch"/>
      <sheetName val="1-Inch"/>
      <sheetName val="1 12-Inch"/>
      <sheetName val="2-Inch"/>
    </sheetNames>
    <sheetDataSet>
      <sheetData sheetId="0">
        <row r="1">
          <cell r="F1" t="str">
            <v>Western Rockcastle Association</v>
          </cell>
        </row>
      </sheetData>
      <sheetData sheetId="1">
        <row r="56">
          <cell r="S56">
            <v>2541670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5">
          <cell r="F5">
            <v>28.94</v>
          </cell>
        </row>
        <row r="6">
          <cell r="F6">
            <v>8.2699999999999996E-3</v>
          </cell>
        </row>
        <row r="7">
          <cell r="F7">
            <v>7.6299999999999996E-3</v>
          </cell>
        </row>
        <row r="8">
          <cell r="F8">
            <v>6.9800000000000001E-3</v>
          </cell>
        </row>
        <row r="9">
          <cell r="F9">
            <v>6.3699999999999998E-3</v>
          </cell>
        </row>
        <row r="12">
          <cell r="F12">
            <v>47.25</v>
          </cell>
        </row>
      </sheetData>
      <sheetData sheetId="27"/>
      <sheetData sheetId="28">
        <row r="11">
          <cell r="L11">
            <v>32.04</v>
          </cell>
        </row>
        <row r="12">
          <cell r="L12">
            <v>8.9700000000000005E-3</v>
          </cell>
        </row>
        <row r="13">
          <cell r="L13">
            <v>8.2299999999999995E-3</v>
          </cell>
        </row>
        <row r="14">
          <cell r="L14">
            <v>7.5799999999999999E-3</v>
          </cell>
        </row>
        <row r="15">
          <cell r="L15">
            <v>6.8700000000000002E-3</v>
          </cell>
        </row>
        <row r="18">
          <cell r="L18">
            <v>52.63</v>
          </cell>
        </row>
      </sheetData>
      <sheetData sheetId="29"/>
      <sheetData sheetId="30"/>
      <sheetData sheetId="31">
        <row r="10">
          <cell r="H10">
            <v>-855037.6</v>
          </cell>
        </row>
        <row r="24">
          <cell r="D24">
            <v>20419</v>
          </cell>
          <cell r="E24">
            <v>18759200</v>
          </cell>
        </row>
        <row r="25">
          <cell r="D25">
            <v>21685</v>
          </cell>
          <cell r="E25">
            <v>71792200</v>
          </cell>
        </row>
        <row r="26">
          <cell r="D26">
            <v>7846</v>
          </cell>
          <cell r="E26">
            <v>52783200</v>
          </cell>
        </row>
        <row r="27">
          <cell r="D27">
            <v>1802</v>
          </cell>
          <cell r="E27">
            <v>25309100</v>
          </cell>
        </row>
        <row r="28">
          <cell r="C28">
            <v>25000</v>
          </cell>
          <cell r="D28">
            <v>419</v>
          </cell>
          <cell r="E28">
            <v>135659900</v>
          </cell>
        </row>
        <row r="45">
          <cell r="C45">
            <v>5000</v>
          </cell>
          <cell r="D45">
            <v>48</v>
          </cell>
          <cell r="E45">
            <v>86600</v>
          </cell>
        </row>
        <row r="46">
          <cell r="C46">
            <v>5000</v>
          </cell>
          <cell r="D46">
            <v>13</v>
          </cell>
          <cell r="E46">
            <v>105200</v>
          </cell>
        </row>
        <row r="47">
          <cell r="C47">
            <v>15000</v>
          </cell>
          <cell r="D47">
            <v>16</v>
          </cell>
          <cell r="E47">
            <v>270000</v>
          </cell>
        </row>
        <row r="48">
          <cell r="C48">
            <v>25000</v>
          </cell>
          <cell r="D48">
            <v>47</v>
          </cell>
          <cell r="E48">
            <v>5288000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A68CC-CF67-41E3-81DC-C0BED962C48D}">
  <dimension ref="A1:L54"/>
  <sheetViews>
    <sheetView workbookViewId="0">
      <selection activeCell="F5" sqref="F5:H5"/>
    </sheetView>
  </sheetViews>
  <sheetFormatPr defaultRowHeight="15" x14ac:dyDescent="0.25"/>
  <cols>
    <col min="1" max="1" width="11" customWidth="1"/>
    <col min="2" max="3" width="13.85546875" customWidth="1"/>
    <col min="4" max="7" width="19"/>
    <col min="8" max="10" width="19" style="9"/>
    <col min="11" max="12" width="19"/>
  </cols>
  <sheetData>
    <row r="1" spans="1:12" ht="18.7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8.75" x14ac:dyDescent="0.3">
      <c r="A2" s="3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8.75" x14ac:dyDescent="0.3">
      <c r="A3" s="4"/>
      <c r="B3" s="5"/>
      <c r="C3" s="5"/>
      <c r="D3" s="5"/>
      <c r="E3" s="5"/>
      <c r="F3" s="5"/>
      <c r="G3" s="5"/>
      <c r="H3" s="5"/>
      <c r="I3" s="5"/>
      <c r="J3" s="6"/>
      <c r="K3" s="6"/>
      <c r="L3" s="6"/>
    </row>
    <row r="4" spans="1:12" ht="18.75" x14ac:dyDescent="0.3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 ht="18.75" x14ac:dyDescent="0.3">
      <c r="F5" s="8"/>
      <c r="G5" s="8"/>
      <c r="H5" s="8"/>
      <c r="J5" s="6"/>
      <c r="K5" s="6"/>
      <c r="L5" s="6"/>
    </row>
    <row r="6" spans="1:12" ht="18.75" x14ac:dyDescent="0.3">
      <c r="B6" s="10"/>
      <c r="C6" s="11" t="s">
        <v>2</v>
      </c>
      <c r="D6" s="11"/>
      <c r="F6" s="12" t="s">
        <v>3</v>
      </c>
      <c r="G6" s="12" t="s">
        <v>4</v>
      </c>
      <c r="H6" s="13" t="s">
        <v>5</v>
      </c>
      <c r="J6" s="6"/>
      <c r="K6" s="6"/>
      <c r="L6" s="6"/>
    </row>
    <row r="7" spans="1:12" ht="18.75" x14ac:dyDescent="0.3">
      <c r="B7" s="10"/>
      <c r="C7" t="s">
        <v>6</v>
      </c>
      <c r="F7" s="14">
        <v>52171</v>
      </c>
      <c r="G7" s="14">
        <v>304303600</v>
      </c>
      <c r="H7" s="15">
        <f>H34</f>
        <v>2989482.64</v>
      </c>
      <c r="J7" s="6"/>
      <c r="K7" s="6"/>
      <c r="L7" s="6"/>
    </row>
    <row r="8" spans="1:12" ht="18.75" x14ac:dyDescent="0.3">
      <c r="B8" s="10"/>
      <c r="C8" t="s">
        <v>7</v>
      </c>
      <c r="F8" s="16">
        <v>124</v>
      </c>
      <c r="G8" s="16">
        <v>5749800</v>
      </c>
      <c r="H8" s="17">
        <f>H53</f>
        <v>39541.21</v>
      </c>
      <c r="J8" s="6"/>
      <c r="K8" s="6"/>
      <c r="L8" s="6"/>
    </row>
    <row r="9" spans="1:12" ht="18.75" x14ac:dyDescent="0.3">
      <c r="B9" s="10"/>
      <c r="C9" s="18" t="s">
        <v>8</v>
      </c>
      <c r="D9" s="18"/>
      <c r="F9" s="14">
        <v>52295</v>
      </c>
      <c r="G9" s="14">
        <v>310053400</v>
      </c>
      <c r="H9" s="14">
        <v>3029023.85</v>
      </c>
      <c r="J9" s="6"/>
      <c r="K9" s="6"/>
      <c r="L9" s="6"/>
    </row>
    <row r="10" spans="1:12" ht="18.75" x14ac:dyDescent="0.3">
      <c r="B10" s="10"/>
      <c r="C10" s="18" t="s">
        <v>9</v>
      </c>
      <c r="D10" s="18"/>
      <c r="F10" s="12"/>
      <c r="G10" s="12"/>
      <c r="H10" s="19">
        <v>-851494</v>
      </c>
      <c r="J10" s="6"/>
      <c r="K10" s="6"/>
      <c r="L10" s="6"/>
    </row>
    <row r="11" spans="1:12" ht="18.75" x14ac:dyDescent="0.3">
      <c r="B11" s="10"/>
      <c r="C11" s="18" t="s">
        <v>10</v>
      </c>
      <c r="D11" s="18"/>
      <c r="F11" s="20">
        <v>52295</v>
      </c>
      <c r="G11" s="20">
        <v>310053400</v>
      </c>
      <c r="H11" s="20">
        <v>2177529.85</v>
      </c>
      <c r="J11" s="6"/>
      <c r="K11" s="6"/>
      <c r="L11" s="6"/>
    </row>
    <row r="12" spans="1:12" ht="18.75" x14ac:dyDescent="0.3">
      <c r="B12" s="10"/>
      <c r="C12" s="18" t="s">
        <v>11</v>
      </c>
      <c r="D12" s="18"/>
      <c r="F12" s="21">
        <v>-45000</v>
      </c>
      <c r="G12" s="21">
        <v>-261231500</v>
      </c>
      <c r="H12" s="21">
        <v>-1971227</v>
      </c>
      <c r="J12" s="6"/>
      <c r="K12" s="6"/>
      <c r="L12" s="6"/>
    </row>
    <row r="13" spans="1:12" ht="19.5" thickBot="1" x14ac:dyDescent="0.35">
      <c r="B13" s="10"/>
      <c r="C13" s="22" t="s">
        <v>12</v>
      </c>
      <c r="D13" s="22"/>
      <c r="F13" s="23">
        <v>7295</v>
      </c>
      <c r="G13" s="23">
        <v>48821900</v>
      </c>
      <c r="H13" s="24">
        <v>206302.85000000009</v>
      </c>
      <c r="J13" s="6"/>
      <c r="K13" s="6"/>
      <c r="L13" s="6"/>
    </row>
    <row r="14" spans="1:12" ht="19.5" thickTop="1" x14ac:dyDescent="0.3">
      <c r="B14" s="10"/>
      <c r="H14" s="25"/>
      <c r="J14" s="6"/>
      <c r="K14" s="6"/>
      <c r="L14" s="6"/>
    </row>
    <row r="15" spans="1:12" ht="18.75" x14ac:dyDescent="0.3">
      <c r="B15" s="10"/>
      <c r="J15" s="6"/>
      <c r="K15" s="6"/>
      <c r="L15" s="6"/>
    </row>
    <row r="16" spans="1:12" ht="18.75" x14ac:dyDescent="0.3">
      <c r="B16" s="10"/>
      <c r="H16" s="25"/>
      <c r="J16" s="6"/>
      <c r="K16" s="6"/>
      <c r="L16" s="6"/>
    </row>
    <row r="17" spans="1:12" x14ac:dyDescent="0.25">
      <c r="A17" t="s">
        <v>13</v>
      </c>
      <c r="B17" s="10" t="s">
        <v>14</v>
      </c>
    </row>
    <row r="18" spans="1:12" x14ac:dyDescent="0.25">
      <c r="B18" s="26"/>
      <c r="C18" s="26"/>
      <c r="D18" s="26"/>
      <c r="E18" s="26"/>
      <c r="F18" s="26" t="s">
        <v>15</v>
      </c>
      <c r="G18" s="26" t="s">
        <v>16</v>
      </c>
      <c r="H18" s="27" t="s">
        <v>16</v>
      </c>
      <c r="I18" s="27"/>
      <c r="J18" s="26" t="s">
        <v>17</v>
      </c>
      <c r="K18" s="26" t="s">
        <v>18</v>
      </c>
    </row>
    <row r="19" spans="1:12" x14ac:dyDescent="0.25">
      <c r="B19" s="26"/>
      <c r="C19" s="12" t="s">
        <v>19</v>
      </c>
      <c r="D19" s="12" t="s">
        <v>20</v>
      </c>
      <c r="E19" s="12" t="s">
        <v>21</v>
      </c>
      <c r="F19" s="28">
        <v>2000</v>
      </c>
      <c r="G19" s="16">
        <v>3000</v>
      </c>
      <c r="H19" s="13">
        <v>5000</v>
      </c>
      <c r="I19" s="13">
        <v>15000</v>
      </c>
      <c r="J19" s="29">
        <v>25000</v>
      </c>
      <c r="K19" s="12"/>
    </row>
    <row r="20" spans="1:12" x14ac:dyDescent="0.25">
      <c r="B20" s="26" t="s">
        <v>15</v>
      </c>
      <c r="C20" s="30">
        <v>2000</v>
      </c>
      <c r="D20" s="14">
        <v>20419</v>
      </c>
      <c r="E20" s="14">
        <v>18759200</v>
      </c>
      <c r="F20" s="14">
        <f>E20</f>
        <v>18759200</v>
      </c>
      <c r="G20" s="14">
        <v>0</v>
      </c>
      <c r="H20" s="31"/>
      <c r="I20" s="31"/>
      <c r="J20" s="14">
        <v>0</v>
      </c>
      <c r="K20" s="14">
        <f>SUM(F20:J20)</f>
        <v>18759200</v>
      </c>
    </row>
    <row r="21" spans="1:12" x14ac:dyDescent="0.25">
      <c r="B21" s="26" t="s">
        <v>16</v>
      </c>
      <c r="C21" s="30">
        <v>3000</v>
      </c>
      <c r="D21" s="14">
        <v>21685</v>
      </c>
      <c r="E21" s="14">
        <v>71792200</v>
      </c>
      <c r="F21" s="14">
        <f>F19*D21</f>
        <v>43370000</v>
      </c>
      <c r="G21" s="14">
        <f>E21-F21</f>
        <v>28422200</v>
      </c>
      <c r="H21" s="31"/>
      <c r="I21" s="31"/>
      <c r="J21" s="14">
        <v>0</v>
      </c>
      <c r="K21" s="14">
        <f>SUM(F21:J21)</f>
        <v>71792200</v>
      </c>
    </row>
    <row r="22" spans="1:12" x14ac:dyDescent="0.25">
      <c r="B22" s="26" t="s">
        <v>16</v>
      </c>
      <c r="C22" s="30">
        <v>5000</v>
      </c>
      <c r="D22" s="14">
        <v>7846</v>
      </c>
      <c r="E22" s="14">
        <v>52783200</v>
      </c>
      <c r="F22" s="14">
        <f>F19*D22</f>
        <v>15692000</v>
      </c>
      <c r="G22" s="14">
        <f>G19*D22</f>
        <v>23538000</v>
      </c>
      <c r="H22" s="14">
        <f>E22-F22-G22</f>
        <v>13553200</v>
      </c>
      <c r="I22" s="14"/>
      <c r="J22" s="14">
        <v>0</v>
      </c>
      <c r="K22" s="14">
        <f>SUM(F22:J22)</f>
        <v>52783200</v>
      </c>
      <c r="L22">
        <v>39230000</v>
      </c>
    </row>
    <row r="23" spans="1:12" x14ac:dyDescent="0.25">
      <c r="B23" s="26" t="s">
        <v>16</v>
      </c>
      <c r="C23" s="30">
        <v>15000</v>
      </c>
      <c r="D23" s="14">
        <v>1802</v>
      </c>
      <c r="E23" s="14">
        <v>25309100</v>
      </c>
      <c r="F23" s="14">
        <f>F19*D23</f>
        <v>3604000</v>
      </c>
      <c r="G23" s="14">
        <f>G19*D23</f>
        <v>5406000</v>
      </c>
      <c r="H23" s="14">
        <f>H19*D23</f>
        <v>9010000</v>
      </c>
      <c r="I23" s="14">
        <f>E23-F23-G23-H23</f>
        <v>7289100</v>
      </c>
      <c r="J23" s="14"/>
      <c r="K23" s="14">
        <f>SUM(F23:J23)</f>
        <v>25309100</v>
      </c>
      <c r="L23">
        <v>27030000</v>
      </c>
    </row>
    <row r="24" spans="1:12" x14ac:dyDescent="0.25">
      <c r="B24" s="26" t="s">
        <v>17</v>
      </c>
      <c r="C24" s="30">
        <v>25000</v>
      </c>
      <c r="D24" s="16">
        <v>419</v>
      </c>
      <c r="E24" s="14">
        <v>135659900</v>
      </c>
      <c r="F24" s="14">
        <f>F19*D24</f>
        <v>838000</v>
      </c>
      <c r="G24" s="14">
        <f>G19*D24</f>
        <v>1257000</v>
      </c>
      <c r="H24" s="14">
        <f>H19*D24</f>
        <v>2095000</v>
      </c>
      <c r="I24" s="14">
        <f>I19*D24</f>
        <v>6285000</v>
      </c>
      <c r="J24" s="14">
        <f>E24-F24-G24-H24-I24</f>
        <v>125184900</v>
      </c>
      <c r="K24" s="14">
        <f>SUM(F24:J24)</f>
        <v>135659900</v>
      </c>
      <c r="L24">
        <v>10475000</v>
      </c>
    </row>
    <row r="25" spans="1:12" ht="15.75" thickBot="1" x14ac:dyDescent="0.3">
      <c r="B25" s="26"/>
      <c r="C25" t="s">
        <v>22</v>
      </c>
      <c r="D25" s="32">
        <f t="shared" ref="D25:K25" si="0">SUM(D20:D24)</f>
        <v>52171</v>
      </c>
      <c r="E25" s="33">
        <f t="shared" si="0"/>
        <v>304303600</v>
      </c>
      <c r="F25" s="33">
        <f t="shared" si="0"/>
        <v>82263200</v>
      </c>
      <c r="G25" s="33">
        <f t="shared" si="0"/>
        <v>58623200</v>
      </c>
      <c r="H25" s="34">
        <f t="shared" si="0"/>
        <v>24658200</v>
      </c>
      <c r="I25" s="34">
        <f t="shared" si="0"/>
        <v>13574100</v>
      </c>
      <c r="J25" s="33">
        <f t="shared" si="0"/>
        <v>125184900</v>
      </c>
      <c r="K25" s="33">
        <f t="shared" si="0"/>
        <v>304303600</v>
      </c>
    </row>
    <row r="26" spans="1:12" ht="15.75" thickTop="1" x14ac:dyDescent="0.25"/>
    <row r="27" spans="1:12" x14ac:dyDescent="0.25">
      <c r="B27" s="8" t="s">
        <v>23</v>
      </c>
      <c r="C27" s="8"/>
      <c r="D27" s="8"/>
      <c r="E27" s="8"/>
      <c r="F27" s="8"/>
      <c r="G27" s="8"/>
      <c r="H27" s="8"/>
    </row>
    <row r="28" spans="1:12" x14ac:dyDescent="0.25">
      <c r="C28" s="35"/>
      <c r="D28" s="36" t="s">
        <v>20</v>
      </c>
      <c r="E28" s="36" t="s">
        <v>21</v>
      </c>
      <c r="F28" s="8" t="s">
        <v>24</v>
      </c>
      <c r="G28" s="8"/>
      <c r="H28" s="36" t="s">
        <v>5</v>
      </c>
      <c r="L28" s="37">
        <v>52171</v>
      </c>
    </row>
    <row r="29" spans="1:12" x14ac:dyDescent="0.25">
      <c r="B29" s="26" t="s">
        <v>15</v>
      </c>
      <c r="C29" s="14">
        <v>2000</v>
      </c>
      <c r="D29" s="37">
        <v>52171</v>
      </c>
      <c r="E29" s="37">
        <v>82263200</v>
      </c>
      <c r="F29" s="38">
        <v>27.94</v>
      </c>
      <c r="G29" t="s">
        <v>26</v>
      </c>
      <c r="H29" s="39">
        <v>1457657.74</v>
      </c>
      <c r="L29" s="41">
        <v>4347.583333333333</v>
      </c>
    </row>
    <row r="30" spans="1:12" x14ac:dyDescent="0.25">
      <c r="B30" s="26" t="s">
        <v>16</v>
      </c>
      <c r="C30" s="14">
        <v>3000</v>
      </c>
      <c r="E30" s="37">
        <v>58623200</v>
      </c>
      <c r="F30" s="42">
        <v>8.1200000000000005E-3</v>
      </c>
      <c r="G30" t="s">
        <v>27</v>
      </c>
      <c r="H30" s="43">
        <v>476020.38</v>
      </c>
      <c r="L30">
        <v>4372</v>
      </c>
    </row>
    <row r="31" spans="1:12" x14ac:dyDescent="0.25">
      <c r="B31" s="26" t="s">
        <v>16</v>
      </c>
      <c r="C31" s="14">
        <v>5000</v>
      </c>
      <c r="E31" s="37">
        <v>24658200</v>
      </c>
      <c r="F31" s="42">
        <v>7.4799999999999997E-3</v>
      </c>
      <c r="G31" t="s">
        <v>27</v>
      </c>
      <c r="H31" s="43">
        <v>184443.34</v>
      </c>
    </row>
    <row r="32" spans="1:12" x14ac:dyDescent="0.25">
      <c r="B32" s="26" t="s">
        <v>16</v>
      </c>
      <c r="C32" s="14">
        <v>15000</v>
      </c>
      <c r="E32" s="37">
        <v>13574100</v>
      </c>
      <c r="F32" s="42">
        <v>6.8300000000000001E-3</v>
      </c>
      <c r="G32" t="s">
        <v>27</v>
      </c>
      <c r="H32" s="43">
        <v>92711.1</v>
      </c>
    </row>
    <row r="33" spans="1:12" x14ac:dyDescent="0.25">
      <c r="B33" s="26" t="s">
        <v>17</v>
      </c>
      <c r="C33" s="14">
        <v>25000</v>
      </c>
      <c r="D33" s="35"/>
      <c r="E33" s="44">
        <v>125184900</v>
      </c>
      <c r="F33" s="42">
        <v>6.2199999999999998E-3</v>
      </c>
      <c r="G33" t="s">
        <v>27</v>
      </c>
      <c r="H33" s="43">
        <v>778650.08</v>
      </c>
    </row>
    <row r="34" spans="1:12" ht="15.75" thickBot="1" x14ac:dyDescent="0.3">
      <c r="C34" t="s">
        <v>28</v>
      </c>
      <c r="E34" s="33">
        <v>304303600</v>
      </c>
      <c r="H34" s="45">
        <v>2989482.64</v>
      </c>
      <c r="L34" t="s">
        <v>29</v>
      </c>
    </row>
    <row r="35" spans="1:12" ht="15.75" thickTop="1" x14ac:dyDescent="0.25">
      <c r="E35" s="37"/>
      <c r="H35" s="38"/>
    </row>
    <row r="36" spans="1:12" x14ac:dyDescent="0.25">
      <c r="E36" s="37"/>
      <c r="H36" s="38"/>
    </row>
    <row r="37" spans="1:12" x14ac:dyDescent="0.25">
      <c r="E37" s="37"/>
      <c r="H37" s="38"/>
    </row>
    <row r="38" spans="1:12" x14ac:dyDescent="0.25">
      <c r="A38" t="s">
        <v>13</v>
      </c>
      <c r="B38" s="10" t="s">
        <v>7</v>
      </c>
    </row>
    <row r="39" spans="1:12" x14ac:dyDescent="0.25">
      <c r="B39" s="26"/>
      <c r="C39" s="26"/>
      <c r="D39" s="26"/>
      <c r="E39" s="26"/>
      <c r="F39" s="26" t="s">
        <v>15</v>
      </c>
      <c r="G39" s="26" t="s">
        <v>16</v>
      </c>
      <c r="H39" s="27" t="s">
        <v>16</v>
      </c>
      <c r="I39" s="9" t="s">
        <v>17</v>
      </c>
      <c r="L39" s="26" t="s">
        <v>18</v>
      </c>
    </row>
    <row r="40" spans="1:12" x14ac:dyDescent="0.25">
      <c r="B40" s="26"/>
      <c r="C40" s="12" t="s">
        <v>19</v>
      </c>
      <c r="D40" s="12" t="s">
        <v>20</v>
      </c>
      <c r="E40" s="12" t="s">
        <v>21</v>
      </c>
      <c r="F40" s="28">
        <v>5000</v>
      </c>
      <c r="G40" s="16">
        <v>5000</v>
      </c>
      <c r="H40" s="13">
        <v>15000</v>
      </c>
      <c r="I40" s="13">
        <v>25000</v>
      </c>
      <c r="L40" s="12"/>
    </row>
    <row r="41" spans="1:12" x14ac:dyDescent="0.25">
      <c r="B41" s="26" t="s">
        <v>15</v>
      </c>
      <c r="C41" s="14">
        <v>5000</v>
      </c>
      <c r="D41" s="14">
        <v>48</v>
      </c>
      <c r="E41" s="14">
        <v>86600</v>
      </c>
      <c r="F41" s="14">
        <f>E41</f>
        <v>86600</v>
      </c>
      <c r="G41" s="14"/>
      <c r="H41" s="31"/>
      <c r="I41" s="31"/>
      <c r="L41" s="14">
        <f>SUM(F41:I41)</f>
        <v>86600</v>
      </c>
    </row>
    <row r="42" spans="1:12" x14ac:dyDescent="0.25">
      <c r="B42" s="26" t="s">
        <v>16</v>
      </c>
      <c r="C42" s="14">
        <v>5000</v>
      </c>
      <c r="D42" s="14">
        <v>13</v>
      </c>
      <c r="E42" s="14">
        <v>105200</v>
      </c>
      <c r="F42" s="14">
        <f>$D42*F40</f>
        <v>65000</v>
      </c>
      <c r="G42" s="14">
        <f>E42-F42</f>
        <v>40200</v>
      </c>
      <c r="H42" s="31"/>
      <c r="I42" s="31"/>
      <c r="L42" s="14">
        <f>SUM(F42:I42)</f>
        <v>105200</v>
      </c>
    </row>
    <row r="43" spans="1:12" x14ac:dyDescent="0.25">
      <c r="B43" s="26" t="s">
        <v>16</v>
      </c>
      <c r="C43" s="14">
        <v>15000</v>
      </c>
      <c r="D43" s="14">
        <v>16</v>
      </c>
      <c r="E43" s="14">
        <v>270000</v>
      </c>
      <c r="F43" s="14">
        <f>$D43*F40</f>
        <v>80000</v>
      </c>
      <c r="G43" s="14">
        <f>$D43*G40</f>
        <v>80000</v>
      </c>
      <c r="H43" s="31">
        <f>E43-F43-G43</f>
        <v>110000</v>
      </c>
      <c r="I43" s="31"/>
      <c r="L43" s="14">
        <f>SUM(F43:I43)</f>
        <v>270000</v>
      </c>
    </row>
    <row r="44" spans="1:12" x14ac:dyDescent="0.25">
      <c r="B44" s="26" t="s">
        <v>17</v>
      </c>
      <c r="C44" s="14">
        <v>25000</v>
      </c>
      <c r="D44" s="14">
        <v>47</v>
      </c>
      <c r="E44" s="14">
        <v>5288000</v>
      </c>
      <c r="F44" s="14">
        <f>$D44*F40</f>
        <v>235000</v>
      </c>
      <c r="G44" s="14">
        <f>$D44*G40</f>
        <v>235000</v>
      </c>
      <c r="H44" s="14">
        <f>$D44*H40</f>
        <v>705000</v>
      </c>
      <c r="I44" s="14">
        <f>E44-F44-G44-H44</f>
        <v>4113000</v>
      </c>
      <c r="L44" s="14">
        <f>SUM(F44:I44)</f>
        <v>5288000</v>
      </c>
    </row>
    <row r="45" spans="1:12" ht="15.75" thickBot="1" x14ac:dyDescent="0.3">
      <c r="B45" s="26"/>
      <c r="C45" t="s">
        <v>22</v>
      </c>
      <c r="D45" s="33">
        <v>124</v>
      </c>
      <c r="E45" s="33">
        <v>5749800</v>
      </c>
      <c r="F45" s="33">
        <v>466600</v>
      </c>
      <c r="G45" s="33">
        <v>355200</v>
      </c>
      <c r="H45" s="34">
        <v>815000</v>
      </c>
      <c r="I45" s="34">
        <v>4113000</v>
      </c>
      <c r="L45" s="33">
        <v>5749800</v>
      </c>
    </row>
    <row r="46" spans="1:12" ht="15.75" thickTop="1" x14ac:dyDescent="0.25"/>
    <row r="47" spans="1:12" x14ac:dyDescent="0.25">
      <c r="B47" s="8" t="s">
        <v>23</v>
      </c>
      <c r="C47" s="8"/>
      <c r="D47" s="8"/>
      <c r="E47" s="8"/>
      <c r="F47" s="8"/>
      <c r="G47" s="8"/>
      <c r="H47" s="8"/>
    </row>
    <row r="48" spans="1:12" x14ac:dyDescent="0.25">
      <c r="C48" s="35"/>
      <c r="D48" s="36" t="s">
        <v>20</v>
      </c>
      <c r="E48" s="36" t="s">
        <v>21</v>
      </c>
      <c r="F48" s="8" t="s">
        <v>24</v>
      </c>
      <c r="G48" s="8"/>
      <c r="H48" s="36" t="s">
        <v>5</v>
      </c>
    </row>
    <row r="49" spans="2:8" x14ac:dyDescent="0.25">
      <c r="B49" s="26" t="s">
        <v>15</v>
      </c>
      <c r="C49" s="14">
        <v>5000</v>
      </c>
      <c r="D49" s="37">
        <v>124</v>
      </c>
      <c r="E49" s="37">
        <v>466600</v>
      </c>
      <c r="F49" s="39">
        <v>46.25</v>
      </c>
      <c r="G49" t="s">
        <v>26</v>
      </c>
      <c r="H49" s="39">
        <v>5735</v>
      </c>
    </row>
    <row r="50" spans="2:8" x14ac:dyDescent="0.25">
      <c r="B50" s="26" t="s">
        <v>16</v>
      </c>
      <c r="C50" s="14">
        <v>5000</v>
      </c>
      <c r="E50" s="37">
        <v>355200</v>
      </c>
      <c r="F50" s="46">
        <v>7.4799999999999997E-3</v>
      </c>
      <c r="G50" t="s">
        <v>27</v>
      </c>
      <c r="H50" s="43">
        <v>2656.9</v>
      </c>
    </row>
    <row r="51" spans="2:8" x14ac:dyDescent="0.25">
      <c r="B51" s="26" t="s">
        <v>16</v>
      </c>
      <c r="C51" s="14">
        <v>15000</v>
      </c>
      <c r="E51" s="37">
        <v>815000</v>
      </c>
      <c r="F51" s="46">
        <v>6.8300000000000001E-3</v>
      </c>
      <c r="G51" t="s">
        <v>27</v>
      </c>
      <c r="H51" s="43">
        <v>5566.45</v>
      </c>
    </row>
    <row r="52" spans="2:8" x14ac:dyDescent="0.25">
      <c r="B52" s="26" t="s">
        <v>17</v>
      </c>
      <c r="C52" s="14">
        <v>25000</v>
      </c>
      <c r="D52" s="35"/>
      <c r="E52" s="44">
        <v>4113000</v>
      </c>
      <c r="F52" s="46">
        <v>6.2199999999999998E-3</v>
      </c>
      <c r="G52" t="s">
        <v>27</v>
      </c>
      <c r="H52" s="43">
        <v>25582.86</v>
      </c>
    </row>
    <row r="53" spans="2:8" ht="15.75" thickBot="1" x14ac:dyDescent="0.3">
      <c r="C53" t="s">
        <v>28</v>
      </c>
      <c r="E53" s="33">
        <v>5749800</v>
      </c>
      <c r="H53" s="45">
        <v>39541.21</v>
      </c>
    </row>
    <row r="54" spans="2:8" ht="15.75" thickTop="1" x14ac:dyDescent="0.25"/>
  </sheetData>
  <mergeCells count="9">
    <mergeCell ref="F28:G28"/>
    <mergeCell ref="B47:H47"/>
    <mergeCell ref="F48:G48"/>
    <mergeCell ref="A1:L1"/>
    <mergeCell ref="A2:L2"/>
    <mergeCell ref="A4:L4"/>
    <mergeCell ref="F5:H5"/>
    <mergeCell ref="C6:D6"/>
    <mergeCell ref="B27:H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A3B94-8726-4738-9034-70F488727821}">
  <dimension ref="A1:U66"/>
  <sheetViews>
    <sheetView topLeftCell="A6" workbookViewId="0">
      <selection activeCell="F5" sqref="F5:H5"/>
    </sheetView>
  </sheetViews>
  <sheetFormatPr defaultColWidth="19" defaultRowHeight="15.75" x14ac:dyDescent="0.25"/>
  <cols>
    <col min="1" max="1" width="11" customWidth="1"/>
    <col min="2" max="3" width="13.85546875" customWidth="1"/>
    <col min="8" max="10" width="19" style="9"/>
    <col min="14" max="14" width="8" style="67" customWidth="1"/>
  </cols>
  <sheetData>
    <row r="1" spans="1:19" ht="18.7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6"/>
      <c r="N1" s="47" t="s">
        <v>31</v>
      </c>
      <c r="O1" s="6"/>
      <c r="P1" s="6"/>
      <c r="Q1" s="6"/>
      <c r="R1" s="6"/>
      <c r="S1" s="6"/>
    </row>
    <row r="2" spans="1:19" ht="18.75" x14ac:dyDescent="0.3">
      <c r="A2" s="3" t="str">
        <f>'[1]SAO - DSC'!F1</f>
        <v>Western Rockcastle Association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6"/>
      <c r="N2" s="48" t="s">
        <v>32</v>
      </c>
      <c r="O2" s="49"/>
      <c r="P2" s="49"/>
      <c r="Q2" s="49"/>
      <c r="R2" s="49"/>
      <c r="S2" s="49"/>
    </row>
    <row r="3" spans="1:19" ht="19.5" thickBot="1" x14ac:dyDescent="0.35">
      <c r="A3" s="4"/>
      <c r="B3" s="5"/>
      <c r="C3" s="5"/>
      <c r="D3" s="5"/>
      <c r="E3" s="5"/>
      <c r="F3" s="5"/>
      <c r="G3" s="5"/>
      <c r="H3" s="5"/>
      <c r="I3" s="5"/>
      <c r="J3" s="6"/>
      <c r="K3" s="6"/>
      <c r="L3" s="6"/>
      <c r="M3" s="6"/>
      <c r="N3" s="50" t="s">
        <v>33</v>
      </c>
      <c r="O3" s="5"/>
      <c r="P3" s="5"/>
      <c r="Q3" s="5"/>
      <c r="R3" s="5"/>
      <c r="S3" s="5"/>
    </row>
    <row r="4" spans="1:19" ht="18.75" x14ac:dyDescent="0.3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6"/>
      <c r="N4" s="51"/>
      <c r="O4" s="6"/>
      <c r="P4" s="6"/>
      <c r="Q4" s="6"/>
      <c r="R4" s="6"/>
      <c r="S4" s="6"/>
    </row>
    <row r="5" spans="1:19" ht="18.75" x14ac:dyDescent="0.3">
      <c r="F5" s="8"/>
      <c r="G5" s="8"/>
      <c r="H5" s="8"/>
      <c r="J5" s="6"/>
      <c r="K5" s="6"/>
      <c r="L5" s="6"/>
      <c r="M5" s="6"/>
      <c r="N5" s="52"/>
    </row>
    <row r="6" spans="1:19" ht="18.75" x14ac:dyDescent="0.3">
      <c r="B6" s="10"/>
      <c r="C6" s="11" t="s">
        <v>2</v>
      </c>
      <c r="D6" s="11"/>
      <c r="F6" s="12" t="s">
        <v>3</v>
      </c>
      <c r="G6" s="12" t="s">
        <v>4</v>
      </c>
      <c r="H6" s="13" t="s">
        <v>5</v>
      </c>
      <c r="J6" s="6"/>
      <c r="K6" s="6"/>
      <c r="L6" s="6"/>
      <c r="M6" s="6"/>
      <c r="N6" s="52"/>
    </row>
    <row r="7" spans="1:19" ht="18.75" x14ac:dyDescent="0.3">
      <c r="B7" s="10"/>
      <c r="C7" t="s">
        <v>6</v>
      </c>
      <c r="F7" s="14">
        <f>D33</f>
        <v>52171</v>
      </c>
      <c r="G7" s="14">
        <f>E38</f>
        <v>304303600</v>
      </c>
      <c r="H7" s="15">
        <f>H38</f>
        <v>3074959.7</v>
      </c>
      <c r="J7" s="6"/>
      <c r="K7" s="6"/>
      <c r="L7" s="6"/>
      <c r="M7" s="6"/>
      <c r="N7" s="52"/>
    </row>
    <row r="8" spans="1:19" ht="18.75" x14ac:dyDescent="0.3">
      <c r="B8" s="10"/>
      <c r="C8" t="s">
        <v>7</v>
      </c>
      <c r="F8" s="16">
        <f>D53</f>
        <v>124</v>
      </c>
      <c r="G8" s="16">
        <f>E57</f>
        <v>5749800</v>
      </c>
      <c r="H8" s="17">
        <f>H57</f>
        <v>40457.69</v>
      </c>
      <c r="J8" s="6"/>
      <c r="K8" s="6"/>
      <c r="L8" s="6"/>
      <c r="M8" s="6"/>
      <c r="N8" s="52"/>
    </row>
    <row r="9" spans="1:19" ht="18.75" x14ac:dyDescent="0.3">
      <c r="B9" s="10"/>
      <c r="C9" s="18" t="s">
        <v>8</v>
      </c>
      <c r="D9" s="18"/>
      <c r="F9" s="14">
        <f>SUM(F7:F8)</f>
        <v>52295</v>
      </c>
      <c r="G9" s="14">
        <f>SUM(G7:G8)</f>
        <v>310053400</v>
      </c>
      <c r="H9" s="14">
        <f>SUM(H7:H8)</f>
        <v>3115417.39</v>
      </c>
      <c r="J9" s="6"/>
      <c r="K9" s="6"/>
      <c r="L9" s="6"/>
      <c r="M9" s="6"/>
      <c r="N9" s="52"/>
    </row>
    <row r="10" spans="1:19" ht="18.75" x14ac:dyDescent="0.3">
      <c r="B10" s="10"/>
      <c r="C10" s="18" t="s">
        <v>9</v>
      </c>
      <c r="D10" s="18"/>
      <c r="F10" s="12"/>
      <c r="G10" s="12"/>
      <c r="H10" s="17">
        <v>-855037.6</v>
      </c>
      <c r="J10" s="6"/>
      <c r="K10" s="6"/>
      <c r="L10" s="6"/>
      <c r="M10" s="6"/>
      <c r="N10" s="52"/>
    </row>
    <row r="11" spans="1:19" ht="18.75" x14ac:dyDescent="0.3">
      <c r="B11" s="10"/>
      <c r="C11" s="18" t="s">
        <v>10</v>
      </c>
      <c r="D11" s="18"/>
      <c r="F11" s="20">
        <f>SUM(F9:F10)</f>
        <v>52295</v>
      </c>
      <c r="G11" s="20">
        <f>SUM(G9:G10)</f>
        <v>310053400</v>
      </c>
      <c r="H11" s="20">
        <f>SUM(H9:H10)</f>
        <v>2260379.79</v>
      </c>
      <c r="J11" s="6"/>
      <c r="K11" s="6"/>
      <c r="L11" s="6"/>
      <c r="M11" s="6"/>
      <c r="N11" s="52"/>
    </row>
    <row r="12" spans="1:19" ht="18.75" x14ac:dyDescent="0.3">
      <c r="B12" s="10"/>
      <c r="C12" s="18" t="s">
        <v>11</v>
      </c>
      <c r="D12" s="18"/>
      <c r="F12" s="21">
        <f>-3750*12</f>
        <v>-45000</v>
      </c>
      <c r="G12" s="21">
        <v>-268790000</v>
      </c>
      <c r="H12" s="21">
        <v>-2177529.85</v>
      </c>
      <c r="J12" s="6"/>
      <c r="K12" s="6"/>
      <c r="L12" s="6"/>
      <c r="M12" s="6"/>
      <c r="N12" s="52"/>
    </row>
    <row r="13" spans="1:19" ht="19.5" thickBot="1" x14ac:dyDescent="0.35">
      <c r="B13" s="10"/>
      <c r="C13" s="22" t="s">
        <v>12</v>
      </c>
      <c r="D13" s="22"/>
      <c r="F13" s="23">
        <f>SUM(F11:F12)</f>
        <v>7295</v>
      </c>
      <c r="G13" s="23">
        <f>SUM(G11:G12)</f>
        <v>41263400</v>
      </c>
      <c r="H13" s="24">
        <f>SUM(H11:H12)</f>
        <v>82849.939999999944</v>
      </c>
      <c r="J13" s="6"/>
      <c r="K13" s="6"/>
      <c r="L13" s="6"/>
      <c r="M13" s="6"/>
      <c r="N13" s="52"/>
    </row>
    <row r="14" spans="1:19" ht="19.5" thickTop="1" x14ac:dyDescent="0.3">
      <c r="B14" s="10"/>
      <c r="J14" s="6"/>
      <c r="K14" s="6"/>
      <c r="L14" s="6"/>
      <c r="M14" s="6"/>
      <c r="N14" s="52"/>
    </row>
    <row r="15" spans="1:19" ht="18.75" x14ac:dyDescent="0.3">
      <c r="B15" s="10"/>
      <c r="J15" s="6"/>
      <c r="K15" s="6"/>
      <c r="L15" s="6"/>
      <c r="M15" s="6"/>
      <c r="N15" s="52"/>
    </row>
    <row r="16" spans="1:19" ht="18.75" x14ac:dyDescent="0.3">
      <c r="B16" s="10"/>
      <c r="H16" s="25"/>
      <c r="J16" s="6"/>
      <c r="K16" s="6"/>
      <c r="L16" s="6"/>
      <c r="M16" s="6"/>
      <c r="N16" s="52"/>
    </row>
    <row r="17" spans="1:21" x14ac:dyDescent="0.25">
      <c r="B17" s="10"/>
      <c r="C17" s="18"/>
      <c r="H17" s="53"/>
      <c r="N17" s="52"/>
    </row>
    <row r="18" spans="1:21" x14ac:dyDescent="0.25">
      <c r="B18" s="10"/>
      <c r="C18" s="18"/>
      <c r="H18" s="54"/>
      <c r="N18" s="52"/>
    </row>
    <row r="19" spans="1:21" x14ac:dyDescent="0.25">
      <c r="B19" s="10"/>
      <c r="C19" s="18"/>
      <c r="H19" s="55"/>
      <c r="N19" s="52"/>
      <c r="R19" s="41">
        <f>R29/12</f>
        <v>4347.583333333333</v>
      </c>
    </row>
    <row r="20" spans="1:21" x14ac:dyDescent="0.25">
      <c r="B20" s="10"/>
      <c r="F20" s="37"/>
      <c r="H20" s="56"/>
      <c r="N20" s="52"/>
    </row>
    <row r="21" spans="1:21" x14ac:dyDescent="0.25">
      <c r="A21" t="s">
        <v>13</v>
      </c>
      <c r="B21" s="10" t="s">
        <v>14</v>
      </c>
      <c r="N21" s="52"/>
      <c r="P21" s="8" t="s">
        <v>20</v>
      </c>
      <c r="Q21" s="8"/>
      <c r="R21" s="8"/>
      <c r="S21" s="8"/>
      <c r="T21" s="8"/>
    </row>
    <row r="22" spans="1:21" x14ac:dyDescent="0.25">
      <c r="B22" s="26"/>
      <c r="C22" s="26"/>
      <c r="D22" s="26"/>
      <c r="E22" s="26"/>
      <c r="F22" s="26" t="s">
        <v>15</v>
      </c>
      <c r="G22" s="26" t="s">
        <v>16</v>
      </c>
      <c r="H22" s="27" t="s">
        <v>16</v>
      </c>
      <c r="I22" s="27"/>
      <c r="J22" s="26" t="s">
        <v>17</v>
      </c>
      <c r="K22" s="26" t="s">
        <v>18</v>
      </c>
      <c r="M22" s="26"/>
      <c r="N22" s="57"/>
      <c r="O22" s="26"/>
      <c r="P22" s="58" t="s">
        <v>34</v>
      </c>
      <c r="Q22" s="59" t="s">
        <v>35</v>
      </c>
      <c r="R22" s="26" t="s">
        <v>36</v>
      </c>
      <c r="S22" s="26">
        <v>1</v>
      </c>
      <c r="T22" s="26" t="s">
        <v>18</v>
      </c>
    </row>
    <row r="23" spans="1:21" x14ac:dyDescent="0.25">
      <c r="B23" s="26"/>
      <c r="C23" s="12" t="s">
        <v>19</v>
      </c>
      <c r="D23" s="12" t="s">
        <v>20</v>
      </c>
      <c r="E23" s="12" t="s">
        <v>21</v>
      </c>
      <c r="F23" s="28">
        <f>C24</f>
        <v>2000</v>
      </c>
      <c r="G23" s="16">
        <f>C25</f>
        <v>3000</v>
      </c>
      <c r="H23" s="13">
        <f>C26</f>
        <v>5000</v>
      </c>
      <c r="I23" s="13">
        <f>C27</f>
        <v>15000</v>
      </c>
      <c r="J23" s="29">
        <f>C28</f>
        <v>25000</v>
      </c>
      <c r="K23" s="12"/>
      <c r="M23" s="26"/>
      <c r="N23" s="57"/>
      <c r="O23" s="26"/>
      <c r="P23" s="26"/>
      <c r="Q23" s="26"/>
      <c r="R23" s="26"/>
      <c r="S23" s="26"/>
    </row>
    <row r="24" spans="1:21" x14ac:dyDescent="0.25">
      <c r="B24" s="26" t="s">
        <v>15</v>
      </c>
      <c r="C24" s="30">
        <v>2000</v>
      </c>
      <c r="D24" s="14">
        <f>R24</f>
        <v>20419</v>
      </c>
      <c r="E24" s="14">
        <f>R34</f>
        <v>18759200</v>
      </c>
      <c r="F24" s="14">
        <f>E24</f>
        <v>18759200</v>
      </c>
      <c r="G24" s="14">
        <v>0</v>
      </c>
      <c r="H24" s="31"/>
      <c r="I24" s="31"/>
      <c r="J24" s="14">
        <v>0</v>
      </c>
      <c r="K24" s="14">
        <f>SUM(F24:J24)</f>
        <v>18759200</v>
      </c>
      <c r="M24" s="14"/>
      <c r="N24" s="57"/>
      <c r="O24" s="14" t="s">
        <v>37</v>
      </c>
      <c r="P24" s="14">
        <v>9127</v>
      </c>
      <c r="Q24" s="14">
        <v>11292</v>
      </c>
      <c r="R24" s="14">
        <f>SUM(P24,Q24)</f>
        <v>20419</v>
      </c>
      <c r="S24" s="14">
        <v>30</v>
      </c>
      <c r="T24" s="14">
        <f>SUM(R24,S24)</f>
        <v>20449</v>
      </c>
    </row>
    <row r="25" spans="1:21" x14ac:dyDescent="0.25">
      <c r="B25" s="26" t="s">
        <v>16</v>
      </c>
      <c r="C25" s="30">
        <v>3000</v>
      </c>
      <c r="D25" s="14">
        <f t="shared" ref="D25:D28" si="0">R25</f>
        <v>21685</v>
      </c>
      <c r="E25" s="14">
        <f t="shared" ref="E25:E28" si="1">R35</f>
        <v>71792200</v>
      </c>
      <c r="F25" s="14">
        <f>F23*D25</f>
        <v>43370000</v>
      </c>
      <c r="G25" s="14">
        <f>E25-F25</f>
        <v>28422200</v>
      </c>
      <c r="H25" s="31"/>
      <c r="I25" s="31"/>
      <c r="J25" s="14">
        <v>0</v>
      </c>
      <c r="K25" s="14">
        <f>SUM(F25:J25)</f>
        <v>71792200</v>
      </c>
      <c r="M25" s="14"/>
      <c r="N25" s="57"/>
      <c r="O25" s="14" t="s">
        <v>38</v>
      </c>
      <c r="P25" s="14">
        <v>10784</v>
      </c>
      <c r="Q25" s="14">
        <v>10901</v>
      </c>
      <c r="R25" s="14">
        <f t="shared" ref="R25:T28" si="2">SUM(P25,Q25)</f>
        <v>21685</v>
      </c>
      <c r="S25" s="14">
        <v>18</v>
      </c>
      <c r="T25" s="14">
        <f t="shared" si="2"/>
        <v>21703</v>
      </c>
      <c r="U25" s="14">
        <f>SUM(H25:T25)</f>
        <v>71857291</v>
      </c>
    </row>
    <row r="26" spans="1:21" x14ac:dyDescent="0.25">
      <c r="B26" s="26" t="s">
        <v>16</v>
      </c>
      <c r="C26" s="30">
        <v>5000</v>
      </c>
      <c r="D26" s="14">
        <f t="shared" si="0"/>
        <v>7846</v>
      </c>
      <c r="E26" s="14">
        <f t="shared" si="1"/>
        <v>52783200</v>
      </c>
      <c r="F26" s="14">
        <f>F23*D26</f>
        <v>15692000</v>
      </c>
      <c r="G26" s="14">
        <f>G23*D26</f>
        <v>23538000</v>
      </c>
      <c r="H26" s="14">
        <f>E26-F26-G26</f>
        <v>13553200</v>
      </c>
      <c r="I26" s="14"/>
      <c r="J26" s="14">
        <v>0</v>
      </c>
      <c r="K26" s="14">
        <f>SUM(F26:J26)</f>
        <v>52783200</v>
      </c>
      <c r="L26">
        <f>C26*D26</f>
        <v>39230000</v>
      </c>
      <c r="M26" s="14"/>
      <c r="N26" s="57"/>
      <c r="O26" s="14" t="s">
        <v>39</v>
      </c>
      <c r="P26" s="14">
        <v>4069</v>
      </c>
      <c r="Q26" s="14">
        <v>3777</v>
      </c>
      <c r="R26" s="14">
        <f t="shared" si="2"/>
        <v>7846</v>
      </c>
      <c r="S26" s="14">
        <v>13</v>
      </c>
      <c r="T26" s="14">
        <f t="shared" si="2"/>
        <v>7859</v>
      </c>
    </row>
    <row r="27" spans="1:21" x14ac:dyDescent="0.25">
      <c r="B27" s="26" t="s">
        <v>16</v>
      </c>
      <c r="C27" s="30">
        <v>15000</v>
      </c>
      <c r="D27" s="14">
        <f t="shared" si="0"/>
        <v>1802</v>
      </c>
      <c r="E27" s="14">
        <f t="shared" si="1"/>
        <v>25309100</v>
      </c>
      <c r="F27" s="14">
        <f>F23*D27</f>
        <v>3604000</v>
      </c>
      <c r="G27" s="14">
        <f>G23*D27</f>
        <v>5406000</v>
      </c>
      <c r="H27" s="14">
        <f>H23*D27</f>
        <v>9010000</v>
      </c>
      <c r="I27" s="14">
        <f>E27-F27-G27-H27</f>
        <v>7289100</v>
      </c>
      <c r="J27" s="14"/>
      <c r="K27" s="14">
        <f>SUM(F27:J27)</f>
        <v>25309100</v>
      </c>
      <c r="L27">
        <f t="shared" ref="L27:L28" si="3">C27*D27</f>
        <v>27030000</v>
      </c>
      <c r="M27" s="14"/>
      <c r="N27" s="57"/>
      <c r="O27" s="14" t="s">
        <v>40</v>
      </c>
      <c r="P27" s="14">
        <v>884</v>
      </c>
      <c r="Q27" s="14">
        <v>918</v>
      </c>
      <c r="R27" s="14">
        <f t="shared" si="2"/>
        <v>1802</v>
      </c>
      <c r="S27" s="14">
        <v>16</v>
      </c>
      <c r="T27" s="14">
        <f t="shared" si="2"/>
        <v>1818</v>
      </c>
    </row>
    <row r="28" spans="1:21" x14ac:dyDescent="0.25">
      <c r="B28" s="26" t="s">
        <v>17</v>
      </c>
      <c r="C28" s="30">
        <f>SUM(C24:C27)</f>
        <v>25000</v>
      </c>
      <c r="D28" s="16">
        <f t="shared" si="0"/>
        <v>419</v>
      </c>
      <c r="E28" s="14">
        <f t="shared" si="1"/>
        <v>135659900</v>
      </c>
      <c r="F28" s="14">
        <f>F23*D28</f>
        <v>838000</v>
      </c>
      <c r="G28" s="14">
        <f>G23*D28</f>
        <v>1257000</v>
      </c>
      <c r="H28" s="14">
        <f>H23*D28</f>
        <v>2095000</v>
      </c>
      <c r="I28" s="14">
        <f>I23*D28</f>
        <v>6285000</v>
      </c>
      <c r="J28" s="14">
        <f>E28-F28-G28-H28-I28</f>
        <v>125184900</v>
      </c>
      <c r="K28" s="14">
        <f>SUM(F28:J28)</f>
        <v>135659900</v>
      </c>
      <c r="L28">
        <f t="shared" si="3"/>
        <v>10475000</v>
      </c>
      <c r="M28" s="14"/>
      <c r="N28" s="57"/>
      <c r="O28" s="14" t="s">
        <v>41</v>
      </c>
      <c r="P28" s="14">
        <v>204</v>
      </c>
      <c r="Q28" s="14">
        <v>215</v>
      </c>
      <c r="R28" s="14">
        <f t="shared" si="2"/>
        <v>419</v>
      </c>
      <c r="S28" s="14">
        <v>47</v>
      </c>
      <c r="T28" s="14">
        <f t="shared" si="2"/>
        <v>466</v>
      </c>
    </row>
    <row r="29" spans="1:21" ht="16.5" thickBot="1" x14ac:dyDescent="0.3">
      <c r="B29" s="26"/>
      <c r="C29" t="s">
        <v>22</v>
      </c>
      <c r="D29" s="32">
        <f t="shared" ref="D29:K29" si="4">SUM(D24:D28)</f>
        <v>52171</v>
      </c>
      <c r="E29" s="33">
        <f t="shared" si="4"/>
        <v>304303600</v>
      </c>
      <c r="F29" s="33">
        <f t="shared" si="4"/>
        <v>82263200</v>
      </c>
      <c r="G29" s="33">
        <f t="shared" si="4"/>
        <v>58623200</v>
      </c>
      <c r="H29" s="34">
        <f t="shared" si="4"/>
        <v>24658200</v>
      </c>
      <c r="I29" s="60">
        <f t="shared" si="4"/>
        <v>13574100</v>
      </c>
      <c r="J29" s="61">
        <f t="shared" si="4"/>
        <v>125184900</v>
      </c>
      <c r="K29" s="33">
        <f t="shared" si="4"/>
        <v>304303600</v>
      </c>
      <c r="M29" s="37"/>
      <c r="N29" s="52"/>
      <c r="O29" s="37"/>
      <c r="P29" s="37">
        <f>SUM(P24:P28)</f>
        <v>25068</v>
      </c>
      <c r="Q29" s="37">
        <f>SUM(Q24:Q28)</f>
        <v>27103</v>
      </c>
      <c r="R29" s="37">
        <f>SUM(R24:R28)</f>
        <v>52171</v>
      </c>
      <c r="S29" s="37">
        <f>SUM(S24:S28)</f>
        <v>124</v>
      </c>
      <c r="T29" s="37">
        <f>SUM(T24:T28)</f>
        <v>52295</v>
      </c>
    </row>
    <row r="30" spans="1:21" ht="16.5" thickTop="1" x14ac:dyDescent="0.25">
      <c r="I30" s="56"/>
      <c r="J30" s="56"/>
      <c r="N30" s="52"/>
    </row>
    <row r="31" spans="1:21" x14ac:dyDescent="0.25">
      <c r="B31" s="8" t="s">
        <v>23</v>
      </c>
      <c r="C31" s="8"/>
      <c r="D31" s="8"/>
      <c r="E31" s="8"/>
      <c r="F31" s="8"/>
      <c r="G31" s="8"/>
      <c r="H31" s="8"/>
      <c r="I31" s="62"/>
      <c r="J31" s="62"/>
      <c r="N31" s="52"/>
      <c r="P31" s="8" t="s">
        <v>42</v>
      </c>
      <c r="Q31" s="8"/>
      <c r="R31" s="8"/>
      <c r="S31" s="8"/>
      <c r="T31" s="8"/>
    </row>
    <row r="32" spans="1:21" x14ac:dyDescent="0.25">
      <c r="C32" s="35"/>
      <c r="D32" s="36" t="s">
        <v>20</v>
      </c>
      <c r="E32" s="36" t="s">
        <v>21</v>
      </c>
      <c r="F32" s="8" t="s">
        <v>24</v>
      </c>
      <c r="G32" s="8"/>
      <c r="H32" s="36" t="s">
        <v>5</v>
      </c>
      <c r="I32" s="63"/>
      <c r="J32" s="63"/>
      <c r="L32" s="37">
        <f>D29</f>
        <v>52171</v>
      </c>
      <c r="N32" s="52"/>
      <c r="P32" s="58" t="s">
        <v>34</v>
      </c>
      <c r="Q32" s="59" t="s">
        <v>35</v>
      </c>
      <c r="R32" s="26" t="s">
        <v>36</v>
      </c>
      <c r="S32" s="26">
        <v>1</v>
      </c>
      <c r="T32" s="26" t="s">
        <v>18</v>
      </c>
    </row>
    <row r="33" spans="1:21" x14ac:dyDescent="0.25">
      <c r="B33" s="26" t="s">
        <v>15</v>
      </c>
      <c r="C33" s="14">
        <f>C24</f>
        <v>2000</v>
      </c>
      <c r="D33" s="37">
        <f>D29</f>
        <v>52171</v>
      </c>
      <c r="E33" s="37">
        <f>F29</f>
        <v>82263200</v>
      </c>
      <c r="F33" s="38">
        <f>'[1]CurRates CN 2023-00334'!F5</f>
        <v>28.94</v>
      </c>
      <c r="G33" t="s">
        <v>26</v>
      </c>
      <c r="H33" s="39">
        <f>F33*D33</f>
        <v>1509828.74</v>
      </c>
      <c r="I33" s="38"/>
      <c r="J33" s="40"/>
      <c r="L33" s="41">
        <f>L32/12</f>
        <v>4347.583333333333</v>
      </c>
      <c r="N33" s="52"/>
      <c r="P33" s="26"/>
      <c r="Q33" s="26"/>
      <c r="R33" s="26"/>
      <c r="S33" s="26"/>
    </row>
    <row r="34" spans="1:21" x14ac:dyDescent="0.25">
      <c r="B34" s="26" t="s">
        <v>16</v>
      </c>
      <c r="C34" s="14">
        <f>C25</f>
        <v>3000</v>
      </c>
      <c r="E34" s="37">
        <f>G29</f>
        <v>58623200</v>
      </c>
      <c r="F34" s="42">
        <f>'[1]CurRates CN 2023-00334'!F6</f>
        <v>8.2699999999999996E-3</v>
      </c>
      <c r="G34" t="s">
        <v>27</v>
      </c>
      <c r="H34" s="43">
        <f>ROUND(E34*F34,2)</f>
        <v>484813.86</v>
      </c>
      <c r="I34" s="64"/>
      <c r="J34" s="40"/>
      <c r="L34">
        <v>4372</v>
      </c>
      <c r="N34" s="52"/>
      <c r="P34" s="14">
        <v>7918300</v>
      </c>
      <c r="Q34" s="14">
        <v>10840900</v>
      </c>
      <c r="R34" s="14">
        <f>SUM(P34,Q34)</f>
        <v>18759200</v>
      </c>
      <c r="S34" s="14">
        <v>28500</v>
      </c>
      <c r="T34" s="14">
        <f>SUM(R34,S34)</f>
        <v>18787700</v>
      </c>
      <c r="U34" s="40">
        <v>9.5399999999999991</v>
      </c>
    </row>
    <row r="35" spans="1:21" x14ac:dyDescent="0.25">
      <c r="B35" s="26" t="s">
        <v>16</v>
      </c>
      <c r="C35" s="14">
        <f>C26</f>
        <v>5000</v>
      </c>
      <c r="E35" s="37">
        <f>H29</f>
        <v>24658200</v>
      </c>
      <c r="F35" s="42">
        <f>'[1]CurRates CN 2023-00334'!F7</f>
        <v>7.6299999999999996E-3</v>
      </c>
      <c r="G35" t="s">
        <v>27</v>
      </c>
      <c r="H35" s="43">
        <f>ROUND(E35*F35,2)</f>
        <v>188142.07</v>
      </c>
      <c r="I35" s="64"/>
      <c r="J35" s="40"/>
      <c r="N35" s="52"/>
      <c r="P35" s="14">
        <v>36008000</v>
      </c>
      <c r="Q35" s="14">
        <v>35784200</v>
      </c>
      <c r="R35" s="14">
        <f t="shared" ref="R35:R38" si="5">SUM(P35,Q35)</f>
        <v>71792200</v>
      </c>
      <c r="S35" s="14">
        <v>58100</v>
      </c>
      <c r="T35" s="14">
        <f t="shared" ref="T35:T38" si="6">SUM(R35,S35)</f>
        <v>71850300</v>
      </c>
      <c r="U35" s="40">
        <v>8.09</v>
      </c>
    </row>
    <row r="36" spans="1:21" x14ac:dyDescent="0.25">
      <c r="B36" s="26" t="s">
        <v>16</v>
      </c>
      <c r="C36" s="14">
        <f>C27</f>
        <v>15000</v>
      </c>
      <c r="E36" s="37">
        <f>I29</f>
        <v>13574100</v>
      </c>
      <c r="F36" s="42">
        <f>'[1]CurRates CN 2023-00334'!F8</f>
        <v>6.9800000000000001E-3</v>
      </c>
      <c r="G36" t="s">
        <v>27</v>
      </c>
      <c r="H36" s="43">
        <f>ROUND(E36*F36,2)</f>
        <v>94747.22</v>
      </c>
      <c r="I36" s="64"/>
      <c r="J36" s="40"/>
      <c r="N36" s="52"/>
      <c r="P36" s="14">
        <v>27304300</v>
      </c>
      <c r="Q36" s="14">
        <v>25478900</v>
      </c>
      <c r="R36" s="14">
        <f t="shared" si="5"/>
        <v>52783200</v>
      </c>
      <c r="S36" s="14">
        <v>105200</v>
      </c>
      <c r="T36" s="14">
        <f t="shared" si="6"/>
        <v>52888400</v>
      </c>
      <c r="U36" s="40">
        <v>7.72</v>
      </c>
    </row>
    <row r="37" spans="1:21" x14ac:dyDescent="0.25">
      <c r="B37" s="26" t="s">
        <v>17</v>
      </c>
      <c r="C37" s="14">
        <f>C28</f>
        <v>25000</v>
      </c>
      <c r="D37" s="35"/>
      <c r="E37" s="44">
        <f>J28</f>
        <v>125184900</v>
      </c>
      <c r="F37" s="42">
        <f>'[1]CurRates CN 2023-00334'!F9</f>
        <v>6.3699999999999998E-3</v>
      </c>
      <c r="G37" t="s">
        <v>27</v>
      </c>
      <c r="H37" s="43">
        <f>ROUND(E37*F37,2)</f>
        <v>797427.81</v>
      </c>
      <c r="I37" s="64"/>
      <c r="J37" s="40"/>
      <c r="N37" s="52"/>
      <c r="P37" s="14">
        <v>12163300</v>
      </c>
      <c r="Q37" s="14">
        <v>13145800</v>
      </c>
      <c r="R37" s="14">
        <f t="shared" si="5"/>
        <v>25309100</v>
      </c>
      <c r="S37" s="14">
        <v>270000</v>
      </c>
      <c r="T37" s="14">
        <f t="shared" si="6"/>
        <v>25579100</v>
      </c>
      <c r="U37" s="40">
        <v>6.77</v>
      </c>
    </row>
    <row r="38" spans="1:21" ht="16.5" thickBot="1" x14ac:dyDescent="0.3">
      <c r="C38" t="s">
        <v>28</v>
      </c>
      <c r="E38" s="33">
        <f>SUM(E33:E37)</f>
        <v>304303600</v>
      </c>
      <c r="H38" s="45">
        <f>SUM(H33:H37)</f>
        <v>3074959.7</v>
      </c>
      <c r="I38" s="38"/>
      <c r="J38" s="38"/>
      <c r="L38" t="s">
        <v>29</v>
      </c>
      <c r="N38" s="65">
        <f>ROUND(E38/D33,0)</f>
        <v>5833</v>
      </c>
      <c r="O38" s="9"/>
      <c r="P38" s="14">
        <v>71322400</v>
      </c>
      <c r="Q38" s="14">
        <v>64337500</v>
      </c>
      <c r="R38" s="14">
        <f t="shared" si="5"/>
        <v>135659900</v>
      </c>
      <c r="S38" s="14">
        <v>5288000</v>
      </c>
      <c r="T38" s="14">
        <f t="shared" si="6"/>
        <v>140947900</v>
      </c>
    </row>
    <row r="39" spans="1:21" ht="16.5" thickTop="1" x14ac:dyDescent="0.25">
      <c r="E39" s="37"/>
      <c r="H39" s="38"/>
      <c r="N39" s="52"/>
      <c r="P39" s="37">
        <f>SUM(P34:P38)</f>
        <v>154716300</v>
      </c>
      <c r="Q39" s="37">
        <f>SUM(Q34:Q38)</f>
        <v>149587300</v>
      </c>
      <c r="R39" s="37">
        <f>SUM(R34:R38)</f>
        <v>304303600</v>
      </c>
      <c r="S39" s="37">
        <f>SUM(S34:S38)</f>
        <v>5749800</v>
      </c>
      <c r="T39" s="37">
        <f>SUM(T34:T38)</f>
        <v>310053400</v>
      </c>
    </row>
    <row r="40" spans="1:21" x14ac:dyDescent="0.25">
      <c r="E40" s="37"/>
      <c r="H40" s="38"/>
      <c r="N40" s="52"/>
    </row>
    <row r="41" spans="1:21" x14ac:dyDescent="0.25">
      <c r="E41" s="37"/>
      <c r="H41" s="38"/>
      <c r="N41" s="52"/>
    </row>
    <row r="42" spans="1:21" x14ac:dyDescent="0.25">
      <c r="A42" t="s">
        <v>13</v>
      </c>
      <c r="B42" s="10" t="s">
        <v>7</v>
      </c>
      <c r="I42"/>
      <c r="J42"/>
      <c r="N42" s="52"/>
    </row>
    <row r="43" spans="1:21" x14ac:dyDescent="0.25">
      <c r="B43" s="26"/>
      <c r="C43" s="26"/>
      <c r="D43" s="26"/>
      <c r="E43" s="26"/>
      <c r="F43" s="26" t="s">
        <v>15</v>
      </c>
      <c r="G43" s="26" t="s">
        <v>16</v>
      </c>
      <c r="H43" s="27" t="s">
        <v>16</v>
      </c>
      <c r="I43" s="26" t="s">
        <v>17</v>
      </c>
      <c r="L43" s="26" t="s">
        <v>18</v>
      </c>
      <c r="M43" s="26"/>
      <c r="N43" s="52"/>
    </row>
    <row r="44" spans="1:21" x14ac:dyDescent="0.25">
      <c r="B44" s="26"/>
      <c r="C44" s="12" t="s">
        <v>19</v>
      </c>
      <c r="D44" s="12" t="s">
        <v>20</v>
      </c>
      <c r="E44" s="12" t="s">
        <v>21</v>
      </c>
      <c r="F44" s="28">
        <f>C45</f>
        <v>5000</v>
      </c>
      <c r="G44" s="16">
        <f>C46</f>
        <v>5000</v>
      </c>
      <c r="H44" s="13">
        <f>C47</f>
        <v>15000</v>
      </c>
      <c r="I44" s="13">
        <f>C48</f>
        <v>25000</v>
      </c>
      <c r="L44" s="12"/>
      <c r="M44" s="26"/>
      <c r="N44" s="52"/>
    </row>
    <row r="45" spans="1:21" x14ac:dyDescent="0.25">
      <c r="B45" s="26" t="s">
        <v>15</v>
      </c>
      <c r="C45" s="14">
        <v>5000</v>
      </c>
      <c r="D45" s="14">
        <f>S24+S25</f>
        <v>48</v>
      </c>
      <c r="E45" s="14">
        <f>S34+S35</f>
        <v>86600</v>
      </c>
      <c r="F45" s="14">
        <f>E45</f>
        <v>86600</v>
      </c>
      <c r="G45" s="14"/>
      <c r="H45" s="31"/>
      <c r="I45" s="31"/>
      <c r="L45" s="14">
        <f>SUM(F45:I45)</f>
        <v>86600</v>
      </c>
      <c r="M45" s="14"/>
      <c r="N45" s="52"/>
    </row>
    <row r="46" spans="1:21" x14ac:dyDescent="0.25">
      <c r="B46" s="26" t="s">
        <v>16</v>
      </c>
      <c r="C46" s="14">
        <v>5000</v>
      </c>
      <c r="D46" s="14">
        <f>S26</f>
        <v>13</v>
      </c>
      <c r="E46" s="14">
        <f>S36</f>
        <v>105200</v>
      </c>
      <c r="F46" s="14">
        <f>$D46*F44</f>
        <v>65000</v>
      </c>
      <c r="G46" s="14">
        <f>E46-F46</f>
        <v>40200</v>
      </c>
      <c r="H46" s="31"/>
      <c r="I46" s="31"/>
      <c r="L46" s="14">
        <f>SUM(F46:I46)</f>
        <v>105200</v>
      </c>
      <c r="M46" s="14"/>
      <c r="N46" s="52"/>
    </row>
    <row r="47" spans="1:21" x14ac:dyDescent="0.25">
      <c r="B47" s="26" t="s">
        <v>16</v>
      </c>
      <c r="C47" s="14">
        <v>15000</v>
      </c>
      <c r="D47" s="14">
        <f t="shared" ref="D47:D48" si="7">S27</f>
        <v>16</v>
      </c>
      <c r="E47" s="14">
        <f t="shared" ref="E47:E48" si="8">S37</f>
        <v>270000</v>
      </c>
      <c r="F47" s="14">
        <f>$D47*F44</f>
        <v>80000</v>
      </c>
      <c r="G47" s="14">
        <f>$D47*G44</f>
        <v>80000</v>
      </c>
      <c r="H47" s="31">
        <f>E47-F47-G47</f>
        <v>110000</v>
      </c>
      <c r="I47" s="31"/>
      <c r="L47" s="14">
        <f>SUM(F47:I47)</f>
        <v>270000</v>
      </c>
      <c r="M47" s="14"/>
      <c r="N47" s="52"/>
    </row>
    <row r="48" spans="1:21" x14ac:dyDescent="0.25">
      <c r="B48" s="26" t="s">
        <v>17</v>
      </c>
      <c r="C48" s="14">
        <f>SUM(C45:C47)</f>
        <v>25000</v>
      </c>
      <c r="D48" s="14">
        <f t="shared" si="7"/>
        <v>47</v>
      </c>
      <c r="E48" s="14">
        <f t="shared" si="8"/>
        <v>5288000</v>
      </c>
      <c r="F48" s="14">
        <f>$D48*F44</f>
        <v>235000</v>
      </c>
      <c r="G48" s="14">
        <f>$D48*G44</f>
        <v>235000</v>
      </c>
      <c r="H48" s="14">
        <f>$D48*H44</f>
        <v>705000</v>
      </c>
      <c r="I48" s="14">
        <f>E48-F48-G48-H48</f>
        <v>4113000</v>
      </c>
      <c r="L48" s="14">
        <f>SUM(F48:I48)</f>
        <v>5288000</v>
      </c>
      <c r="M48" s="14"/>
      <c r="N48" s="52"/>
    </row>
    <row r="49" spans="1:14" ht="16.5" thickBot="1" x14ac:dyDescent="0.3">
      <c r="B49" s="26"/>
      <c r="C49" t="s">
        <v>22</v>
      </c>
      <c r="D49" s="33">
        <f t="shared" ref="D49:H49" si="9">SUM(D45:D48)</f>
        <v>124</v>
      </c>
      <c r="E49" s="33">
        <f t="shared" si="9"/>
        <v>5749800</v>
      </c>
      <c r="F49" s="33">
        <f t="shared" si="9"/>
        <v>466600</v>
      </c>
      <c r="G49" s="33">
        <f t="shared" si="9"/>
        <v>355200</v>
      </c>
      <c r="H49" s="34">
        <f t="shared" si="9"/>
        <v>815000</v>
      </c>
      <c r="I49" s="34">
        <f>SUM(I45:I48)</f>
        <v>4113000</v>
      </c>
      <c r="L49" s="33">
        <f>SUM(L45:L48)</f>
        <v>5749800</v>
      </c>
      <c r="M49" s="37"/>
      <c r="N49" s="52"/>
    </row>
    <row r="50" spans="1:14" ht="16.5" thickTop="1" x14ac:dyDescent="0.25">
      <c r="N50" s="52"/>
    </row>
    <row r="51" spans="1:14" x14ac:dyDescent="0.25">
      <c r="B51" s="8" t="s">
        <v>23</v>
      </c>
      <c r="C51" s="8"/>
      <c r="D51" s="8"/>
      <c r="E51" s="8"/>
      <c r="F51" s="8"/>
      <c r="G51" s="8"/>
      <c r="H51" s="8"/>
      <c r="N51" s="52"/>
    </row>
    <row r="52" spans="1:14" x14ac:dyDescent="0.25">
      <c r="C52" s="35"/>
      <c r="D52" s="36" t="s">
        <v>20</v>
      </c>
      <c r="E52" s="36" t="s">
        <v>21</v>
      </c>
      <c r="F52" s="8" t="s">
        <v>24</v>
      </c>
      <c r="G52" s="8"/>
      <c r="H52" s="36" t="s">
        <v>5</v>
      </c>
      <c r="N52" s="52"/>
    </row>
    <row r="53" spans="1:14" x14ac:dyDescent="0.25">
      <c r="B53" s="26" t="s">
        <v>15</v>
      </c>
      <c r="C53" s="14">
        <f>C45</f>
        <v>5000</v>
      </c>
      <c r="D53" s="37">
        <f>D49</f>
        <v>124</v>
      </c>
      <c r="E53" s="37">
        <f>F49</f>
        <v>466600</v>
      </c>
      <c r="F53" s="39">
        <f>'[1]CurRates CN 2023-00334'!F12</f>
        <v>47.25</v>
      </c>
      <c r="G53" t="s">
        <v>26</v>
      </c>
      <c r="H53" s="39">
        <f>F53*D53</f>
        <v>5859</v>
      </c>
      <c r="N53" s="52"/>
    </row>
    <row r="54" spans="1:14" x14ac:dyDescent="0.25">
      <c r="B54" s="26" t="s">
        <v>16</v>
      </c>
      <c r="C54" s="14">
        <f t="shared" ref="C54:C55" si="10">C46</f>
        <v>5000</v>
      </c>
      <c r="E54" s="37">
        <f>G49</f>
        <v>355200</v>
      </c>
      <c r="F54" s="46">
        <v>7.6299999999999996E-3</v>
      </c>
      <c r="G54" t="s">
        <v>27</v>
      </c>
      <c r="H54" s="43">
        <f>ROUND(E54*F54,2)</f>
        <v>2710.18</v>
      </c>
      <c r="N54" s="52"/>
    </row>
    <row r="55" spans="1:14" x14ac:dyDescent="0.25">
      <c r="B55" s="26" t="s">
        <v>16</v>
      </c>
      <c r="C55" s="14">
        <f t="shared" si="10"/>
        <v>15000</v>
      </c>
      <c r="E55" s="37">
        <f>H49</f>
        <v>815000</v>
      </c>
      <c r="F55" s="46">
        <v>6.9800000000000001E-3</v>
      </c>
      <c r="G55" t="s">
        <v>27</v>
      </c>
      <c r="H55" s="43">
        <f>ROUND(E55*F55,2)</f>
        <v>5688.7</v>
      </c>
      <c r="N55" s="52"/>
    </row>
    <row r="56" spans="1:14" x14ac:dyDescent="0.25">
      <c r="B56" s="26" t="s">
        <v>17</v>
      </c>
      <c r="C56" s="14">
        <f>SUM(C53:C55)</f>
        <v>25000</v>
      </c>
      <c r="D56" s="35"/>
      <c r="E56" s="44">
        <f>I49</f>
        <v>4113000</v>
      </c>
      <c r="F56" s="46">
        <v>6.3699999999999998E-3</v>
      </c>
      <c r="G56" t="s">
        <v>27</v>
      </c>
      <c r="H56" s="43">
        <f>ROUND(E56*F56,2)</f>
        <v>26199.81</v>
      </c>
      <c r="N56" s="52"/>
    </row>
    <row r="57" spans="1:14" ht="16.5" thickBot="1" x14ac:dyDescent="0.3">
      <c r="C57" t="s">
        <v>28</v>
      </c>
      <c r="E57" s="33">
        <f>SUM(E53:E56)</f>
        <v>5749800</v>
      </c>
      <c r="H57" s="45">
        <f>SUM(H53:H56)</f>
        <v>40457.69</v>
      </c>
      <c r="N57" s="65">
        <f>ROUND(E57/D53,0)</f>
        <v>46369</v>
      </c>
    </row>
    <row r="58" spans="1:14" ht="16.5" thickTop="1" x14ac:dyDescent="0.25">
      <c r="N58" s="52"/>
    </row>
    <row r="59" spans="1:14" x14ac:dyDescent="0.25">
      <c r="A59" t="s">
        <v>13</v>
      </c>
      <c r="B59" s="10" t="s">
        <v>43</v>
      </c>
      <c r="I59"/>
      <c r="J59"/>
      <c r="N59" s="52"/>
    </row>
    <row r="60" spans="1:14" x14ac:dyDescent="0.25">
      <c r="N60" s="66"/>
    </row>
    <row r="61" spans="1:14" x14ac:dyDescent="0.25">
      <c r="N61" s="66"/>
    </row>
    <row r="62" spans="1:14" x14ac:dyDescent="0.25">
      <c r="N62" s="66"/>
    </row>
    <row r="63" spans="1:14" x14ac:dyDescent="0.25">
      <c r="N63" s="66"/>
    </row>
    <row r="64" spans="1:14" x14ac:dyDescent="0.25">
      <c r="N64" s="66"/>
    </row>
    <row r="65" spans="14:14" x14ac:dyDescent="0.25">
      <c r="N65" s="66"/>
    </row>
    <row r="66" spans="14:14" x14ac:dyDescent="0.25">
      <c r="N66" s="66"/>
    </row>
  </sheetData>
  <mergeCells count="11">
    <mergeCell ref="B31:H31"/>
    <mergeCell ref="P31:T31"/>
    <mergeCell ref="F32:G32"/>
    <mergeCell ref="B51:H51"/>
    <mergeCell ref="F52:G52"/>
    <mergeCell ref="A1:L1"/>
    <mergeCell ref="A2:L2"/>
    <mergeCell ref="A4:L4"/>
    <mergeCell ref="F5:H5"/>
    <mergeCell ref="C6:D6"/>
    <mergeCell ref="P21:T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A28CD-5A0C-4B17-B8E1-D8F0182BE049}">
  <dimension ref="B1:S54"/>
  <sheetViews>
    <sheetView tabSelected="1" workbookViewId="0">
      <selection activeCell="E12" sqref="E12"/>
    </sheetView>
  </sheetViews>
  <sheetFormatPr defaultColWidth="19" defaultRowHeight="15" x14ac:dyDescent="0.25"/>
  <cols>
    <col min="1" max="1" width="6.42578125" customWidth="1"/>
    <col min="2" max="2" width="11" customWidth="1"/>
    <col min="3" max="4" width="13.85546875" customWidth="1"/>
    <col min="9" max="10" width="19" style="9"/>
  </cols>
  <sheetData>
    <row r="1" spans="2:17" ht="18.75" x14ac:dyDescent="0.3">
      <c r="B1" s="2" t="s">
        <v>44</v>
      </c>
      <c r="C1" s="2"/>
      <c r="D1" s="2"/>
      <c r="E1" s="2"/>
      <c r="F1" s="2"/>
      <c r="G1" s="2"/>
      <c r="H1" s="2"/>
      <c r="I1" s="2"/>
      <c r="J1" s="2"/>
      <c r="K1" s="2"/>
      <c r="L1" s="2"/>
      <c r="M1" s="6"/>
      <c r="N1" s="6"/>
      <c r="O1" s="6"/>
      <c r="P1" s="6"/>
      <c r="Q1" s="6"/>
    </row>
    <row r="2" spans="2:17" ht="18.75" x14ac:dyDescent="0.3">
      <c r="B2" s="68" t="str">
        <f>'[1]SAO - DSC'!F1</f>
        <v>Western Rockcastle Association</v>
      </c>
      <c r="C2" s="2"/>
      <c r="D2" s="2"/>
      <c r="E2" s="2"/>
      <c r="F2" s="2"/>
      <c r="G2" s="2"/>
      <c r="H2" s="2"/>
      <c r="I2" s="2"/>
      <c r="J2" s="2"/>
      <c r="K2" s="2"/>
      <c r="L2" s="2"/>
      <c r="M2" s="49"/>
      <c r="N2" s="49"/>
      <c r="O2" s="49"/>
      <c r="P2" s="49"/>
      <c r="Q2" s="49"/>
    </row>
    <row r="3" spans="2:17" ht="18.75" x14ac:dyDescent="0.3">
      <c r="B3" s="5"/>
      <c r="C3" s="5"/>
      <c r="D3" s="5"/>
      <c r="E3" s="5"/>
      <c r="F3" s="5"/>
      <c r="G3" s="5"/>
      <c r="H3" s="5"/>
      <c r="I3" s="5"/>
      <c r="J3" s="5"/>
      <c r="K3" s="6"/>
      <c r="L3" s="6"/>
      <c r="M3" s="5"/>
      <c r="N3" s="5"/>
      <c r="O3" s="5"/>
      <c r="P3" s="5"/>
      <c r="Q3" s="5"/>
    </row>
    <row r="4" spans="2:17" ht="18.75" x14ac:dyDescent="0.3">
      <c r="B4" s="7" t="s">
        <v>1</v>
      </c>
      <c r="C4" s="7"/>
      <c r="D4" s="7"/>
      <c r="E4" s="7"/>
      <c r="F4" s="7"/>
      <c r="G4" s="7"/>
      <c r="H4" s="7"/>
      <c r="I4" s="7"/>
      <c r="J4" s="7"/>
      <c r="K4" s="7"/>
      <c r="L4" s="7"/>
      <c r="M4" s="6"/>
      <c r="N4" s="6"/>
      <c r="O4" s="6"/>
      <c r="P4" s="6"/>
      <c r="Q4" s="6"/>
    </row>
    <row r="5" spans="2:17" ht="18.75" x14ac:dyDescent="0.3">
      <c r="I5"/>
      <c r="K5" s="6"/>
      <c r="L5" s="6"/>
    </row>
    <row r="6" spans="2:17" ht="18.75" x14ac:dyDescent="0.3">
      <c r="C6" s="10"/>
      <c r="D6" s="11" t="s">
        <v>2</v>
      </c>
      <c r="E6" s="11"/>
      <c r="G6" s="12" t="s">
        <v>3</v>
      </c>
      <c r="H6" s="12" t="s">
        <v>4</v>
      </c>
      <c r="I6" s="13" t="s">
        <v>5</v>
      </c>
      <c r="K6" s="6"/>
      <c r="L6" s="6"/>
    </row>
    <row r="7" spans="2:17" ht="18.75" x14ac:dyDescent="0.3">
      <c r="C7" s="10"/>
      <c r="D7" t="s">
        <v>6</v>
      </c>
      <c r="G7" s="14">
        <f>E31</f>
        <v>52171</v>
      </c>
      <c r="H7" s="14">
        <f>F36</f>
        <v>304303600</v>
      </c>
      <c r="I7" s="15">
        <f>I36</f>
        <v>3363257.87</v>
      </c>
      <c r="K7" s="6"/>
      <c r="L7" s="6"/>
    </row>
    <row r="8" spans="2:17" ht="18.75" x14ac:dyDescent="0.3">
      <c r="C8" s="10"/>
      <c r="D8" t="s">
        <v>7</v>
      </c>
      <c r="G8" s="16">
        <f>E49</f>
        <v>124</v>
      </c>
      <c r="H8" s="16">
        <f>F53</f>
        <v>5749800</v>
      </c>
      <c r="I8" s="69">
        <f>I53</f>
        <v>43883.43</v>
      </c>
      <c r="K8" s="6"/>
      <c r="L8" s="6"/>
    </row>
    <row r="9" spans="2:17" ht="18.75" x14ac:dyDescent="0.3">
      <c r="C9" s="10"/>
      <c r="D9" s="18" t="s">
        <v>9</v>
      </c>
      <c r="E9" s="18"/>
      <c r="G9" s="26"/>
      <c r="H9" s="26"/>
      <c r="I9" s="17">
        <f>'[1]CN 2023-000334 Rates'!H10</f>
        <v>-855037.6</v>
      </c>
      <c r="K9" s="6"/>
      <c r="L9" s="6"/>
    </row>
    <row r="10" spans="2:17" ht="18.75" x14ac:dyDescent="0.3">
      <c r="C10" s="10"/>
      <c r="D10" s="70" t="s">
        <v>45</v>
      </c>
      <c r="E10" s="18"/>
      <c r="G10" s="54"/>
      <c r="H10" s="54"/>
      <c r="I10" s="20">
        <f>SUM(I7:I9)</f>
        <v>2552103.7000000002</v>
      </c>
      <c r="K10" s="6"/>
      <c r="L10" s="6"/>
    </row>
    <row r="11" spans="2:17" ht="18.75" x14ac:dyDescent="0.3">
      <c r="C11" s="10"/>
      <c r="D11" s="70" t="s">
        <v>46</v>
      </c>
      <c r="E11" s="18"/>
      <c r="G11" s="54"/>
      <c r="H11" s="54"/>
      <c r="I11" s="21">
        <v>-2541670</v>
      </c>
      <c r="K11" s="6"/>
      <c r="L11" s="6"/>
    </row>
    <row r="12" spans="2:17" ht="19.5" thickBot="1" x14ac:dyDescent="0.35">
      <c r="C12" s="10"/>
      <c r="D12" s="22" t="s">
        <v>12</v>
      </c>
      <c r="E12" s="22"/>
      <c r="G12" s="54"/>
      <c r="H12" s="54"/>
      <c r="I12" s="24">
        <f>SUM(I10:I11)</f>
        <v>10433.700000000186</v>
      </c>
      <c r="K12" s="6"/>
      <c r="L12" s="6"/>
    </row>
    <row r="13" spans="2:17" ht="19.5" thickTop="1" x14ac:dyDescent="0.3">
      <c r="C13" s="10"/>
      <c r="D13" s="22"/>
      <c r="E13" s="22"/>
      <c r="G13" s="54"/>
      <c r="H13" s="54"/>
      <c r="I13" s="55"/>
      <c r="K13" s="6"/>
      <c r="L13" s="6"/>
    </row>
    <row r="14" spans="2:17" ht="18.75" x14ac:dyDescent="0.3">
      <c r="C14" s="10"/>
      <c r="D14" s="71" t="s">
        <v>47</v>
      </c>
      <c r="E14" s="22"/>
      <c r="G14" s="54"/>
      <c r="H14" s="54"/>
      <c r="I14" s="55"/>
      <c r="K14" s="6"/>
      <c r="L14" s="6"/>
    </row>
    <row r="15" spans="2:17" ht="18.75" x14ac:dyDescent="0.3">
      <c r="C15" s="10"/>
      <c r="D15" s="72" t="s">
        <v>48</v>
      </c>
      <c r="H15" s="54"/>
      <c r="I15" s="73">
        <f>I10</f>
        <v>2552103.7000000002</v>
      </c>
      <c r="K15" s="6"/>
      <c r="L15" s="6"/>
    </row>
    <row r="16" spans="2:17" ht="18.75" x14ac:dyDescent="0.3">
      <c r="C16" s="10"/>
      <c r="D16" s="72" t="s">
        <v>49</v>
      </c>
      <c r="H16" s="54"/>
      <c r="I16" s="74">
        <f>-'[1]SAO - Op Ratio'!S56</f>
        <v>-2541670</v>
      </c>
      <c r="K16" s="6"/>
      <c r="L16" s="6"/>
    </row>
    <row r="17" spans="2:19" ht="19.5" thickBot="1" x14ac:dyDescent="0.35">
      <c r="C17" s="10"/>
      <c r="D17" s="72" t="s">
        <v>25</v>
      </c>
      <c r="H17" s="54"/>
      <c r="I17" s="75">
        <f>SUM(I15:I16)</f>
        <v>10433.700000000186</v>
      </c>
      <c r="K17" s="6"/>
      <c r="L17" s="6"/>
    </row>
    <row r="18" spans="2:19" ht="19.5" thickTop="1" x14ac:dyDescent="0.3">
      <c r="C18" s="10"/>
      <c r="D18" s="22"/>
      <c r="E18" s="22"/>
      <c r="G18" s="54"/>
      <c r="H18" s="54"/>
      <c r="I18" s="55"/>
      <c r="K18" s="76"/>
      <c r="L18" s="6"/>
    </row>
    <row r="19" spans="2:19" x14ac:dyDescent="0.25">
      <c r="B19" t="s">
        <v>13</v>
      </c>
      <c r="C19" s="10" t="s">
        <v>14</v>
      </c>
    </row>
    <row r="20" spans="2:19" x14ac:dyDescent="0.25">
      <c r="C20" s="26"/>
      <c r="D20" s="26"/>
      <c r="E20" s="26"/>
      <c r="F20" s="26"/>
      <c r="G20" s="26" t="s">
        <v>15</v>
      </c>
      <c r="H20" s="26" t="s">
        <v>16</v>
      </c>
      <c r="I20" s="27" t="s">
        <v>16</v>
      </c>
      <c r="J20" s="27" t="s">
        <v>16</v>
      </c>
      <c r="K20" s="26" t="s">
        <v>17</v>
      </c>
      <c r="L20" s="26" t="s">
        <v>18</v>
      </c>
      <c r="M20" s="26"/>
      <c r="N20" s="26" t="s">
        <v>50</v>
      </c>
      <c r="O20" s="26" t="s">
        <v>51</v>
      </c>
      <c r="P20" s="26" t="s">
        <v>52</v>
      </c>
      <c r="Q20" s="26" t="s">
        <v>18</v>
      </c>
      <c r="R20" s="26" t="s">
        <v>19</v>
      </c>
    </row>
    <row r="21" spans="2:19" x14ac:dyDescent="0.25">
      <c r="C21" s="26"/>
      <c r="D21" s="12" t="s">
        <v>19</v>
      </c>
      <c r="E21" s="12" t="s">
        <v>20</v>
      </c>
      <c r="F21" s="12" t="s">
        <v>21</v>
      </c>
      <c r="G21" s="28">
        <f>D22</f>
        <v>2000</v>
      </c>
      <c r="H21" s="16">
        <f>D23</f>
        <v>3000</v>
      </c>
      <c r="I21" s="13">
        <f>D24</f>
        <v>5000</v>
      </c>
      <c r="J21" s="13">
        <f>D25</f>
        <v>15000</v>
      </c>
      <c r="K21" s="29">
        <f>D26</f>
        <v>25000</v>
      </c>
      <c r="L21" s="12"/>
      <c r="M21" s="26"/>
      <c r="N21" s="26"/>
      <c r="O21" s="26"/>
      <c r="P21" s="26"/>
      <c r="Q21" s="26"/>
    </row>
    <row r="22" spans="2:19" x14ac:dyDescent="0.25">
      <c r="C22" s="26" t="s">
        <v>15</v>
      </c>
      <c r="D22" s="30">
        <v>2000</v>
      </c>
      <c r="E22" s="77">
        <f>'[1]CN 2023-000334 Rates'!D24</f>
        <v>20419</v>
      </c>
      <c r="F22" s="77">
        <f>'[1]CN 2023-000334 Rates'!E24</f>
        <v>18759200</v>
      </c>
      <c r="G22" s="14">
        <f>F22</f>
        <v>18759200</v>
      </c>
      <c r="H22" s="14">
        <v>0</v>
      </c>
      <c r="I22" s="31">
        <v>0</v>
      </c>
      <c r="J22" s="31"/>
      <c r="K22" s="14">
        <v>0</v>
      </c>
      <c r="L22" s="14">
        <f>SUM(G22:K22)</f>
        <v>18759200</v>
      </c>
      <c r="M22" s="14"/>
      <c r="N22" s="14">
        <v>42</v>
      </c>
      <c r="O22" s="14">
        <v>5</v>
      </c>
      <c r="P22" s="14">
        <v>345</v>
      </c>
      <c r="Q22" s="14">
        <f>SUM(N22:P22)</f>
        <v>392</v>
      </c>
      <c r="R22" s="14">
        <v>584461</v>
      </c>
    </row>
    <row r="23" spans="2:19" x14ac:dyDescent="0.25">
      <c r="C23" s="26" t="s">
        <v>16</v>
      </c>
      <c r="D23" s="30">
        <v>3000</v>
      </c>
      <c r="E23" s="14">
        <f>'[1]CN 2023-000334 Rates'!D25</f>
        <v>21685</v>
      </c>
      <c r="F23" s="14">
        <f>'[1]CN 2023-000334 Rates'!E25</f>
        <v>71792200</v>
      </c>
      <c r="G23" s="14">
        <f>$E23*G$21</f>
        <v>43370000</v>
      </c>
      <c r="H23" s="14">
        <f>F23-G23</f>
        <v>28422200</v>
      </c>
      <c r="I23" s="31">
        <v>0</v>
      </c>
      <c r="J23" s="31"/>
      <c r="K23" s="14">
        <v>0</v>
      </c>
      <c r="L23" s="14">
        <f>SUM(G23:K23)</f>
        <v>71792200</v>
      </c>
      <c r="M23" s="14"/>
      <c r="N23" s="14">
        <v>28</v>
      </c>
      <c r="O23" s="14">
        <v>4</v>
      </c>
      <c r="P23" s="14">
        <v>279</v>
      </c>
      <c r="Q23" s="14">
        <f t="shared" ref="Q23:Q26" si="0">SUM(N23:P23)</f>
        <v>311</v>
      </c>
      <c r="R23" s="14">
        <v>2986709</v>
      </c>
      <c r="S23" s="14">
        <f>SUM(I23:R23)</f>
        <v>74779531</v>
      </c>
    </row>
    <row r="24" spans="2:19" x14ac:dyDescent="0.25">
      <c r="C24" s="26" t="s">
        <v>16</v>
      </c>
      <c r="D24" s="30">
        <v>5000</v>
      </c>
      <c r="E24" s="14">
        <f>'[1]CN 2023-000334 Rates'!D26</f>
        <v>7846</v>
      </c>
      <c r="F24" s="14">
        <f>'[1]CN 2023-000334 Rates'!E26</f>
        <v>52783200</v>
      </c>
      <c r="G24" s="14">
        <f>$E24*G$21</f>
        <v>15692000</v>
      </c>
      <c r="H24" s="14">
        <f>$E24*H$21</f>
        <v>23538000</v>
      </c>
      <c r="I24" s="31">
        <f>F24-G24-H24</f>
        <v>13553200</v>
      </c>
      <c r="J24" s="31"/>
      <c r="K24" s="14"/>
      <c r="L24" s="14">
        <f>SUM(G24:K24)</f>
        <v>52783200</v>
      </c>
      <c r="M24" s="14"/>
      <c r="N24" s="14">
        <v>35</v>
      </c>
      <c r="O24" s="14">
        <v>5</v>
      </c>
      <c r="P24" s="14">
        <v>365</v>
      </c>
      <c r="Q24" s="14">
        <f t="shared" si="0"/>
        <v>405</v>
      </c>
      <c r="R24" s="14">
        <v>9065369</v>
      </c>
    </row>
    <row r="25" spans="2:19" x14ac:dyDescent="0.25">
      <c r="C25" s="26" t="s">
        <v>16</v>
      </c>
      <c r="D25" s="30">
        <v>15000</v>
      </c>
      <c r="E25" s="14">
        <f>'[1]CN 2023-000334 Rates'!D27</f>
        <v>1802</v>
      </c>
      <c r="F25" s="14">
        <f>'[1]CN 2023-000334 Rates'!E27</f>
        <v>25309100</v>
      </c>
      <c r="G25" s="14">
        <f t="shared" ref="G25:J26" si="1">$E25*G$21</f>
        <v>3604000</v>
      </c>
      <c r="H25" s="14">
        <f t="shared" si="1"/>
        <v>5406000</v>
      </c>
      <c r="I25" s="14">
        <f t="shared" si="1"/>
        <v>9010000</v>
      </c>
      <c r="J25" s="14">
        <f>F25-G25-H25-I25</f>
        <v>7289100</v>
      </c>
      <c r="K25" s="14">
        <v>0</v>
      </c>
      <c r="L25" s="14">
        <f>SUM(G25:K25)</f>
        <v>25309100</v>
      </c>
      <c r="M25" s="14"/>
      <c r="N25" s="14">
        <v>22</v>
      </c>
      <c r="O25" s="14">
        <v>7</v>
      </c>
      <c r="P25" s="14">
        <v>479</v>
      </c>
      <c r="Q25" s="14">
        <f t="shared" si="0"/>
        <v>508</v>
      </c>
      <c r="R25" s="14">
        <v>20288867</v>
      </c>
    </row>
    <row r="26" spans="2:19" x14ac:dyDescent="0.25">
      <c r="C26" s="26" t="s">
        <v>17</v>
      </c>
      <c r="D26" s="27">
        <f>'[1]CN 2023-000334 Rates'!C28</f>
        <v>25000</v>
      </c>
      <c r="E26" s="16">
        <f>'[1]CN 2023-000334 Rates'!D28</f>
        <v>419</v>
      </c>
      <c r="F26" s="16">
        <f>'[1]CN 2023-000334 Rates'!E28</f>
        <v>135659900</v>
      </c>
      <c r="G26" s="14">
        <f t="shared" si="1"/>
        <v>838000</v>
      </c>
      <c r="H26" s="14">
        <f t="shared" si="1"/>
        <v>1257000</v>
      </c>
      <c r="I26" s="14">
        <f t="shared" si="1"/>
        <v>2095000</v>
      </c>
      <c r="J26" s="14">
        <f t="shared" si="1"/>
        <v>6285000</v>
      </c>
      <c r="K26" s="14">
        <f>F26-G26-H26-I26-J26</f>
        <v>125184900</v>
      </c>
      <c r="L26" s="14">
        <f>SUM(G26:K26)</f>
        <v>135659900</v>
      </c>
      <c r="M26" s="14"/>
      <c r="N26" s="14">
        <v>46</v>
      </c>
      <c r="O26" s="14">
        <v>8</v>
      </c>
      <c r="P26" s="14">
        <v>1508</v>
      </c>
      <c r="Q26" s="14">
        <f t="shared" si="0"/>
        <v>1562</v>
      </c>
      <c r="R26" s="14">
        <v>259205833</v>
      </c>
    </row>
    <row r="27" spans="2:19" ht="15.75" thickBot="1" x14ac:dyDescent="0.3">
      <c r="C27" s="26"/>
      <c r="D27" t="s">
        <v>22</v>
      </c>
      <c r="E27" s="33">
        <f t="shared" ref="E27:L27" si="2">SUM(E22:E26)</f>
        <v>52171</v>
      </c>
      <c r="F27" s="33">
        <f t="shared" si="2"/>
        <v>304303600</v>
      </c>
      <c r="G27" s="33">
        <f t="shared" si="2"/>
        <v>82263200</v>
      </c>
      <c r="H27" s="33">
        <f t="shared" si="2"/>
        <v>58623200</v>
      </c>
      <c r="I27" s="34">
        <f t="shared" si="2"/>
        <v>24658200</v>
      </c>
      <c r="J27" s="34">
        <f t="shared" si="2"/>
        <v>13574100</v>
      </c>
      <c r="K27" s="33">
        <f t="shared" si="2"/>
        <v>125184900</v>
      </c>
      <c r="L27" s="33">
        <f t="shared" si="2"/>
        <v>304303600</v>
      </c>
      <c r="M27" s="37"/>
      <c r="N27" s="37">
        <f>SUM(N22:N26)</f>
        <v>173</v>
      </c>
      <c r="O27" s="37">
        <f>SUM(O22:O26)</f>
        <v>29</v>
      </c>
      <c r="P27" s="37">
        <f>SUM(P22:P26)</f>
        <v>2976</v>
      </c>
      <c r="Q27" s="37">
        <f>SUM(Q22:Q26)</f>
        <v>3178</v>
      </c>
      <c r="R27" s="37">
        <f>SUM(R22:R26)</f>
        <v>292131239</v>
      </c>
    </row>
    <row r="28" spans="2:19" ht="15.75" thickTop="1" x14ac:dyDescent="0.25"/>
    <row r="29" spans="2:19" x14ac:dyDescent="0.25">
      <c r="C29" s="8" t="s">
        <v>23</v>
      </c>
      <c r="D29" s="8"/>
      <c r="E29" s="8"/>
      <c r="F29" s="8"/>
      <c r="G29" s="8"/>
      <c r="H29" s="8"/>
      <c r="I29" s="8"/>
    </row>
    <row r="30" spans="2:19" x14ac:dyDescent="0.25">
      <c r="D30" s="35"/>
      <c r="E30" s="36" t="s">
        <v>20</v>
      </c>
      <c r="F30" s="36" t="s">
        <v>21</v>
      </c>
      <c r="G30" s="8" t="s">
        <v>24</v>
      </c>
      <c r="H30" s="8"/>
      <c r="I30" s="36" t="s">
        <v>5</v>
      </c>
    </row>
    <row r="31" spans="2:19" x14ac:dyDescent="0.25">
      <c r="C31" s="26" t="s">
        <v>15</v>
      </c>
      <c r="D31" s="14">
        <f>D22</f>
        <v>2000</v>
      </c>
      <c r="E31" s="37">
        <f>E27</f>
        <v>52171</v>
      </c>
      <c r="F31" s="37">
        <f>G27</f>
        <v>82263200</v>
      </c>
      <c r="G31" s="39">
        <f>'[1]Rates Comp OR'!L11</f>
        <v>32.04</v>
      </c>
      <c r="H31" t="s">
        <v>26</v>
      </c>
      <c r="I31" s="39">
        <f>G31*E31</f>
        <v>1671558.8399999999</v>
      </c>
    </row>
    <row r="32" spans="2:19" x14ac:dyDescent="0.25">
      <c r="C32" s="26" t="s">
        <v>16</v>
      </c>
      <c r="D32" s="14">
        <f>D23</f>
        <v>3000</v>
      </c>
      <c r="F32" s="37">
        <f>H27</f>
        <v>58623200</v>
      </c>
      <c r="G32" s="46">
        <f>'[1]Rates Comp OR'!L12</f>
        <v>8.9700000000000005E-3</v>
      </c>
      <c r="H32" t="s">
        <v>27</v>
      </c>
      <c r="I32" s="43">
        <f>ROUND(F32*G32,2)</f>
        <v>525850.1</v>
      </c>
      <c r="S32" s="40">
        <v>9.5399999999999991</v>
      </c>
    </row>
    <row r="33" spans="2:19" x14ac:dyDescent="0.25">
      <c r="C33" s="26" t="s">
        <v>16</v>
      </c>
      <c r="D33" s="14">
        <f>D24</f>
        <v>5000</v>
      </c>
      <c r="F33" s="37">
        <f>I27</f>
        <v>24658200</v>
      </c>
      <c r="G33" s="46">
        <f>'[1]Rates Comp OR'!L13</f>
        <v>8.2299999999999995E-3</v>
      </c>
      <c r="H33" t="s">
        <v>27</v>
      </c>
      <c r="I33" s="43">
        <f>ROUND(F33*G33,2)</f>
        <v>202936.99</v>
      </c>
      <c r="S33" s="40">
        <v>8.77</v>
      </c>
    </row>
    <row r="34" spans="2:19" x14ac:dyDescent="0.25">
      <c r="C34" s="26" t="s">
        <v>16</v>
      </c>
      <c r="D34" s="14">
        <f>D25</f>
        <v>15000</v>
      </c>
      <c r="F34" s="37">
        <f>J27</f>
        <v>13574100</v>
      </c>
      <c r="G34" s="46">
        <f>'[1]Rates Comp OR'!L14</f>
        <v>7.5799999999999999E-3</v>
      </c>
      <c r="H34" t="s">
        <v>27</v>
      </c>
      <c r="I34" s="43">
        <f>ROUND(F34*G34,2)</f>
        <v>102891.68</v>
      </c>
      <c r="S34" s="40">
        <v>8.09</v>
      </c>
    </row>
    <row r="35" spans="2:19" x14ac:dyDescent="0.25">
      <c r="C35" s="26" t="s">
        <v>17</v>
      </c>
      <c r="D35" s="14">
        <f>D26</f>
        <v>25000</v>
      </c>
      <c r="E35" s="35"/>
      <c r="F35" s="44">
        <f>K26</f>
        <v>125184900</v>
      </c>
      <c r="G35" s="46">
        <f>'[1]Rates Comp OR'!L15</f>
        <v>6.8700000000000002E-3</v>
      </c>
      <c r="H35" t="s">
        <v>27</v>
      </c>
      <c r="I35" s="43">
        <f>ROUND(F35*G35,2)</f>
        <v>860020.26</v>
      </c>
      <c r="S35" s="40">
        <v>6.77</v>
      </c>
    </row>
    <row r="36" spans="2:19" ht="15.75" thickBot="1" x14ac:dyDescent="0.3">
      <c r="D36" t="s">
        <v>28</v>
      </c>
      <c r="F36" s="33">
        <f>SUM(F31:F35)</f>
        <v>304303600</v>
      </c>
      <c r="I36" s="45">
        <f>SUM(I31:I35)</f>
        <v>3363257.87</v>
      </c>
    </row>
    <row r="37" spans="2:19" ht="15.75" thickTop="1" x14ac:dyDescent="0.25">
      <c r="F37" s="37"/>
      <c r="I37" s="38"/>
    </row>
    <row r="38" spans="2:19" x14ac:dyDescent="0.25">
      <c r="B38" t="s">
        <v>13</v>
      </c>
      <c r="C38" s="10" t="s">
        <v>7</v>
      </c>
      <c r="J38"/>
    </row>
    <row r="39" spans="2:19" x14ac:dyDescent="0.25">
      <c r="C39" s="26"/>
      <c r="D39" s="26"/>
      <c r="E39" s="26"/>
      <c r="F39" s="26"/>
      <c r="G39" s="26" t="s">
        <v>15</v>
      </c>
      <c r="H39" s="26" t="s">
        <v>16</v>
      </c>
      <c r="I39" s="27" t="s">
        <v>16</v>
      </c>
      <c r="J39" s="27" t="s">
        <v>16</v>
      </c>
      <c r="L39" s="26" t="s">
        <v>18</v>
      </c>
    </row>
    <row r="40" spans="2:19" x14ac:dyDescent="0.25">
      <c r="C40" s="26"/>
      <c r="D40" s="12" t="s">
        <v>19</v>
      </c>
      <c r="E40" s="12" t="s">
        <v>20</v>
      </c>
      <c r="F40" s="12" t="s">
        <v>21</v>
      </c>
      <c r="G40" s="28">
        <f>D41</f>
        <v>5000</v>
      </c>
      <c r="H40" s="16">
        <f>D42</f>
        <v>5000</v>
      </c>
      <c r="I40" s="13">
        <f>D43</f>
        <v>15000</v>
      </c>
      <c r="J40" s="13" t="e">
        <f>#REF!</f>
        <v>#REF!</v>
      </c>
      <c r="L40" s="12"/>
    </row>
    <row r="41" spans="2:19" x14ac:dyDescent="0.25">
      <c r="C41" s="26" t="s">
        <v>15</v>
      </c>
      <c r="D41" s="14">
        <f>'[1]CN 2023-000334 Rates'!C45</f>
        <v>5000</v>
      </c>
      <c r="E41" s="14">
        <f>'[1]CN 2023-000334 Rates'!D45</f>
        <v>48</v>
      </c>
      <c r="F41" s="14">
        <f>'[1]CN 2023-000334 Rates'!E45</f>
        <v>86600</v>
      </c>
      <c r="G41" s="14">
        <f>F41</f>
        <v>86600</v>
      </c>
      <c r="H41" s="14"/>
      <c r="I41" s="31"/>
      <c r="J41" s="31"/>
      <c r="L41" s="14">
        <f>SUM(G41:J41)</f>
        <v>86600</v>
      </c>
    </row>
    <row r="42" spans="2:19" x14ac:dyDescent="0.25">
      <c r="C42" s="26" t="s">
        <v>16</v>
      </c>
      <c r="D42" s="14">
        <f>'[1]CN 2023-000334 Rates'!C46</f>
        <v>5000</v>
      </c>
      <c r="E42" s="14">
        <f>'[1]CN 2023-000334 Rates'!D46</f>
        <v>13</v>
      </c>
      <c r="F42" s="14">
        <f>'[1]CN 2023-000334 Rates'!E46</f>
        <v>105200</v>
      </c>
      <c r="G42" s="14">
        <f>$E42*G40</f>
        <v>65000</v>
      </c>
      <c r="H42" s="14">
        <f>F42-G42</f>
        <v>40200</v>
      </c>
      <c r="I42" s="31"/>
      <c r="J42" s="31"/>
      <c r="L42" s="14">
        <f>SUM(G42:J42)</f>
        <v>105200</v>
      </c>
    </row>
    <row r="43" spans="2:19" x14ac:dyDescent="0.25">
      <c r="C43" s="26" t="s">
        <v>16</v>
      </c>
      <c r="D43" s="14">
        <f>'[1]CN 2023-000334 Rates'!C47</f>
        <v>15000</v>
      </c>
      <c r="E43" s="14">
        <f>'[1]CN 2023-000334 Rates'!D47</f>
        <v>16</v>
      </c>
      <c r="F43" s="14">
        <f>'[1]CN 2023-000334 Rates'!E47</f>
        <v>270000</v>
      </c>
      <c r="G43" s="14">
        <f>$E43*G40</f>
        <v>80000</v>
      </c>
      <c r="H43" s="14">
        <f>$E43*H40</f>
        <v>80000</v>
      </c>
      <c r="I43" s="31">
        <f>F43-G43-H43</f>
        <v>110000</v>
      </c>
      <c r="J43" s="31"/>
      <c r="L43" s="14">
        <f>SUM(G43:J43)</f>
        <v>270000</v>
      </c>
    </row>
    <row r="44" spans="2:19" x14ac:dyDescent="0.25">
      <c r="C44" s="26" t="s">
        <v>17</v>
      </c>
      <c r="D44" s="14">
        <f>'[1]CN 2023-000334 Rates'!C48</f>
        <v>25000</v>
      </c>
      <c r="E44" s="14">
        <f>'[1]CN 2023-000334 Rates'!D48</f>
        <v>47</v>
      </c>
      <c r="F44" s="14">
        <f>'[1]CN 2023-000334 Rates'!E48</f>
        <v>5288000</v>
      </c>
      <c r="G44" s="14">
        <f>$E44*G40</f>
        <v>235000</v>
      </c>
      <c r="H44" s="14">
        <f>$E44*H40</f>
        <v>235000</v>
      </c>
      <c r="I44" s="14">
        <f>$E44*I40</f>
        <v>705000</v>
      </c>
      <c r="J44" s="14">
        <f>F44-G44-H44-I44</f>
        <v>4113000</v>
      </c>
      <c r="L44" s="14">
        <f>SUM(G44:J44)</f>
        <v>5288000</v>
      </c>
    </row>
    <row r="45" spans="2:19" ht="15.75" thickBot="1" x14ac:dyDescent="0.3">
      <c r="C45" s="26"/>
      <c r="D45" t="s">
        <v>22</v>
      </c>
      <c r="E45" s="33">
        <f t="shared" ref="E45:J45" si="3">SUM(E41:E44)</f>
        <v>124</v>
      </c>
      <c r="F45" s="33">
        <f t="shared" si="3"/>
        <v>5749800</v>
      </c>
      <c r="G45" s="33">
        <f t="shared" si="3"/>
        <v>466600</v>
      </c>
      <c r="H45" s="33">
        <f t="shared" si="3"/>
        <v>355200</v>
      </c>
      <c r="I45" s="34">
        <f t="shared" si="3"/>
        <v>815000</v>
      </c>
      <c r="J45" s="34">
        <f t="shared" si="3"/>
        <v>4113000</v>
      </c>
      <c r="L45" s="33">
        <f>SUM(L41:L44)</f>
        <v>5749800</v>
      </c>
    </row>
    <row r="46" spans="2:19" ht="15.75" thickTop="1" x14ac:dyDescent="0.25"/>
    <row r="47" spans="2:19" x14ac:dyDescent="0.25">
      <c r="C47" s="8" t="s">
        <v>23</v>
      </c>
      <c r="D47" s="8"/>
      <c r="E47" s="8"/>
      <c r="F47" s="8"/>
      <c r="G47" s="8"/>
      <c r="H47" s="8"/>
      <c r="I47" s="8"/>
    </row>
    <row r="48" spans="2:19" x14ac:dyDescent="0.25">
      <c r="D48" s="35"/>
      <c r="E48" s="36" t="s">
        <v>20</v>
      </c>
      <c r="F48" s="36" t="s">
        <v>21</v>
      </c>
      <c r="G48" s="8" t="s">
        <v>24</v>
      </c>
      <c r="H48" s="8"/>
      <c r="I48" s="36" t="s">
        <v>5</v>
      </c>
    </row>
    <row r="49" spans="3:9" x14ac:dyDescent="0.25">
      <c r="C49" s="26" t="s">
        <v>15</v>
      </c>
      <c r="D49" s="14">
        <v>5000</v>
      </c>
      <c r="E49" s="37">
        <f>E45</f>
        <v>124</v>
      </c>
      <c r="F49" s="37">
        <f>G45</f>
        <v>466600</v>
      </c>
      <c r="G49" s="39">
        <f>'[1]Rates Comp OR'!L18</f>
        <v>52.63</v>
      </c>
      <c r="H49" t="s">
        <v>26</v>
      </c>
      <c r="I49" s="39">
        <f>G49*E49</f>
        <v>6526.12</v>
      </c>
    </row>
    <row r="50" spans="3:9" x14ac:dyDescent="0.25">
      <c r="C50" s="26" t="s">
        <v>16</v>
      </c>
      <c r="D50" s="14">
        <v>15000</v>
      </c>
      <c r="F50" s="37">
        <f>H45</f>
        <v>355200</v>
      </c>
      <c r="G50" s="46">
        <f>G33</f>
        <v>8.2299999999999995E-3</v>
      </c>
      <c r="H50" t="s">
        <v>27</v>
      </c>
      <c r="I50" s="43">
        <f>ROUND(F50*G50,2)</f>
        <v>2923.3</v>
      </c>
    </row>
    <row r="51" spans="3:9" x14ac:dyDescent="0.25">
      <c r="C51" s="26" t="s">
        <v>16</v>
      </c>
      <c r="D51" s="14">
        <v>30000</v>
      </c>
      <c r="F51" s="37">
        <f>I45</f>
        <v>815000</v>
      </c>
      <c r="G51" s="46">
        <f t="shared" ref="G51:G52" si="4">G34</f>
        <v>7.5799999999999999E-3</v>
      </c>
      <c r="H51" t="s">
        <v>27</v>
      </c>
      <c r="I51" s="43">
        <f>ROUND(F51*G51,2)</f>
        <v>6177.7</v>
      </c>
    </row>
    <row r="52" spans="3:9" x14ac:dyDescent="0.25">
      <c r="C52" s="26" t="s">
        <v>17</v>
      </c>
      <c r="D52" s="14">
        <f>SUM(D49:D51)</f>
        <v>50000</v>
      </c>
      <c r="E52" s="35"/>
      <c r="F52" s="44">
        <f>J45</f>
        <v>4113000</v>
      </c>
      <c r="G52" s="46">
        <f t="shared" si="4"/>
        <v>6.8700000000000002E-3</v>
      </c>
      <c r="H52" t="s">
        <v>27</v>
      </c>
      <c r="I52" s="43">
        <f>ROUND(F52*G52,2)</f>
        <v>28256.31</v>
      </c>
    </row>
    <row r="53" spans="3:9" ht="15.75" thickBot="1" x14ac:dyDescent="0.3">
      <c r="D53" t="s">
        <v>28</v>
      </c>
      <c r="F53" s="33">
        <f>SUM(F49:F52)</f>
        <v>5749800</v>
      </c>
      <c r="I53" s="45">
        <f>SUM(I49:I52)</f>
        <v>43883.43</v>
      </c>
    </row>
    <row r="54" spans="3:9" ht="15.75" thickTop="1" x14ac:dyDescent="0.25"/>
  </sheetData>
  <mergeCells count="8">
    <mergeCell ref="C47:I47"/>
    <mergeCell ref="G48:H48"/>
    <mergeCell ref="B1:L1"/>
    <mergeCell ref="B2:L2"/>
    <mergeCell ref="B4:L4"/>
    <mergeCell ref="D6:E6"/>
    <mergeCell ref="C29:I29"/>
    <mergeCell ref="G30:H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 CY 2023 Rates</vt:lpstr>
      <vt:lpstr>CN 2023-000334 Rates</vt:lpstr>
      <vt:lpstr>Prop Rates 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Frost</dc:creator>
  <cp:lastModifiedBy>Mark Frost</cp:lastModifiedBy>
  <dcterms:created xsi:type="dcterms:W3CDTF">2025-02-28T21:53:24Z</dcterms:created>
  <dcterms:modified xsi:type="dcterms:W3CDTF">2025-03-03T14:50:43Z</dcterms:modified>
</cp:coreProperties>
</file>