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ili\Google Drive\Muhlenberg Co\"/>
    </mc:Choice>
  </mc:AlternateContent>
  <xr:revisionPtr revIDLastSave="0" documentId="13_ncr:1_{1739BB9E-A477-425D-9844-B74D76C958E8}" xr6:coauthVersionLast="46" xr6:coauthVersionMax="46" xr10:uidLastSave="{00000000-0000-0000-0000-000000000000}"/>
  <bookViews>
    <workbookView xWindow="-96" yWindow="-96" windowWidth="23232" windowHeight="12552" tabRatio="617" xr2:uid="{00000000-000D-0000-FFFF-FFFF00000000}"/>
  </bookViews>
  <sheets>
    <sheet name="SAO" sheetId="6" r:id="rId1"/>
    <sheet name="Adj" sheetId="31" r:id="rId2"/>
    <sheet name="H_ins" sheetId="44" r:id="rId3"/>
    <sheet name="Resale" sheetId="17" r:id="rId4"/>
    <sheet name="Depr" sheetId="32" r:id="rId5"/>
    <sheet name="Debt" sheetId="16" r:id="rId6"/>
    <sheet name="Al_Wages" sheetId="42" r:id="rId7"/>
    <sheet name="Sys" sheetId="24" r:id="rId8"/>
    <sheet name="Fac" sheetId="25" r:id="rId9"/>
    <sheet name="Al_DepW" sheetId="33" r:id="rId10"/>
    <sheet name="Whol" sheetId="22" r:id="rId11"/>
    <sheet name="ExBA" sheetId="10" r:id="rId12"/>
  </sheets>
  <definedNames>
    <definedName name="_xlnm.Print_Area" localSheetId="1">Adj!$B$1:$V$47</definedName>
    <definedName name="_xlnm.Print_Area" localSheetId="9">Al_DepW!$B$1:$I$44</definedName>
    <definedName name="_xlnm.Print_Area" localSheetId="5">Debt!$B$2:$H$26</definedName>
    <definedName name="_xlnm.Print_Area" localSheetId="4">Depr!$A$2:$J$38</definedName>
    <definedName name="_xlnm.Print_Area" localSheetId="11">ExBA!$A$1:$G$151</definedName>
    <definedName name="_xlnm.Print_Area" localSheetId="8">Fac!$B$1:$J$38</definedName>
    <definedName name="_xlnm.Print_Area" localSheetId="3">Resale!$A$2:$B$17</definedName>
    <definedName name="_xlnm.Print_Area" localSheetId="0">SAO!$A$1:$G$58</definedName>
    <definedName name="_xlnm.Print_Area" localSheetId="7">Sys!$B$1:$I$39</definedName>
    <definedName name="_xlnm.Print_Area" localSheetId="10">Whol!$B$1:$L$67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31" l="1"/>
  <c r="G47" i="31"/>
  <c r="E29" i="17"/>
  <c r="B29" i="17"/>
  <c r="G40" i="31"/>
  <c r="G39" i="31"/>
  <c r="G37" i="31"/>
  <c r="J26" i="17"/>
  <c r="H62" i="22"/>
  <c r="K62" i="22" l="1"/>
  <c r="E24" i="31"/>
  <c r="E23" i="31"/>
  <c r="F40" i="31" l="1"/>
  <c r="H50" i="22"/>
  <c r="F47" i="22"/>
  <c r="F49" i="22"/>
  <c r="F48" i="22"/>
  <c r="H29" i="22"/>
  <c r="H28" i="22"/>
  <c r="H27" i="22"/>
  <c r="F26" i="22"/>
  <c r="E24" i="22" s="1"/>
  <c r="F46" i="22" l="1"/>
  <c r="E49" i="22" s="1"/>
  <c r="G49" i="22" s="1"/>
  <c r="H49" i="22" s="1"/>
  <c r="H25" i="22"/>
  <c r="H26" i="22" s="1"/>
  <c r="E47" i="22" l="1"/>
  <c r="G47" i="22" s="1"/>
  <c r="H47" i="22" s="1"/>
  <c r="E48" i="22"/>
  <c r="G48" i="22" s="1"/>
  <c r="H48" i="22" s="1"/>
  <c r="D19" i="42" l="1"/>
  <c r="D16" i="42"/>
  <c r="D15" i="42"/>
  <c r="D9" i="42"/>
  <c r="D14" i="42"/>
  <c r="D13" i="42"/>
  <c r="D12" i="42"/>
  <c r="D11" i="42"/>
  <c r="D10" i="42"/>
  <c r="D7" i="42"/>
  <c r="D6" i="42"/>
  <c r="D5" i="42"/>
  <c r="D4" i="42"/>
  <c r="F37" i="24" l="1"/>
  <c r="F36" i="24"/>
  <c r="F35" i="24"/>
  <c r="F32" i="24"/>
  <c r="F30" i="24"/>
  <c r="J54" i="6" l="1"/>
  <c r="L55" i="6" s="1"/>
  <c r="J64" i="22"/>
  <c r="L32" i="24"/>
  <c r="E19" i="24"/>
  <c r="E18" i="24"/>
  <c r="E17" i="24"/>
  <c r="E15" i="24"/>
  <c r="E20" i="24"/>
  <c r="E16" i="24"/>
  <c r="P12" i="24"/>
  <c r="P13" i="24" s="1"/>
  <c r="G13" i="24" s="1"/>
  <c r="O12" i="24"/>
  <c r="O13" i="24" s="1"/>
  <c r="N12" i="24"/>
  <c r="N13" i="24" s="1"/>
  <c r="G15" i="24" s="1"/>
  <c r="H15" i="24" s="1"/>
  <c r="M12" i="24"/>
  <c r="M13" i="24" s="1"/>
  <c r="G16" i="24" s="1"/>
  <c r="H16" i="24" s="1"/>
  <c r="L12" i="24"/>
  <c r="L13" i="24" s="1"/>
  <c r="G17" i="24" s="1"/>
  <c r="H17" i="24" s="1"/>
  <c r="E14" i="24" l="1"/>
  <c r="G14" i="24"/>
  <c r="H14" i="24" s="1"/>
  <c r="G8" i="6"/>
  <c r="J10" i="6" s="1"/>
  <c r="J12" i="6" s="1"/>
  <c r="G24" i="17"/>
  <c r="D24" i="17"/>
  <c r="L8" i="6"/>
  <c r="D22" i="31"/>
  <c r="B119" i="10"/>
  <c r="B118" i="10"/>
  <c r="B117" i="10"/>
  <c r="D113" i="10"/>
  <c r="C113" i="10"/>
  <c r="C117" i="10" s="1"/>
  <c r="E110" i="10"/>
  <c r="H110" i="10" s="1"/>
  <c r="G109" i="10"/>
  <c r="F109" i="10"/>
  <c r="F112" i="10" s="1"/>
  <c r="E109" i="10"/>
  <c r="E112" i="10" s="1"/>
  <c r="B104" i="10"/>
  <c r="B103" i="10"/>
  <c r="B102" i="10"/>
  <c r="D98" i="10"/>
  <c r="C98" i="10"/>
  <c r="C102" i="10" s="1"/>
  <c r="F102" i="10" s="1"/>
  <c r="E95" i="10"/>
  <c r="H95" i="10" s="1"/>
  <c r="G94" i="10"/>
  <c r="F94" i="10"/>
  <c r="F97" i="10" s="1"/>
  <c r="E94" i="10"/>
  <c r="E96" i="10" s="1"/>
  <c r="F96" i="10" s="1"/>
  <c r="B89" i="10"/>
  <c r="B88" i="10"/>
  <c r="B87" i="10"/>
  <c r="B86" i="10"/>
  <c r="D82" i="10"/>
  <c r="C82" i="10"/>
  <c r="C86" i="10" s="1"/>
  <c r="E78" i="10"/>
  <c r="I78" i="10" s="1"/>
  <c r="H77" i="10"/>
  <c r="G77" i="10"/>
  <c r="G81" i="10" s="1"/>
  <c r="F77" i="10"/>
  <c r="F80" i="10" s="1"/>
  <c r="E77" i="10"/>
  <c r="E79" i="10" s="1"/>
  <c r="B72" i="10"/>
  <c r="B71" i="10"/>
  <c r="B70" i="10"/>
  <c r="B69" i="10"/>
  <c r="D65" i="10"/>
  <c r="C65" i="10"/>
  <c r="C69" i="10" s="1"/>
  <c r="E61" i="10"/>
  <c r="I61" i="10" s="1"/>
  <c r="H60" i="10"/>
  <c r="G60" i="10"/>
  <c r="G64" i="10" s="1"/>
  <c r="F60" i="10"/>
  <c r="F64" i="10" s="1"/>
  <c r="E60" i="10"/>
  <c r="E63" i="10" s="1"/>
  <c r="B55" i="10"/>
  <c r="B54" i="10"/>
  <c r="B52" i="10"/>
  <c r="B51" i="10"/>
  <c r="D47" i="10"/>
  <c r="G7" i="10" s="1"/>
  <c r="C47" i="10"/>
  <c r="C51" i="10" s="1"/>
  <c r="E42" i="10"/>
  <c r="J42" i="10" s="1"/>
  <c r="I41" i="10"/>
  <c r="H41" i="10"/>
  <c r="H46" i="10" s="1"/>
  <c r="G41" i="10"/>
  <c r="F41" i="10"/>
  <c r="F46" i="10" s="1"/>
  <c r="E41" i="10"/>
  <c r="E46" i="10" s="1"/>
  <c r="G22" i="10"/>
  <c r="G26" i="10" s="1"/>
  <c r="H16" i="10"/>
  <c r="Q36" i="10"/>
  <c r="B36" i="10"/>
  <c r="B35" i="10"/>
  <c r="B33" i="10"/>
  <c r="B32" i="10"/>
  <c r="C28" i="10"/>
  <c r="C32" i="10" s="1"/>
  <c r="D28" i="10"/>
  <c r="G6" i="10" s="1"/>
  <c r="I22" i="10"/>
  <c r="H22" i="10"/>
  <c r="H27" i="10" s="1"/>
  <c r="F22" i="10"/>
  <c r="F26" i="10" s="1"/>
  <c r="E22" i="10"/>
  <c r="E26" i="10" s="1"/>
  <c r="F7" i="10" l="1"/>
  <c r="F9" i="10"/>
  <c r="F81" i="10"/>
  <c r="E111" i="10"/>
  <c r="F11" i="10"/>
  <c r="F8" i="10"/>
  <c r="F6" i="10"/>
  <c r="E22" i="31"/>
  <c r="E25" i="31" s="1"/>
  <c r="E24" i="6" s="1"/>
  <c r="E97" i="10"/>
  <c r="G97" i="10" s="1"/>
  <c r="G98" i="10" s="1"/>
  <c r="D104" i="10" s="1"/>
  <c r="F104" i="10" s="1"/>
  <c r="G112" i="10"/>
  <c r="G113" i="10" s="1"/>
  <c r="D119" i="10" s="1"/>
  <c r="F119" i="10" s="1"/>
  <c r="C120" i="10"/>
  <c r="F117" i="10"/>
  <c r="F111" i="10"/>
  <c r="F113" i="10" s="1"/>
  <c r="D118" i="10" s="1"/>
  <c r="F118" i="10" s="1"/>
  <c r="E113" i="10"/>
  <c r="D117" i="10" s="1"/>
  <c r="E80" i="10"/>
  <c r="G80" i="10" s="1"/>
  <c r="G82" i="10" s="1"/>
  <c r="D88" i="10" s="1"/>
  <c r="F88" i="10" s="1"/>
  <c r="E81" i="10"/>
  <c r="C105" i="10"/>
  <c r="F10" i="10" s="1"/>
  <c r="F98" i="10"/>
  <c r="D103" i="10" s="1"/>
  <c r="F103" i="10" s="1"/>
  <c r="F79" i="10"/>
  <c r="C90" i="10"/>
  <c r="F86" i="10"/>
  <c r="E64" i="10"/>
  <c r="H64" i="10" s="1"/>
  <c r="F63" i="10"/>
  <c r="G63" i="10" s="1"/>
  <c r="G65" i="10" s="1"/>
  <c r="D71" i="10" s="1"/>
  <c r="F71" i="10" s="1"/>
  <c r="E43" i="10"/>
  <c r="F43" i="10" s="1"/>
  <c r="J43" i="10" s="1"/>
  <c r="G45" i="10"/>
  <c r="E24" i="10"/>
  <c r="F24" i="10" s="1"/>
  <c r="G46" i="10"/>
  <c r="I46" i="10" s="1"/>
  <c r="I47" i="10" s="1"/>
  <c r="D55" i="10" s="1"/>
  <c r="F55" i="10" s="1"/>
  <c r="C73" i="10"/>
  <c r="F69" i="10"/>
  <c r="E62" i="10"/>
  <c r="E25" i="10"/>
  <c r="E27" i="10"/>
  <c r="E44" i="10"/>
  <c r="F27" i="10"/>
  <c r="F44" i="10"/>
  <c r="F45" i="10"/>
  <c r="E45" i="10"/>
  <c r="F51" i="10"/>
  <c r="C56" i="10"/>
  <c r="H26" i="10"/>
  <c r="F25" i="10"/>
  <c r="G27" i="10"/>
  <c r="F32" i="10"/>
  <c r="C37" i="10"/>
  <c r="E23" i="10"/>
  <c r="H81" i="10" l="1"/>
  <c r="H82" i="10" s="1"/>
  <c r="D89" i="10" s="1"/>
  <c r="F89" i="10" s="1"/>
  <c r="E98" i="10"/>
  <c r="D102" i="10" s="1"/>
  <c r="F12" i="10"/>
  <c r="F82" i="10"/>
  <c r="D87" i="10" s="1"/>
  <c r="F87" i="10" s="1"/>
  <c r="H112" i="10"/>
  <c r="H111" i="10"/>
  <c r="D120" i="10"/>
  <c r="G11" i="10" s="1"/>
  <c r="F120" i="10"/>
  <c r="H11" i="10" s="1"/>
  <c r="F105" i="10"/>
  <c r="H10" i="10" s="1"/>
  <c r="E82" i="10"/>
  <c r="D86" i="10" s="1"/>
  <c r="D90" i="10" s="1"/>
  <c r="G9" i="10" s="1"/>
  <c r="D105" i="10"/>
  <c r="G10" i="10" s="1"/>
  <c r="H96" i="10"/>
  <c r="H97" i="10"/>
  <c r="I80" i="10"/>
  <c r="I79" i="10"/>
  <c r="F90" i="10"/>
  <c r="H9" i="10" s="1"/>
  <c r="I81" i="10"/>
  <c r="F47" i="10"/>
  <c r="D52" i="10" s="1"/>
  <c r="F52" i="10" s="1"/>
  <c r="G44" i="10"/>
  <c r="G47" i="10" s="1"/>
  <c r="D53" i="10" s="1"/>
  <c r="F53" i="10" s="1"/>
  <c r="I64" i="10"/>
  <c r="E47" i="10"/>
  <c r="D51" i="10" s="1"/>
  <c r="I27" i="10"/>
  <c r="H65" i="10"/>
  <c r="D72" i="10" s="1"/>
  <c r="F72" i="10" s="1"/>
  <c r="F62" i="10"/>
  <c r="F65" i="10" s="1"/>
  <c r="D70" i="10" s="1"/>
  <c r="F70" i="10" s="1"/>
  <c r="E65" i="10"/>
  <c r="D69" i="10" s="1"/>
  <c r="I63" i="10"/>
  <c r="H45" i="10"/>
  <c r="H47" i="10" s="1"/>
  <c r="D54" i="10" s="1"/>
  <c r="F54" i="10" s="1"/>
  <c r="J46" i="10"/>
  <c r="G25" i="10"/>
  <c r="G28" i="10" s="1"/>
  <c r="D34" i="10" s="1"/>
  <c r="F34" i="10" s="1"/>
  <c r="H28" i="10"/>
  <c r="D35" i="10" s="1"/>
  <c r="F35" i="10" s="1"/>
  <c r="E28" i="10"/>
  <c r="D32" i="10" s="1"/>
  <c r="J23" i="10"/>
  <c r="J24" i="10"/>
  <c r="H113" i="10" l="1"/>
  <c r="H98" i="10"/>
  <c r="I82" i="10"/>
  <c r="F56" i="10"/>
  <c r="F73" i="10"/>
  <c r="H8" i="10" s="1"/>
  <c r="J44" i="10"/>
  <c r="D73" i="10"/>
  <c r="G8" i="10" s="1"/>
  <c r="G12" i="10" s="1"/>
  <c r="I62" i="10"/>
  <c r="I65" i="10" s="1"/>
  <c r="J45" i="10"/>
  <c r="D56" i="10"/>
  <c r="J25" i="10"/>
  <c r="F28" i="10"/>
  <c r="D33" i="10" s="1"/>
  <c r="F33" i="10" s="1"/>
  <c r="J26" i="10"/>
  <c r="I28" i="10"/>
  <c r="D36" i="10" s="1"/>
  <c r="F36" i="10" s="1"/>
  <c r="F31" i="24" l="1"/>
  <c r="O12" i="10"/>
  <c r="H7" i="10"/>
  <c r="J47" i="10"/>
  <c r="F37" i="10"/>
  <c r="H6" i="10" s="1"/>
  <c r="H12" i="10" s="1"/>
  <c r="L7" i="6" s="1"/>
  <c r="D37" i="10"/>
  <c r="J27" i="10"/>
  <c r="J28" i="10" s="1"/>
  <c r="H14" i="10" l="1"/>
  <c r="H17" i="10" s="1"/>
  <c r="E8" i="6"/>
  <c r="P45" i="31"/>
  <c r="P44" i="31"/>
  <c r="P43" i="31"/>
  <c r="C33" i="31"/>
  <c r="E33" i="31" s="1"/>
  <c r="F33" i="31" s="1"/>
  <c r="F39" i="31"/>
  <c r="F37" i="31"/>
  <c r="E10" i="6" l="1"/>
  <c r="E6" i="6"/>
  <c r="C34" i="31"/>
  <c r="F19" i="44"/>
  <c r="D26" i="44"/>
  <c r="G33" i="44"/>
  <c r="G61" i="44" s="1"/>
  <c r="E50" i="44"/>
  <c r="H61" i="44"/>
  <c r="F46" i="44"/>
  <c r="F57" i="44"/>
  <c r="F53" i="44"/>
  <c r="F49" i="44"/>
  <c r="F44" i="44"/>
  <c r="F37" i="44"/>
  <c r="F34" i="44"/>
  <c r="F27" i="44"/>
  <c r="F23" i="44"/>
  <c r="C4" i="44"/>
  <c r="H58" i="44"/>
  <c r="C60" i="44"/>
  <c r="C59" i="44"/>
  <c r="C40" i="44"/>
  <c r="D56" i="44"/>
  <c r="D55" i="44"/>
  <c r="D52" i="44"/>
  <c r="D51" i="44"/>
  <c r="D48" i="44"/>
  <c r="D45" i="44"/>
  <c r="D41" i="44"/>
  <c r="D36" i="44"/>
  <c r="D31" i="44"/>
  <c r="D30" i="44"/>
  <c r="D22" i="44"/>
  <c r="D20" i="44"/>
  <c r="D17" i="44"/>
  <c r="E54" i="44"/>
  <c r="E47" i="44"/>
  <c r="E43" i="44"/>
  <c r="E38" i="44"/>
  <c r="E32" i="44"/>
  <c r="E28" i="44"/>
  <c r="E24" i="44"/>
  <c r="E18" i="44"/>
  <c r="E15" i="44"/>
  <c r="F14" i="44"/>
  <c r="D13" i="44"/>
  <c r="D11" i="44"/>
  <c r="E10" i="44"/>
  <c r="F9" i="44"/>
  <c r="D8" i="44"/>
  <c r="C42" i="44"/>
  <c r="C39" i="44"/>
  <c r="C35" i="44"/>
  <c r="C29" i="44"/>
  <c r="C25" i="44"/>
  <c r="C21" i="44"/>
  <c r="C16" i="44"/>
  <c r="C12" i="44"/>
  <c r="C7" i="44"/>
  <c r="C6" i="44"/>
  <c r="B61" i="44"/>
  <c r="S38" i="31"/>
  <c r="S41" i="31" s="1"/>
  <c r="S35" i="31"/>
  <c r="E61" i="44" l="1"/>
  <c r="D61" i="44"/>
  <c r="F61" i="44"/>
  <c r="C61" i="44"/>
  <c r="G36" i="31"/>
  <c r="G38" i="31" s="1"/>
  <c r="G43" i="31" s="1"/>
  <c r="L9" i="6"/>
  <c r="L10" i="6" s="1"/>
  <c r="E7" i="6" s="1"/>
  <c r="G7" i="6" s="1"/>
  <c r="G56" i="6" s="1"/>
  <c r="P39" i="31"/>
  <c r="I61" i="44"/>
  <c r="F44" i="31" s="1"/>
  <c r="G44" i="31" s="1"/>
  <c r="P27" i="31"/>
  <c r="V8" i="31"/>
  <c r="V7" i="31"/>
  <c r="V6" i="31"/>
  <c r="G45" i="31" l="1"/>
  <c r="V9" i="31"/>
  <c r="V11" i="31" s="1"/>
  <c r="F22" i="32"/>
  <c r="D22" i="32"/>
  <c r="F18" i="32"/>
  <c r="D18" i="32"/>
  <c r="P22" i="31"/>
  <c r="D35" i="32"/>
  <c r="D33" i="32"/>
  <c r="D31" i="32"/>
  <c r="H31" i="32" s="1"/>
  <c r="D29" i="32"/>
  <c r="F27" i="32"/>
  <c r="D27" i="32"/>
  <c r="F24" i="32"/>
  <c r="D24" i="32"/>
  <c r="H24" i="32" s="1"/>
  <c r="D23" i="33" s="1"/>
  <c r="F23" i="33" s="1"/>
  <c r="D20" i="32"/>
  <c r="F17" i="32"/>
  <c r="D17" i="32"/>
  <c r="H17" i="32" s="1"/>
  <c r="D16" i="33" s="1"/>
  <c r="G16" i="33" s="1"/>
  <c r="G28" i="33" s="1"/>
  <c r="F14" i="32"/>
  <c r="D14" i="32"/>
  <c r="H14" i="32" s="1"/>
  <c r="D13" i="33" s="1"/>
  <c r="F15" i="32"/>
  <c r="D15" i="32"/>
  <c r="H12" i="32"/>
  <c r="P33" i="31"/>
  <c r="O20" i="31"/>
  <c r="O19" i="31"/>
  <c r="O18" i="31"/>
  <c r="O17" i="31"/>
  <c r="O16" i="31"/>
  <c r="O15" i="31"/>
  <c r="O14" i="31"/>
  <c r="O13" i="31"/>
  <c r="O12" i="31"/>
  <c r="O11" i="31"/>
  <c r="O10" i="31"/>
  <c r="O8" i="31"/>
  <c r="O7" i="31"/>
  <c r="O9" i="31"/>
  <c r="N20" i="31"/>
  <c r="N19" i="31"/>
  <c r="N18" i="31"/>
  <c r="N17" i="31"/>
  <c r="N16" i="31"/>
  <c r="N15" i="31"/>
  <c r="N14" i="31"/>
  <c r="N13" i="31"/>
  <c r="N12" i="31"/>
  <c r="N11" i="31"/>
  <c r="N9" i="31"/>
  <c r="N8" i="31"/>
  <c r="N7" i="31"/>
  <c r="N10" i="31"/>
  <c r="D15" i="31"/>
  <c r="E15" i="31" s="1"/>
  <c r="E17" i="31" s="1"/>
  <c r="D11" i="31"/>
  <c r="S29" i="31"/>
  <c r="E32" i="31"/>
  <c r="I31" i="32" l="1"/>
  <c r="D34" i="33"/>
  <c r="I12" i="32"/>
  <c r="D11" i="33"/>
  <c r="E13" i="33"/>
  <c r="E26" i="6"/>
  <c r="K32" i="6" s="1"/>
  <c r="E25" i="6"/>
  <c r="E19" i="6"/>
  <c r="F25" i="42"/>
  <c r="V12" i="31"/>
  <c r="E28" i="6" s="1"/>
  <c r="P7" i="31"/>
  <c r="C4" i="42" s="1"/>
  <c r="E4" i="42" s="1"/>
  <c r="P16" i="31"/>
  <c r="C13" i="42" s="1"/>
  <c r="E13" i="42" s="1"/>
  <c r="P10" i="31"/>
  <c r="C7" i="42" s="1"/>
  <c r="E7" i="42" s="1"/>
  <c r="P14" i="31"/>
  <c r="C11" i="42" s="1"/>
  <c r="E11" i="42" s="1"/>
  <c r="P15" i="31"/>
  <c r="C12" i="42" s="1"/>
  <c r="E12" i="42" s="1"/>
  <c r="P11" i="31"/>
  <c r="C8" i="42" s="1"/>
  <c r="E8" i="42" s="1"/>
  <c r="P19" i="31"/>
  <c r="C16" i="42" s="1"/>
  <c r="E16" i="42" s="1"/>
  <c r="P20" i="31"/>
  <c r="C19" i="42" s="1"/>
  <c r="E19" i="42" s="1"/>
  <c r="P8" i="31"/>
  <c r="C5" i="42" s="1"/>
  <c r="E5" i="42" s="1"/>
  <c r="P17" i="31"/>
  <c r="C14" i="42" s="1"/>
  <c r="E14" i="42" s="1"/>
  <c r="P18" i="31"/>
  <c r="C15" i="42" s="1"/>
  <c r="E15" i="42" s="1"/>
  <c r="P12" i="31"/>
  <c r="C9" i="42" s="1"/>
  <c r="E9" i="42" s="1"/>
  <c r="P13" i="31"/>
  <c r="C10" i="42" s="1"/>
  <c r="E10" i="42" s="1"/>
  <c r="I24" i="32"/>
  <c r="I17" i="32"/>
  <c r="I14" i="32"/>
  <c r="C16" i="31"/>
  <c r="P9" i="31"/>
  <c r="C6" i="42" s="1"/>
  <c r="E6" i="42" s="1"/>
  <c r="F32" i="31"/>
  <c r="F34" i="31" s="1"/>
  <c r="F36" i="31" l="1"/>
  <c r="H34" i="31"/>
  <c r="H35" i="31" s="1"/>
  <c r="K30" i="6" s="1"/>
  <c r="F13" i="33"/>
  <c r="G25" i="6"/>
  <c r="H19" i="22" s="1"/>
  <c r="K31" i="6"/>
  <c r="K33" i="6" s="1"/>
  <c r="K7" i="42"/>
  <c r="I7" i="42"/>
  <c r="J7" i="42"/>
  <c r="K6" i="42"/>
  <c r="I6" i="42"/>
  <c r="J6" i="42"/>
  <c r="J13" i="42"/>
  <c r="K13" i="42"/>
  <c r="I13" i="42"/>
  <c r="I5" i="42"/>
  <c r="J5" i="42"/>
  <c r="K5" i="42"/>
  <c r="E20" i="42"/>
  <c r="K4" i="42"/>
  <c r="J4" i="42"/>
  <c r="I4" i="42"/>
  <c r="J11" i="42"/>
  <c r="I11" i="42"/>
  <c r="K11" i="42"/>
  <c r="K15" i="42"/>
  <c r="I15" i="42"/>
  <c r="J15" i="42"/>
  <c r="K14" i="42"/>
  <c r="J14" i="42"/>
  <c r="I14" i="42"/>
  <c r="J16" i="42"/>
  <c r="I16" i="42"/>
  <c r="K16" i="42"/>
  <c r="J8" i="42"/>
  <c r="I8" i="42"/>
  <c r="K8" i="42"/>
  <c r="I9" i="42"/>
  <c r="J9" i="42"/>
  <c r="K9" i="42"/>
  <c r="J10" i="42"/>
  <c r="I10" i="42"/>
  <c r="K10" i="42"/>
  <c r="I12" i="42"/>
  <c r="J12" i="42"/>
  <c r="K12" i="42"/>
  <c r="F38" i="31"/>
  <c r="F43" i="31" s="1"/>
  <c r="F45" i="31" s="1"/>
  <c r="V13" i="31"/>
  <c r="P21" i="31"/>
  <c r="P23" i="31" s="1"/>
  <c r="E23" i="6" l="1"/>
  <c r="H45" i="31"/>
  <c r="I17" i="42"/>
  <c r="J17" i="42"/>
  <c r="K17" i="42"/>
  <c r="P26" i="31"/>
  <c r="P30" i="31"/>
  <c r="P32" i="31" s="1"/>
  <c r="P34" i="31" s="1"/>
  <c r="E41" i="6" s="1"/>
  <c r="P36" i="31"/>
  <c r="P38" i="31" s="1"/>
  <c r="P40" i="31" s="1"/>
  <c r="P42" i="31" s="1"/>
  <c r="P46" i="31" s="1"/>
  <c r="E22" i="6" s="1"/>
  <c r="G23" i="6" s="1"/>
  <c r="G13" i="22" s="1"/>
  <c r="L17" i="42" l="1"/>
  <c r="K18" i="42" s="1"/>
  <c r="K19" i="42" s="1"/>
  <c r="K20" i="42" s="1"/>
  <c r="G26" i="6"/>
  <c r="G20" i="22" s="1"/>
  <c r="H22" i="22" s="1"/>
  <c r="G15" i="17"/>
  <c r="G14" i="17"/>
  <c r="G13" i="17"/>
  <c r="G12" i="17"/>
  <c r="G11" i="17"/>
  <c r="G10" i="17"/>
  <c r="G9" i="17"/>
  <c r="G8" i="17"/>
  <c r="G7" i="17"/>
  <c r="G6" i="17"/>
  <c r="G5" i="17"/>
  <c r="G4" i="17"/>
  <c r="D15" i="17"/>
  <c r="D14" i="17"/>
  <c r="D13" i="17"/>
  <c r="D12" i="17"/>
  <c r="D11" i="17"/>
  <c r="D10" i="17"/>
  <c r="D9" i="17"/>
  <c r="D8" i="17"/>
  <c r="D7" i="17"/>
  <c r="D6" i="17"/>
  <c r="D5" i="17"/>
  <c r="D4" i="17"/>
  <c r="F17" i="17"/>
  <c r="E17" i="17"/>
  <c r="C17" i="17"/>
  <c r="E19" i="16"/>
  <c r="F14" i="16"/>
  <c r="F13" i="16"/>
  <c r="F19" i="16" s="1"/>
  <c r="D14" i="16"/>
  <c r="D17" i="16"/>
  <c r="D16" i="16"/>
  <c r="D15" i="16"/>
  <c r="D13" i="16"/>
  <c r="C17" i="16"/>
  <c r="C16" i="16"/>
  <c r="G16" i="16" s="1"/>
  <c r="C15" i="16"/>
  <c r="C14" i="16"/>
  <c r="C13" i="16"/>
  <c r="G43" i="6"/>
  <c r="G11" i="6"/>
  <c r="G14" i="6"/>
  <c r="G38" i="6"/>
  <c r="G46" i="22" s="1"/>
  <c r="G37" i="6"/>
  <c r="H45" i="22" s="1"/>
  <c r="G36" i="6"/>
  <c r="H44" i="22" s="1"/>
  <c r="G35" i="6"/>
  <c r="H38" i="22" s="1"/>
  <c r="G34" i="6"/>
  <c r="G39" i="22" s="1"/>
  <c r="G33" i="6"/>
  <c r="G34" i="22" s="1"/>
  <c r="G32" i="6"/>
  <c r="H33" i="22" s="1"/>
  <c r="G31" i="6"/>
  <c r="H32" i="22" s="1"/>
  <c r="G29" i="6"/>
  <c r="H30" i="22" s="1"/>
  <c r="G28" i="6"/>
  <c r="G27" i="6"/>
  <c r="D30" i="6"/>
  <c r="G30" i="6" s="1"/>
  <c r="H31" i="22" s="1"/>
  <c r="D15" i="6"/>
  <c r="G17" i="17" l="1"/>
  <c r="G14" i="16"/>
  <c r="F23" i="16"/>
  <c r="G13" i="16"/>
  <c r="G17" i="16"/>
  <c r="D19" i="16"/>
  <c r="G15" i="16"/>
  <c r="C19" i="16"/>
  <c r="E23" i="16" s="1"/>
  <c r="J18" i="42"/>
  <c r="J19" i="42" s="1"/>
  <c r="J20" i="42" s="1"/>
  <c r="G24" i="42" s="1"/>
  <c r="G26" i="42" s="1"/>
  <c r="H11" i="22" s="1"/>
  <c r="K11" i="22" s="1"/>
  <c r="I18" i="42"/>
  <c r="I19" i="42" s="1"/>
  <c r="I20" i="42" s="1"/>
  <c r="F24" i="42" s="1"/>
  <c r="F26" i="42" s="1"/>
  <c r="L25" i="42"/>
  <c r="H24" i="42"/>
  <c r="H26" i="42" s="1"/>
  <c r="H12" i="22" s="1"/>
  <c r="E25" i="16" l="1"/>
  <c r="E29" i="16"/>
  <c r="G58" i="22" s="1"/>
  <c r="J23" i="16"/>
  <c r="F25" i="16"/>
  <c r="F29" i="16"/>
  <c r="H61" i="22" s="1"/>
  <c r="K61" i="22" s="1"/>
  <c r="G19" i="16"/>
  <c r="G23" i="16" s="1"/>
  <c r="J19" i="16"/>
  <c r="K25" i="42"/>
  <c r="L20" i="42"/>
  <c r="I26" i="42"/>
  <c r="E27" i="42"/>
  <c r="H9" i="22" s="1"/>
  <c r="H27" i="32"/>
  <c r="I27" i="32" l="1"/>
  <c r="D26" i="33"/>
  <c r="H26" i="33" s="1"/>
  <c r="G25" i="16"/>
  <c r="G49" i="6" s="1"/>
  <c r="G48" i="6"/>
  <c r="H59" i="22"/>
  <c r="H60" i="22" s="1"/>
  <c r="M25" i="42"/>
  <c r="L26" i="42" s="1"/>
  <c r="F27" i="42"/>
  <c r="H10" i="22" s="1"/>
  <c r="M12" i="22" s="1"/>
  <c r="K26" i="42" l="1"/>
  <c r="E9" i="22"/>
  <c r="H11" i="33" l="1"/>
  <c r="I11" i="33" s="1"/>
  <c r="J45" i="22"/>
  <c r="K45" i="22" s="1"/>
  <c r="J48" i="22" l="1"/>
  <c r="K48" i="22" l="1"/>
  <c r="K46" i="33"/>
  <c r="I10" i="25" l="1"/>
  <c r="E31" i="25" l="1"/>
  <c r="G35" i="25"/>
  <c r="G27" i="25"/>
  <c r="K37" i="24"/>
  <c r="F33" i="24" l="1"/>
  <c r="I11" i="25" s="1"/>
  <c r="G37" i="25" l="1"/>
  <c r="I36" i="25" s="1"/>
  <c r="I27" i="22" s="1"/>
  <c r="J27" i="22" s="1"/>
  <c r="K27" i="22" s="1"/>
  <c r="G29" i="25"/>
  <c r="E33" i="25"/>
  <c r="E22" i="24"/>
  <c r="F20" i="24"/>
  <c r="D20" i="24"/>
  <c r="F19" i="24"/>
  <c r="D19" i="24"/>
  <c r="F18" i="24"/>
  <c r="D18" i="24"/>
  <c r="F17" i="24"/>
  <c r="D17" i="24"/>
  <c r="F16" i="24"/>
  <c r="D16" i="24"/>
  <c r="F15" i="24"/>
  <c r="D15" i="24"/>
  <c r="F14" i="24"/>
  <c r="D14" i="24"/>
  <c r="H13" i="24"/>
  <c r="F13" i="24"/>
  <c r="D13" i="24"/>
  <c r="D22" i="24" l="1"/>
  <c r="H22" i="24"/>
  <c r="F22" i="24"/>
  <c r="I9" i="25" s="1"/>
  <c r="I55" i="22"/>
  <c r="G22" i="24"/>
  <c r="I8" i="25" l="1"/>
  <c r="H35" i="32" l="1"/>
  <c r="D38" i="33" s="1"/>
  <c r="H33" i="32"/>
  <c r="D36" i="33" s="1"/>
  <c r="H29" i="32"/>
  <c r="D32" i="33" s="1"/>
  <c r="D40" i="33" s="1"/>
  <c r="H26" i="32"/>
  <c r="D25" i="33" s="1"/>
  <c r="H25" i="33" s="1"/>
  <c r="H18" i="32"/>
  <c r="D17" i="33" s="1"/>
  <c r="H15" i="32"/>
  <c r="D14" i="33" s="1"/>
  <c r="E14" i="33" s="1"/>
  <c r="E17" i="33" l="1"/>
  <c r="F17" i="33"/>
  <c r="F14" i="33"/>
  <c r="E28" i="33"/>
  <c r="I29" i="32"/>
  <c r="I26" i="32"/>
  <c r="I15" i="32"/>
  <c r="I18" i="32"/>
  <c r="I33" i="32"/>
  <c r="I35" i="32"/>
  <c r="H11" i="32"/>
  <c r="D10" i="33" s="1"/>
  <c r="H10" i="33" l="1"/>
  <c r="H28" i="33" s="1"/>
  <c r="F28" i="33"/>
  <c r="F37" i="32"/>
  <c r="I11" i="32"/>
  <c r="I10" i="33" l="1"/>
  <c r="B17" i="17"/>
  <c r="D17" i="17" s="1"/>
  <c r="B151" i="10" l="1"/>
  <c r="I151" i="10" l="1"/>
  <c r="G41" i="6"/>
  <c r="D39" i="6" l="1"/>
  <c r="D42" i="6" s="1"/>
  <c r="D44" i="6" s="1"/>
  <c r="G24" i="22"/>
  <c r="G21" i="6" l="1"/>
  <c r="H18" i="22" s="1"/>
  <c r="G13" i="6" l="1"/>
  <c r="G12" i="6"/>
  <c r="G52" i="6" l="1"/>
  <c r="G15" i="6"/>
  <c r="K10" i="6" s="1"/>
  <c r="G17" i="25" l="1"/>
  <c r="K28" i="22"/>
  <c r="D151" i="10"/>
  <c r="H23" i="22"/>
  <c r="H22" i="32" l="1"/>
  <c r="D21" i="33" s="1"/>
  <c r="I21" i="33" s="1"/>
  <c r="H20" i="32"/>
  <c r="D19" i="33" s="1"/>
  <c r="I19" i="33" l="1"/>
  <c r="I28" i="33" s="1"/>
  <c r="D28" i="33"/>
  <c r="I20" i="32"/>
  <c r="H37" i="32"/>
  <c r="I22" i="32"/>
  <c r="D43" i="33" l="1"/>
  <c r="E29" i="33"/>
  <c r="E41" i="33" s="1"/>
  <c r="E43" i="33" s="1"/>
  <c r="I37" i="32"/>
  <c r="E40" i="6" s="1"/>
  <c r="G40" i="6" s="1"/>
  <c r="G52" i="22" s="1"/>
  <c r="K28" i="33"/>
  <c r="G29" i="33" l="1"/>
  <c r="F29" i="33"/>
  <c r="H29" i="33"/>
  <c r="H53" i="22"/>
  <c r="I29" i="33"/>
  <c r="G41" i="33" l="1"/>
  <c r="G43" i="33" s="1"/>
  <c r="I41" i="33"/>
  <c r="I43" i="33" s="1"/>
  <c r="H57" i="22" s="1"/>
  <c r="J57" i="22" s="1"/>
  <c r="K57" i="22" s="1"/>
  <c r="H41" i="33"/>
  <c r="H43" i="33" s="1"/>
  <c r="H56" i="22" s="1"/>
  <c r="F41" i="33"/>
  <c r="F43" i="33" s="1"/>
  <c r="H54" i="22" s="1"/>
  <c r="F38" i="24"/>
  <c r="G38" i="24" s="1"/>
  <c r="I7" i="25" s="1"/>
  <c r="G15" i="25" s="1"/>
  <c r="I14" i="25" s="1"/>
  <c r="G19" i="25"/>
  <c r="I18" i="25" s="1"/>
  <c r="G32" i="25" s="1"/>
  <c r="K43" i="33" l="1"/>
  <c r="H55" i="22"/>
  <c r="G21" i="25"/>
  <c r="E21" i="25"/>
  <c r="I32" i="25"/>
  <c r="I18" i="22" l="1"/>
  <c r="I17" i="22"/>
  <c r="I31" i="22"/>
  <c r="I49" i="22"/>
  <c r="I12" i="22"/>
  <c r="I50" i="22"/>
  <c r="I44" i="22"/>
  <c r="I29" i="22"/>
  <c r="I43" i="22"/>
  <c r="I38" i="22"/>
  <c r="I33" i="22"/>
  <c r="I47" i="22"/>
  <c r="J47" i="22" s="1"/>
  <c r="K47" i="22" s="1"/>
  <c r="I36" i="22"/>
  <c r="J55" i="22"/>
  <c r="K55" i="22" s="1"/>
  <c r="N57" i="22"/>
  <c r="I21" i="25"/>
  <c r="I26" i="22"/>
  <c r="J26" i="22" s="1"/>
  <c r="K26" i="22" s="1"/>
  <c r="I15" i="22"/>
  <c r="I10" i="22"/>
  <c r="J10" i="22" s="1"/>
  <c r="K10" i="22" s="1"/>
  <c r="I41" i="22"/>
  <c r="I56" i="22"/>
  <c r="J56" i="22" s="1"/>
  <c r="K56" i="22" s="1"/>
  <c r="I54" i="22"/>
  <c r="J54" i="22" s="1"/>
  <c r="K54" i="22" s="1"/>
  <c r="K22" i="22"/>
  <c r="I60" i="22"/>
  <c r="J60" i="22" s="1"/>
  <c r="K60" i="22" s="1"/>
  <c r="G25" i="25" l="1"/>
  <c r="I24" i="25" s="1"/>
  <c r="E29" i="25"/>
  <c r="E27" i="25" l="1"/>
  <c r="I28" i="25"/>
  <c r="I30" i="22" l="1"/>
  <c r="J30" i="22" s="1"/>
  <c r="K30" i="22" s="1"/>
  <c r="I32" i="22"/>
  <c r="J32" i="22" s="1"/>
  <c r="K32" i="22" s="1"/>
  <c r="I35" i="22"/>
  <c r="J44" i="22"/>
  <c r="K44" i="22" s="1"/>
  <c r="J33" i="22"/>
  <c r="K33" i="22" s="1"/>
  <c r="J29" i="22"/>
  <c r="K29" i="22" s="1"/>
  <c r="J50" i="22"/>
  <c r="K50" i="22" s="1"/>
  <c r="I19" i="22"/>
  <c r="J19" i="22" s="1"/>
  <c r="K19" i="22" s="1"/>
  <c r="J49" i="22"/>
  <c r="K49" i="22" s="1"/>
  <c r="M49" i="22" s="1"/>
  <c r="J12" i="22"/>
  <c r="K12" i="22" s="1"/>
  <c r="I53" i="22"/>
  <c r="J53" i="22" s="1"/>
  <c r="K53" i="22" s="1"/>
  <c r="M57" i="22" s="1"/>
  <c r="I59" i="22"/>
  <c r="J59" i="22" s="1"/>
  <c r="K59" i="22" s="1"/>
  <c r="I9" i="22"/>
  <c r="J9" i="22" s="1"/>
  <c r="J31" i="22"/>
  <c r="K31" i="22" s="1"/>
  <c r="I25" i="22"/>
  <c r="J25" i="22" s="1"/>
  <c r="K25" i="22" s="1"/>
  <c r="M29" i="22" s="1"/>
  <c r="I40" i="22"/>
  <c r="I23" i="22"/>
  <c r="J23" i="22" s="1"/>
  <c r="K23" i="22" s="1"/>
  <c r="I14" i="22"/>
  <c r="J18" i="22"/>
  <c r="K18" i="22" s="1"/>
  <c r="I21" i="22"/>
  <c r="J21" i="22" s="1"/>
  <c r="K21" i="22" s="1"/>
  <c r="J38" i="22"/>
  <c r="K38" i="22" s="1"/>
  <c r="K9" i="22" l="1"/>
  <c r="P28" i="31"/>
  <c r="E20" i="6" s="1"/>
  <c r="G20" i="6" s="1"/>
  <c r="G39" i="6" l="1"/>
  <c r="G42" i="6" s="1"/>
  <c r="G47" i="6" s="1"/>
  <c r="G8" i="22"/>
  <c r="G44" i="6" l="1"/>
  <c r="G51" i="6"/>
  <c r="F9" i="22"/>
  <c r="F14" i="22" s="1"/>
  <c r="F12" i="22"/>
  <c r="F17" i="22" s="1"/>
  <c r="F11" i="22"/>
  <c r="F16" i="22" s="1"/>
  <c r="F10" i="22"/>
  <c r="F15" i="22" s="1"/>
  <c r="H16" i="22" l="1"/>
  <c r="K16" i="22" s="1"/>
  <c r="F42" i="22"/>
  <c r="H42" i="22" s="1"/>
  <c r="K42" i="22" s="1"/>
  <c r="E36" i="22"/>
  <c r="F37" i="22" s="1"/>
  <c r="H37" i="22" s="1"/>
  <c r="K37" i="22" s="1"/>
  <c r="H17" i="22"/>
  <c r="J17" i="22" s="1"/>
  <c r="K17" i="22" s="1"/>
  <c r="F43" i="22"/>
  <c r="H43" i="22" s="1"/>
  <c r="J43" i="22" s="1"/>
  <c r="K43" i="22" s="1"/>
  <c r="E37" i="22"/>
  <c r="H15" i="22"/>
  <c r="J15" i="22" s="1"/>
  <c r="K15" i="22" s="1"/>
  <c r="F41" i="22"/>
  <c r="H41" i="22" s="1"/>
  <c r="J41" i="22" s="1"/>
  <c r="K41" i="22" s="1"/>
  <c r="E35" i="22"/>
  <c r="H14" i="22"/>
  <c r="J14" i="22" s="1"/>
  <c r="E34" i="22"/>
  <c r="F40" i="22"/>
  <c r="H40" i="22" s="1"/>
  <c r="J40" i="22" s="1"/>
  <c r="K40" i="22" s="1"/>
  <c r="E14" i="22" l="1"/>
  <c r="M43" i="22"/>
  <c r="F35" i="22"/>
  <c r="H35" i="22" s="1"/>
  <c r="J35" i="22" s="1"/>
  <c r="K35" i="22" s="1"/>
  <c r="F36" i="22"/>
  <c r="H36" i="22" s="1"/>
  <c r="J36" i="22" s="1"/>
  <c r="K36" i="22" s="1"/>
  <c r="K14" i="22"/>
  <c r="J51" i="22" l="1"/>
  <c r="H51" i="22"/>
  <c r="M17" i="22"/>
  <c r="K51" i="22"/>
  <c r="K63" i="22" s="1"/>
  <c r="H63" i="22" l="1"/>
  <c r="H70" i="22" s="1"/>
  <c r="J63" i="22"/>
  <c r="J66" i="22" s="1"/>
  <c r="N51" i="22"/>
  <c r="M63" i="22" l="1"/>
  <c r="I54" i="6"/>
  <c r="G54" i="6" s="1"/>
  <c r="G55" i="6" s="1"/>
  <c r="G58" i="6" l="1"/>
  <c r="G70" i="6" s="1"/>
</calcChain>
</file>

<file path=xl/sharedStrings.xml><?xml version="1.0" encoding="utf-8"?>
<sst xmlns="http://schemas.openxmlformats.org/spreadsheetml/2006/main" count="726" uniqueCount="425">
  <si>
    <t>Total Operating Expenses</t>
  </si>
  <si>
    <t>Taxes Other Than Income</t>
  </si>
  <si>
    <t>Salaries and Wages - Employees</t>
  </si>
  <si>
    <t>Salaries and Wages - Officers</t>
  </si>
  <si>
    <t>Employee Pensions and Benefits</t>
  </si>
  <si>
    <t>Purchased Power</t>
  </si>
  <si>
    <t>Materials and Supplies</t>
  </si>
  <si>
    <t>Miscellaneous Expenses</t>
  </si>
  <si>
    <t>Transportation Expenses</t>
  </si>
  <si>
    <t>Percent</t>
  </si>
  <si>
    <t>Interest Income</t>
  </si>
  <si>
    <t>Principal</t>
  </si>
  <si>
    <t>Interest</t>
  </si>
  <si>
    <t>Total</t>
  </si>
  <si>
    <t>Totals</t>
  </si>
  <si>
    <t>Gallons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</si>
  <si>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</si>
  <si>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</si>
  <si>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</si>
  <si>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</si>
  <si>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</si>
  <si>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</si>
  <si>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</si>
  <si>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</si>
  <si>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</si>
  <si>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</si>
  <si>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</si>
  <si>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</si>
  <si>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Operating Revenues</t>
  </si>
  <si>
    <t>Other Water Revenues:</t>
  </si>
  <si>
    <t>Misc. Service Revenues</t>
  </si>
  <si>
    <t>Total Operating Revenues</t>
  </si>
  <si>
    <t>Operating Expenses</t>
  </si>
  <si>
    <t>Depreciation Expense</t>
  </si>
  <si>
    <t>Net Utility Operating Income</t>
  </si>
  <si>
    <t>REVENUE REQUIREMENTS</t>
  </si>
  <si>
    <t>Plus:</t>
  </si>
  <si>
    <t>Overall Revenue Requirement</t>
  </si>
  <si>
    <t>Less:</t>
  </si>
  <si>
    <t>Other Operating Revenue</t>
  </si>
  <si>
    <t>Customer</t>
  </si>
  <si>
    <t>Table F</t>
  </si>
  <si>
    <t>Chemicals</t>
  </si>
  <si>
    <t>WHOLESALE RATE COMPUTATION</t>
  </si>
  <si>
    <t>Allocation</t>
  </si>
  <si>
    <t>Wholesale</t>
  </si>
  <si>
    <t>Factor</t>
  </si>
  <si>
    <t>Retail</t>
  </si>
  <si>
    <t>Salaries &amp; Wages</t>
  </si>
  <si>
    <t>Customer Accts.</t>
  </si>
  <si>
    <t>Trans./Distribution</t>
  </si>
  <si>
    <t>Admin &amp; General</t>
  </si>
  <si>
    <t>Materials &amp; Supplies</t>
  </si>
  <si>
    <t>Transportation Expense</t>
  </si>
  <si>
    <t>Trans. / Distribution</t>
  </si>
  <si>
    <t>Debt Service &amp; Coverage</t>
  </si>
  <si>
    <t>Wholesale Gallons Sold (x 1,000)</t>
  </si>
  <si>
    <t>Wholesale Rate per 1,000 Gallons</t>
  </si>
  <si>
    <t>Contr. Services - Acct. &amp; Legal</t>
  </si>
  <si>
    <t>Trans. &amp;</t>
  </si>
  <si>
    <t>General</t>
  </si>
  <si>
    <t>Distribution</t>
  </si>
  <si>
    <t>&amp; Admin.</t>
  </si>
  <si>
    <t>SYSTEM INFORMATION</t>
  </si>
  <si>
    <t>Schedule of All Mains and Jointly Used Mains</t>
  </si>
  <si>
    <t>Total System</t>
  </si>
  <si>
    <t>Joint Use</t>
  </si>
  <si>
    <t>Main</t>
  </si>
  <si>
    <t>Length</t>
  </si>
  <si>
    <t>Miles of</t>
  </si>
  <si>
    <t>Inch -</t>
  </si>
  <si>
    <t>Size</t>
  </si>
  <si>
    <t>(feet)</t>
  </si>
  <si>
    <t>Mains</t>
  </si>
  <si>
    <t>Miles</t>
  </si>
  <si>
    <t>Water Purchased, Sold and Used</t>
  </si>
  <si>
    <t>x 1,000</t>
  </si>
  <si>
    <t xml:space="preserve">   Retail Sales</t>
  </si>
  <si>
    <t xml:space="preserve">   Wholesale Sales</t>
  </si>
  <si>
    <t>Total Water Sold</t>
  </si>
  <si>
    <t>System Flushing</t>
  </si>
  <si>
    <t>Line Losses</t>
  </si>
  <si>
    <t>Fire Dept. &amp; Other</t>
  </si>
  <si>
    <t>Table D</t>
  </si>
  <si>
    <t>WHOLESALE ALLOCATION FACTORS</t>
  </si>
  <si>
    <t>FACTOR</t>
  </si>
  <si>
    <t>Line Loss Percentage</t>
  </si>
  <si>
    <t>Joint Use Inch-miles</t>
  </si>
  <si>
    <t>Total Inch-Miles</t>
  </si>
  <si>
    <t>Water Sold - Wholesale</t>
  </si>
  <si>
    <t>Water Sold - Total</t>
  </si>
  <si>
    <t>=</t>
  </si>
  <si>
    <t>-</t>
  </si>
  <si>
    <t>Joint Use Pipeline Ratio</t>
  </si>
  <si>
    <t>x</t>
  </si>
  <si>
    <t>-----------------</t>
  </si>
  <si>
    <t>Use Factor</t>
  </si>
  <si>
    <t>Table A</t>
  </si>
  <si>
    <t>Table B</t>
  </si>
  <si>
    <t>SCHEDULE OF ADJUSTED OPERATIONS</t>
  </si>
  <si>
    <t>Adjustments</t>
  </si>
  <si>
    <t>Ref.</t>
  </si>
  <si>
    <t>Proforma</t>
  </si>
  <si>
    <t>Operation and Maintenance</t>
  </si>
  <si>
    <t>Total Operation and Mnt. Expenses</t>
  </si>
  <si>
    <t>Pro Forma Operating Expenses</t>
  </si>
  <si>
    <t>Average Annual Principal and Interest Payments</t>
  </si>
  <si>
    <t>Additional Working Capital</t>
  </si>
  <si>
    <t>Proposed Wholesale Sales Revenue</t>
  </si>
  <si>
    <t>Revenue Required From Retail Rates</t>
  </si>
  <si>
    <t>TOTALS</t>
  </si>
  <si>
    <t>Water Loss Adjustment:</t>
  </si>
  <si>
    <t>Produced &amp; Purchased</t>
  </si>
  <si>
    <t>Sold</t>
  </si>
  <si>
    <t>Uses:</t>
  </si>
  <si>
    <t xml:space="preserve">  Flushing</t>
  </si>
  <si>
    <t xml:space="preserve">  Fire</t>
  </si>
  <si>
    <t xml:space="preserve">  Other</t>
  </si>
  <si>
    <t>Line Brks.</t>
  </si>
  <si>
    <t>Line Leaks</t>
  </si>
  <si>
    <t xml:space="preserve">  water loss percentage</t>
  </si>
  <si>
    <t>check</t>
  </si>
  <si>
    <t xml:space="preserve">  allowable in rates</t>
  </si>
  <si>
    <t xml:space="preserve">  adjustment percentage</t>
  </si>
  <si>
    <t>Capitalized Expense Adjustments:</t>
  </si>
  <si>
    <t>Adjustment</t>
  </si>
  <si>
    <t>Forfeited Discounts</t>
  </si>
  <si>
    <t>Total Metered Retail Sales</t>
  </si>
  <si>
    <t>DEPRECIATION EXPENSE ADJUSTMENTS</t>
  </si>
  <si>
    <t>Depreciation</t>
  </si>
  <si>
    <t>Assets</t>
  </si>
  <si>
    <t>Date in</t>
  </si>
  <si>
    <t>Original</t>
  </si>
  <si>
    <t>Expense</t>
  </si>
  <si>
    <t>No.</t>
  </si>
  <si>
    <t>Description</t>
  </si>
  <si>
    <t>Service</t>
  </si>
  <si>
    <t>Cost</t>
  </si>
  <si>
    <t>Life</t>
  </si>
  <si>
    <t>Depr. Exp.</t>
  </si>
  <si>
    <t>FIRST</t>
  </si>
  <si>
    <t>ALL OVER</t>
  </si>
  <si>
    <t>USAGE</t>
  </si>
  <si>
    <t>BILLS</t>
  </si>
  <si>
    <t>GALLONS</t>
  </si>
  <si>
    <t>TOTAL</t>
  </si>
  <si>
    <t xml:space="preserve">     REVENUE BY RATE INCREMENT</t>
  </si>
  <si>
    <t>RATE</t>
  </si>
  <si>
    <t>REVENUE</t>
  </si>
  <si>
    <t>NEXT</t>
  </si>
  <si>
    <t xml:space="preserve"> = Total water used</t>
  </si>
  <si>
    <t>Joint Share of Line Loss</t>
  </si>
  <si>
    <t>Percent Retail Rate Increase</t>
  </si>
  <si>
    <t xml:space="preserve">     Reported     </t>
  </si>
  <si>
    <t>Salaries - Officers</t>
  </si>
  <si>
    <t>Contr. Services - Water Testing</t>
  </si>
  <si>
    <t>Total Revenue Required</t>
  </si>
  <si>
    <t>Insurance - Worker's Comp.</t>
  </si>
  <si>
    <t>Miscellaneous Expense</t>
  </si>
  <si>
    <t>Matrix</t>
  </si>
  <si>
    <t>Storage</t>
  </si>
  <si>
    <t>Tanks</t>
  </si>
  <si>
    <t>ALLOCATION OF DEPRECIATION EXPENSE</t>
  </si>
  <si>
    <t xml:space="preserve">     TOTALS</t>
  </si>
  <si>
    <t>Tanks &amp; Reservoirs</t>
  </si>
  <si>
    <t>Revenue</t>
  </si>
  <si>
    <t>Table C</t>
  </si>
  <si>
    <t>Table E</t>
  </si>
  <si>
    <t>Current</t>
  </si>
  <si>
    <t>Expenses</t>
  </si>
  <si>
    <t>Gallons Sold</t>
  </si>
  <si>
    <t>Edmonson County Water District</t>
  </si>
  <si>
    <t>Advertising</t>
  </si>
  <si>
    <t>Bad Debt</t>
  </si>
  <si>
    <t>Average Annual Principal &amp; Interest</t>
  </si>
  <si>
    <t>CY 2021 - 2025</t>
  </si>
  <si>
    <t>Entire Group</t>
  </si>
  <si>
    <t>various</t>
  </si>
  <si>
    <t>varies</t>
  </si>
  <si>
    <t>Tank O.F.</t>
  </si>
  <si>
    <t xml:space="preserve"> with 2020 rates</t>
  </si>
  <si>
    <t xml:space="preserve">                 --------------------------</t>
  </si>
  <si>
    <t>Pumping Equipment</t>
  </si>
  <si>
    <t xml:space="preserve"> Ex BA with new rates</t>
  </si>
  <si>
    <t xml:space="preserve">     SUBTOTALS</t>
  </si>
  <si>
    <t xml:space="preserve">     SUBTOTAL PERCENTAGES</t>
  </si>
  <si>
    <t xml:space="preserve">     SUBTOTAL</t>
  </si>
  <si>
    <t xml:space="preserve">     PERCENTAGE ALLOCATIONS</t>
  </si>
  <si>
    <t>SALES FOR RESALE</t>
  </si>
  <si>
    <t>ALL SALES</t>
  </si>
  <si>
    <t>Wages</t>
  </si>
  <si>
    <t>Reg. Wages</t>
  </si>
  <si>
    <t xml:space="preserve"> empl. health ins.</t>
  </si>
  <si>
    <t xml:space="preserve">  w.l.</t>
  </si>
  <si>
    <t xml:space="preserve"> depr.</t>
  </si>
  <si>
    <t>Insurance - Gen Liab &amp; Other</t>
  </si>
  <si>
    <t>CURRENT BILLING ANALYSIS WITH 2019 USAGE &amp; EXISTING RATES</t>
  </si>
  <si>
    <t>Other Water Revenue</t>
  </si>
  <si>
    <t>Purchased Water</t>
  </si>
  <si>
    <t>Contractual Services - Engr.</t>
  </si>
  <si>
    <t>Contractual Services - Water Testing</t>
  </si>
  <si>
    <t>Rental of Bldg./Real Property</t>
  </si>
  <si>
    <t>Insurance - Workers Comp.</t>
  </si>
  <si>
    <t>Insurance - Other</t>
  </si>
  <si>
    <t>Amortization of Premium on Debt</t>
  </si>
  <si>
    <t>Gains from Disposition of Property</t>
  </si>
  <si>
    <t>DEBT SERVICE SCHDULE</t>
  </si>
  <si>
    <t>C.Y.</t>
  </si>
  <si>
    <t>Int. &amp; Fees</t>
  </si>
  <si>
    <t>2021</t>
  </si>
  <si>
    <t>2022</t>
  </si>
  <si>
    <t>2023</t>
  </si>
  <si>
    <t>2024</t>
  </si>
  <si>
    <t>2025</t>
  </si>
  <si>
    <t>Average Coverage on Long Term Debt</t>
  </si>
  <si>
    <t>KRWFC Series 2007</t>
  </si>
  <si>
    <t>KRWFC Series 2013</t>
  </si>
  <si>
    <t>Muhlenberg County Water District</t>
  </si>
  <si>
    <t>Drakesboro</t>
  </si>
  <si>
    <t>TVA</t>
  </si>
  <si>
    <t>Former Rate</t>
  </si>
  <si>
    <t>New Rate 11/19/19</t>
  </si>
  <si>
    <t xml:space="preserve">  WWTP</t>
  </si>
  <si>
    <t>Newman, Kendra</t>
  </si>
  <si>
    <t>Weatherford, Kimberly</t>
  </si>
  <si>
    <t>Dearmond, Lisa A</t>
  </si>
  <si>
    <t>Gaston, Melissa</t>
  </si>
  <si>
    <t>Gaston, Mark W</t>
  </si>
  <si>
    <t>Henderson, Jarrod L</t>
  </si>
  <si>
    <t>Mathis, Eldon Cary</t>
  </si>
  <si>
    <t>Sampson, Michael</t>
  </si>
  <si>
    <t>Sarnecke, Kurt</t>
  </si>
  <si>
    <t>Lott, Dylan</t>
  </si>
  <si>
    <t>Brumfield, Jeremy B</t>
  </si>
  <si>
    <t>Porter, Timothy C</t>
  </si>
  <si>
    <t>Pointer, Lesley</t>
  </si>
  <si>
    <t>Wester, Harold</t>
  </si>
  <si>
    <t xml:space="preserve"> Meters</t>
  </si>
  <si>
    <t>Salaries &amp; Wages and Associated Adjustments</t>
  </si>
  <si>
    <t>Pro Forma</t>
  </si>
  <si>
    <t>Employee</t>
  </si>
  <si>
    <t>Reg. Hrs</t>
  </si>
  <si>
    <t>O. T. Hours</t>
  </si>
  <si>
    <t>Wage Rate</t>
  </si>
  <si>
    <t>Total Wages</t>
  </si>
  <si>
    <t>plus Bonus</t>
  </si>
  <si>
    <t>Health Insurance Adjustment</t>
  </si>
  <si>
    <t>Total Pro Forma Salaries &amp; Wages</t>
  </si>
  <si>
    <t>Dist. Contrib</t>
  </si>
  <si>
    <t>BLS avg.</t>
  </si>
  <si>
    <t>Premium</t>
  </si>
  <si>
    <t>at 100% *</t>
  </si>
  <si>
    <t>Empl. rate</t>
  </si>
  <si>
    <t>Adj'mt.</t>
  </si>
  <si>
    <t>Pro Forma Salaries &amp; Wages Expense</t>
  </si>
  <si>
    <t>Taxes:</t>
  </si>
  <si>
    <t>Less: Test Year Salaries &amp; Wages Exp</t>
  </si>
  <si>
    <t>Salaries &amp; Wages Adj'mt</t>
  </si>
  <si>
    <t>Allowable monthly prem.</t>
  </si>
  <si>
    <t xml:space="preserve"> </t>
  </si>
  <si>
    <t>Pro Forma Salaries and Wages Expense</t>
  </si>
  <si>
    <t>Times: 7.65 Percent FICA Rate</t>
  </si>
  <si>
    <t>Health Ins. Adjustment</t>
  </si>
  <si>
    <t>Pro Forma Payroll Taxes</t>
  </si>
  <si>
    <t>Less: Test Year Payroll Taxes</t>
  </si>
  <si>
    <t>Payroll Tax Adjustment</t>
  </si>
  <si>
    <t>Times: Percent Pension Contribution</t>
  </si>
  <si>
    <t>Total Pro Forma Pension Contribution</t>
  </si>
  <si>
    <t>Less: Test Year Pension Contribution</t>
  </si>
  <si>
    <t>PSC assessment</t>
  </si>
  <si>
    <t>Payroll Taxes</t>
  </si>
  <si>
    <t>Licences</t>
  </si>
  <si>
    <t>2019</t>
  </si>
  <si>
    <t>Structures</t>
  </si>
  <si>
    <t>311:  Pumping Plant</t>
  </si>
  <si>
    <t>Pump Stations</t>
  </si>
  <si>
    <t>2006</t>
  </si>
  <si>
    <t>330 - 333:  Transmission &amp; Distribution</t>
  </si>
  <si>
    <t>Reservoirs &amp; Tanks</t>
  </si>
  <si>
    <t>Transmission &amp; Distribution Mains</t>
  </si>
  <si>
    <t>334:  Meters</t>
  </si>
  <si>
    <t>Radio Read Meters</t>
  </si>
  <si>
    <t>335:  Hydrants</t>
  </si>
  <si>
    <t>340:  General Plant</t>
  </si>
  <si>
    <t>Office Furniture</t>
  </si>
  <si>
    <t>1999</t>
  </si>
  <si>
    <t>Computer Equipment</t>
  </si>
  <si>
    <t>341:  Transportation Equipment</t>
  </si>
  <si>
    <t>345:  Power Operated Equipment</t>
  </si>
  <si>
    <t>346:  Communications Equipment</t>
  </si>
  <si>
    <t>347:  Tools, Shop and Garage Equipment</t>
  </si>
  <si>
    <t xml:space="preserve"> wage decreases</t>
  </si>
  <si>
    <t>Furnishings &amp; Equipment</t>
  </si>
  <si>
    <t>304-1:  Office Building &amp; Garage</t>
  </si>
  <si>
    <t>333 &amp; 334-1:  Services</t>
  </si>
  <si>
    <t>Tap Fee</t>
  </si>
  <si>
    <t>3/4" meters installed</t>
  </si>
  <si>
    <t>1" meters installed</t>
  </si>
  <si>
    <t>Total Tap Fees Collected</t>
  </si>
  <si>
    <t>labor</t>
  </si>
  <si>
    <t>materials</t>
  </si>
  <si>
    <t>2" meters installed</t>
  </si>
  <si>
    <t xml:space="preserve">  estimate</t>
  </si>
  <si>
    <t>?</t>
  </si>
  <si>
    <t>Pensions &amp; Benefits:</t>
  </si>
  <si>
    <t>Empl. Health Ins.</t>
  </si>
  <si>
    <t>Retirement Exp.</t>
  </si>
  <si>
    <t>Retirement Expense:</t>
  </si>
  <si>
    <t>Direct KRS pmts.</t>
  </si>
  <si>
    <t>Liability &amp; OPEB</t>
  </si>
  <si>
    <t>PP pmt to KRS</t>
  </si>
  <si>
    <t>Prior Yr.</t>
  </si>
  <si>
    <t>Anthem</t>
  </si>
  <si>
    <t>BMS</t>
  </si>
  <si>
    <t>MWG</t>
  </si>
  <si>
    <t>Health Res</t>
  </si>
  <si>
    <t>PHI</t>
  </si>
  <si>
    <t>* 2021 premiums from Anthem Ins. inv.</t>
  </si>
  <si>
    <t>Medical (empl)</t>
  </si>
  <si>
    <t>Medical (fam)</t>
  </si>
  <si>
    <t>Allowable annual prem. - medical</t>
  </si>
  <si>
    <t>Anthem prem - Vis, Life, STD</t>
  </si>
  <si>
    <t>Health Resources - Dental</t>
  </si>
  <si>
    <t>BMS, LLC - HRA</t>
  </si>
  <si>
    <t>PHI - Life Flight</t>
  </si>
  <si>
    <t>KY Chamber</t>
  </si>
  <si>
    <t>Total Pro Forma Health Insurance</t>
  </si>
  <si>
    <t>Less Amt. pd. in test yr.</t>
  </si>
  <si>
    <t>Pension &amp; OPEB</t>
  </si>
  <si>
    <t>Change in Retirement Expense</t>
  </si>
  <si>
    <t>Total Adjustment - Retirement</t>
  </si>
  <si>
    <t>retirement</t>
  </si>
  <si>
    <t>Wholesale Sales to TVA</t>
  </si>
  <si>
    <t>TVA wholesale</t>
  </si>
  <si>
    <t>Surcharge</t>
  </si>
  <si>
    <t>5/8" x 3/4" METERS</t>
  </si>
  <si>
    <t>1" METERS</t>
  </si>
  <si>
    <t>2" METERS</t>
  </si>
  <si>
    <t xml:space="preserve">  SUMMARY  </t>
  </si>
  <si>
    <t>No. of Bills</t>
  </si>
  <si>
    <t xml:space="preserve">     5/8" X 3/4" Meters</t>
  </si>
  <si>
    <t xml:space="preserve">     1" Meters</t>
  </si>
  <si>
    <t xml:space="preserve">     2" Meters</t>
  </si>
  <si>
    <t>Pro Forma Retail Sales Revenue</t>
  </si>
  <si>
    <t>Reported Bulk Sales</t>
  </si>
  <si>
    <t>Pro Forma Sales for Resale</t>
  </si>
  <si>
    <t>Total Water Sales Revenue</t>
  </si>
  <si>
    <t>1-1/2" METERS</t>
  </si>
  <si>
    <t>3" METERS</t>
  </si>
  <si>
    <t>4" METERS</t>
  </si>
  <si>
    <t xml:space="preserve">     1-1/2" Meters</t>
  </si>
  <si>
    <t xml:space="preserve">     3" Meters</t>
  </si>
  <si>
    <t xml:space="preserve">     4" Meters</t>
  </si>
  <si>
    <t>Purchased Water Adjustment</t>
  </si>
  <si>
    <t>Purch. Rates</t>
  </si>
  <si>
    <t xml:space="preserve"> PWA</t>
  </si>
  <si>
    <t>Sales for Resale - Drakesboro</t>
  </si>
  <si>
    <t>FROM RATE ANALYSIS - UNITED SYSTEMS:</t>
  </si>
  <si>
    <t xml:space="preserve">  from Trial Balance</t>
  </si>
  <si>
    <t>Note:  Kendra explained there is misalignment of gals. &amp; rev. per month</t>
  </si>
  <si>
    <t>Water Purchased</t>
  </si>
  <si>
    <t xml:space="preserve">   -------------------</t>
  </si>
  <si>
    <t xml:space="preserve">                 ---------------------------</t>
  </si>
  <si>
    <t>Bonus</t>
  </si>
  <si>
    <t>Sal. &amp; Wages</t>
  </si>
  <si>
    <t>T &amp; D</t>
  </si>
  <si>
    <t>G &amp; A</t>
  </si>
  <si>
    <t>Cust</t>
  </si>
  <si>
    <t>Supply</t>
  </si>
  <si>
    <t>347:  Tools, Shop and Garage Eqmt.</t>
  </si>
  <si>
    <t>330 - 333:  Trans. &amp; Distribution</t>
  </si>
  <si>
    <t>for alloc. of office depr:</t>
  </si>
  <si>
    <t>Water Supply Multiplier</t>
  </si>
  <si>
    <t>Wholesale Supply Multiplier</t>
  </si>
  <si>
    <t>Water Supply Allocation Factor</t>
  </si>
  <si>
    <t>supply</t>
  </si>
  <si>
    <t>A &amp; G</t>
  </si>
  <si>
    <t>Other Taxes</t>
  </si>
  <si>
    <t>Checks</t>
  </si>
  <si>
    <t>Total Operation &amp; Mnt. Exp.</t>
  </si>
  <si>
    <t>CHECKS ===&gt;</t>
  </si>
  <si>
    <t xml:space="preserve"> Muhlenberg County Water District</t>
  </si>
  <si>
    <t>Whol. Rate</t>
  </si>
  <si>
    <t>Gals. Purch.</t>
  </si>
  <si>
    <t>Pwr. Cost at 4 major stas. ====&gt;</t>
  </si>
  <si>
    <t>Transmission Factor</t>
  </si>
  <si>
    <t>Employee Benefits + Payroll Tax</t>
  </si>
  <si>
    <t>Purch. Water cost for wholesale custs.</t>
  </si>
  <si>
    <t>&lt;=== CHECKS</t>
  </si>
  <si>
    <t>A</t>
  </si>
  <si>
    <t>B</t>
  </si>
  <si>
    <t>C</t>
  </si>
  <si>
    <t>D</t>
  </si>
  <si>
    <t>E</t>
  </si>
  <si>
    <t>L</t>
  </si>
  <si>
    <t>F</t>
  </si>
  <si>
    <t>G</t>
  </si>
  <si>
    <t>new rate</t>
  </si>
  <si>
    <t>former rate</t>
  </si>
  <si>
    <t xml:space="preserve"> 2019 total exp.</t>
  </si>
  <si>
    <t xml:space="preserve"> pmts to CC at new rate</t>
  </si>
  <si>
    <t>TCWD rate</t>
  </si>
  <si>
    <t xml:space="preserve"> adj. for increased rate</t>
  </si>
  <si>
    <t>H</t>
  </si>
  <si>
    <t>I</t>
  </si>
  <si>
    <t>J</t>
  </si>
  <si>
    <t>K</t>
  </si>
  <si>
    <t>Meters</t>
  </si>
  <si>
    <t>Transmission &amp; Distribution</t>
  </si>
  <si>
    <t>Trans. &amp; Dist.</t>
  </si>
  <si>
    <t>Water Used</t>
  </si>
  <si>
    <t>Amort. of Premium on Debt</t>
  </si>
  <si>
    <t>2019 Test Year</t>
  </si>
  <si>
    <t>Contr. Services - Acct., Legal &amp; Other</t>
  </si>
  <si>
    <t>Surplus Revenue with Required Adjustments &amp; New Wholesale Rate</t>
  </si>
  <si>
    <t>Revenue from Retail Sales at Present Retail Rates</t>
  </si>
  <si>
    <t>Pro forma</t>
  </si>
  <si>
    <t>OT Wages</t>
  </si>
  <si>
    <t>Wages applicable to Pension Contrib.</t>
  </si>
  <si>
    <t>From Kendra's Allocations</t>
  </si>
  <si>
    <t>Actual Employee Insurance Benefit less PSC Allowable</t>
  </si>
  <si>
    <t>Purchased Water Expense Adjustment - Water Loss</t>
  </si>
  <si>
    <t>Purchased Power Expense Adjustment - Water Loss</t>
  </si>
  <si>
    <t>Expenses Incurred But Not Recoverable in Rates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</si>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</sst>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.00"/>
    <numFmt numFmtId="167" formatCode="0.0%"/>
    <numFmt numFmtId="168" formatCode="#,##0.0000"/>
    <numFmt numFmtId="169" formatCode="_(* #,##0.0_);_(* \(#,##0.0\);_(* &quot;-&quot;??_);_(@_)"/>
    <numFmt numFmtId="170" formatCode="#,##0.0"/>
    <numFmt numFmtId="171" formatCode="_(* #,##0.0000_);_(* \(#,##0.0000\);_(* &quot;-&quot;??_);_(@_)"/>
    <numFmt numFmtId="172" formatCode="0.0000"/>
    <numFmt numFmtId="173" formatCode="0.000%"/>
    <numFmt numFmtId="174" formatCode="mm/dd/yy;@"/>
    <numFmt numFmtId="175" formatCode="#,##0.000"/>
    <numFmt numFmtId="176" formatCode="_([$$-409]* #,##0_);_([$$-409]* \(#,##0\);_([$$-409]* &quot;-&quot;??_);_(@_)"/>
    <numFmt numFmtId="177" formatCode="_(* #,##0.000_);_(* \(#,##0.000\);_(* &quot;-&quot;??_);_(@_)"/>
  </numFmts>
  <fonts count="47" x14ac:knownFonts="1">
    <font>
      <sz val="12"/>
      <name val="Arial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Arial"/>
      <family val="2"/>
    </font>
    <font>
      <b/>
      <sz val="14"/>
      <color rgb="FFFF0000"/>
      <name val="Calibri"/>
      <family val="2"/>
      <scheme val="minor"/>
    </font>
    <font>
      <b/>
      <i/>
      <u/>
      <sz val="11"/>
      <color rgb="FF59B589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name val="Cambria"/>
      <family val="1"/>
      <scheme val="major"/>
    </font>
    <font>
      <b/>
      <sz val="9"/>
      <name val="Arial"/>
      <family val="2"/>
    </font>
    <font>
      <b/>
      <sz val="9"/>
      <name val="Cambria"/>
      <family val="1"/>
      <scheme val="maj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u val="singleAccounting"/>
      <sz val="14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sz val="8"/>
      <color rgb="FFFF0000"/>
      <name val="Arial"/>
      <family val="2"/>
    </font>
    <font>
      <u/>
      <sz val="11"/>
      <name val="Arial"/>
      <family val="2"/>
    </font>
    <font>
      <b/>
      <sz val="12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 val="singleAccounting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double">
        <color rgb="FF000000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7">
    <xf numFmtId="0" fontId="0" fillId="0" borderId="0" xfId="0"/>
    <xf numFmtId="0" fontId="5" fillId="0" borderId="0" xfId="0" applyFont="1"/>
    <xf numFmtId="165" fontId="2" fillId="0" borderId="0" xfId="1" applyNumberFormat="1" applyFont="1"/>
    <xf numFmtId="165" fontId="5" fillId="0" borderId="0" xfId="0" applyNumberFormat="1" applyFont="1"/>
    <xf numFmtId="0" fontId="7" fillId="0" borderId="0" xfId="0" applyNumberFormat="1" applyFont="1" applyBorder="1" applyAlignment="1">
      <alignment horizontal="centerContinuous"/>
    </xf>
    <xf numFmtId="0" fontId="5" fillId="0" borderId="0" xfId="0" applyNumberFormat="1" applyFont="1" applyBorder="1" applyAlignment="1">
      <alignment horizontal="centerContinuous"/>
    </xf>
    <xf numFmtId="3" fontId="5" fillId="0" borderId="0" xfId="0" applyNumberFormat="1" applyFont="1"/>
    <xf numFmtId="165" fontId="9" fillId="0" borderId="0" xfId="1" applyNumberFormat="1" applyFont="1" applyAlignment="1">
      <alignment horizontal="center" vertical="center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8" xfId="0" applyBorder="1"/>
    <xf numFmtId="0" fontId="0" fillId="0" borderId="5" xfId="0" applyBorder="1"/>
    <xf numFmtId="0" fontId="0" fillId="0" borderId="6" xfId="0" applyBorder="1"/>
    <xf numFmtId="170" fontId="4" fillId="0" borderId="0" xfId="0" applyNumberFormat="1" applyFont="1"/>
    <xf numFmtId="165" fontId="9" fillId="0" borderId="8" xfId="1" applyNumberFormat="1" applyFont="1" applyBorder="1" applyAlignment="1">
      <alignment horizontal="center" vertical="center"/>
    </xf>
    <xf numFmtId="165" fontId="5" fillId="0" borderId="1" xfId="1" applyNumberFormat="1" applyFont="1" applyBorder="1"/>
    <xf numFmtId="165" fontId="5" fillId="0" borderId="0" xfId="1" applyNumberFormat="1" applyFont="1" applyBorder="1"/>
    <xf numFmtId="0" fontId="0" fillId="0" borderId="1" xfId="0" applyBorder="1"/>
    <xf numFmtId="165" fontId="5" fillId="0" borderId="0" xfId="1" applyNumberFormat="1" applyFont="1"/>
    <xf numFmtId="165" fontId="5" fillId="0" borderId="3" xfId="1" applyNumberFormat="1" applyFont="1" applyBorder="1"/>
    <xf numFmtId="165" fontId="5" fillId="0" borderId="2" xfId="1" applyNumberFormat="1" applyFont="1" applyBorder="1"/>
    <xf numFmtId="165" fontId="5" fillId="0" borderId="4" xfId="1" applyNumberFormat="1" applyFont="1" applyBorder="1"/>
    <xf numFmtId="165" fontId="5" fillId="0" borderId="7" xfId="1" applyNumberFormat="1" applyFont="1" applyBorder="1"/>
    <xf numFmtId="165" fontId="5" fillId="0" borderId="8" xfId="1" applyNumberFormat="1" applyFont="1" applyBorder="1"/>
    <xf numFmtId="10" fontId="5" fillId="0" borderId="0" xfId="3" applyNumberFormat="1" applyFont="1" applyBorder="1"/>
    <xf numFmtId="165" fontId="5" fillId="0" borderId="5" xfId="1" applyNumberFormat="1" applyFont="1" applyBorder="1"/>
    <xf numFmtId="165" fontId="5" fillId="0" borderId="6" xfId="1" applyNumberFormat="1" applyFont="1" applyBorder="1"/>
    <xf numFmtId="43" fontId="5" fillId="0" borderId="0" xfId="1" applyFont="1"/>
    <xf numFmtId="9" fontId="5" fillId="0" borderId="0" xfId="3" applyFont="1"/>
    <xf numFmtId="165" fontId="9" fillId="0" borderId="0" xfId="1" applyNumberFormat="1" applyFont="1" applyBorder="1"/>
    <xf numFmtId="165" fontId="5" fillId="0" borderId="0" xfId="1" applyNumberFormat="1" applyFont="1" applyBorder="1" applyAlignment="1">
      <alignment horizontal="center"/>
    </xf>
    <xf numFmtId="10" fontId="5" fillId="0" borderId="8" xfId="3" applyNumberFormat="1" applyFont="1" applyBorder="1"/>
    <xf numFmtId="43" fontId="5" fillId="0" borderId="0" xfId="1" applyFont="1" applyBorder="1"/>
    <xf numFmtId="0" fontId="16" fillId="0" borderId="0" xfId="0" applyFont="1"/>
    <xf numFmtId="0" fontId="11" fillId="0" borderId="0" xfId="0" applyFont="1"/>
    <xf numFmtId="43" fontId="5" fillId="0" borderId="0" xfId="5" applyFont="1"/>
    <xf numFmtId="165" fontId="5" fillId="0" borderId="0" xfId="5" applyNumberFormat="1" applyFont="1"/>
    <xf numFmtId="173" fontId="5" fillId="0" borderId="0" xfId="7" applyNumberFormat="1" applyFont="1"/>
    <xf numFmtId="3" fontId="5" fillId="0" borderId="0" xfId="0" applyNumberFormat="1" applyFont="1" applyAlignment="1">
      <alignment horizontal="right"/>
    </xf>
    <xf numFmtId="165" fontId="5" fillId="0" borderId="0" xfId="5" applyNumberFormat="1" applyFont="1" applyAlignment="1">
      <alignment vertical="center"/>
    </xf>
    <xf numFmtId="0" fontId="8" fillId="0" borderId="0" xfId="0" applyFont="1" applyAlignment="1">
      <alignment horizontal="center"/>
    </xf>
    <xf numFmtId="3" fontId="5" fillId="0" borderId="1" xfId="0" applyNumberFormat="1" applyFont="1" applyBorder="1"/>
    <xf numFmtId="165" fontId="11" fillId="0" borderId="0" xfId="1" applyNumberFormat="1" applyFont="1" applyAlignment="1">
      <alignment horizontal="center"/>
    </xf>
    <xf numFmtId="165" fontId="5" fillId="0" borderId="0" xfId="1" applyNumberFormat="1" applyFont="1" applyAlignment="1">
      <alignment horizontal="center"/>
    </xf>
    <xf numFmtId="3" fontId="6" fillId="0" borderId="0" xfId="0" applyNumberFormat="1" applyFont="1" applyAlignment="1">
      <alignment horizontal="centerContinuous" vertical="center"/>
    </xf>
    <xf numFmtId="3" fontId="16" fillId="0" borderId="0" xfId="0" applyNumberFormat="1" applyFont="1" applyAlignment="1">
      <alignment horizontal="centerContinuous" vertical="center"/>
    </xf>
    <xf numFmtId="3" fontId="19" fillId="0" borderId="0" xfId="0" applyNumberFormat="1" applyFont="1" applyAlignment="1">
      <alignment horizontal="centerContinuous" vertical="center"/>
    </xf>
    <xf numFmtId="3" fontId="5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3" fontId="16" fillId="0" borderId="0" xfId="0" applyNumberFormat="1" applyFont="1"/>
    <xf numFmtId="165" fontId="20" fillId="0" borderId="0" xfId="5" applyNumberFormat="1" applyFont="1" applyAlignment="1">
      <alignment vertical="center"/>
    </xf>
    <xf numFmtId="37" fontId="5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21" fillId="0" borderId="0" xfId="0" applyNumberFormat="1" applyFont="1" applyAlignment="1">
      <alignment vertical="center"/>
    </xf>
    <xf numFmtId="43" fontId="5" fillId="0" borderId="0" xfId="5" applyFont="1" applyAlignment="1">
      <alignment vertical="center"/>
    </xf>
    <xf numFmtId="43" fontId="22" fillId="0" borderId="0" xfId="5" applyFont="1" applyAlignment="1">
      <alignment vertical="center"/>
    </xf>
    <xf numFmtId="167" fontId="5" fillId="0" borderId="0" xfId="0" applyNumberFormat="1" applyFont="1" applyAlignment="1">
      <alignment vertical="center"/>
    </xf>
    <xf numFmtId="167" fontId="5" fillId="0" borderId="0" xfId="7" applyNumberFormat="1" applyFont="1"/>
    <xf numFmtId="166" fontId="5" fillId="0" borderId="0" xfId="6" applyNumberFormat="1" applyFont="1" applyAlignment="1">
      <alignment vertical="center"/>
    </xf>
    <xf numFmtId="165" fontId="5" fillId="0" borderId="7" xfId="5" applyNumberFormat="1" applyFont="1" applyBorder="1"/>
    <xf numFmtId="0" fontId="24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37" fontId="5" fillId="0" borderId="0" xfId="0" applyNumberFormat="1" applyFont="1"/>
    <xf numFmtId="165" fontId="5" fillId="0" borderId="1" xfId="5" applyNumberFormat="1" applyFont="1" applyBorder="1"/>
    <xf numFmtId="0" fontId="5" fillId="0" borderId="1" xfId="0" applyFont="1" applyBorder="1"/>
    <xf numFmtId="165" fontId="5" fillId="0" borderId="0" xfId="5" applyNumberFormat="1" applyFont="1" applyBorder="1"/>
    <xf numFmtId="165" fontId="9" fillId="0" borderId="0" xfId="1" applyNumberFormat="1" applyFont="1"/>
    <xf numFmtId="165" fontId="13" fillId="0" borderId="0" xfId="1" applyNumberFormat="1" applyFont="1"/>
    <xf numFmtId="165" fontId="11" fillId="0" borderId="0" xfId="5" applyNumberFormat="1" applyFont="1" applyBorder="1" applyAlignment="1">
      <alignment horizontal="center"/>
    </xf>
    <xf numFmtId="165" fontId="9" fillId="0" borderId="0" xfId="5" applyNumberFormat="1" applyFont="1" applyBorder="1" applyAlignment="1">
      <alignment horizontal="center"/>
    </xf>
    <xf numFmtId="165" fontId="11" fillId="0" borderId="0" xfId="5" applyNumberFormat="1" applyFont="1" applyBorder="1" applyAlignment="1">
      <alignment horizontal="centerContinuous"/>
    </xf>
    <xf numFmtId="169" fontId="5" fillId="0" borderId="0" xfId="5" applyNumberFormat="1" applyFont="1" applyBorder="1"/>
    <xf numFmtId="165" fontId="7" fillId="0" borderId="0" xfId="5" applyNumberFormat="1" applyFont="1" applyBorder="1" applyAlignment="1">
      <alignment horizontal="center"/>
    </xf>
    <xf numFmtId="165" fontId="7" fillId="0" borderId="7" xfId="5" applyNumberFormat="1" applyFont="1" applyBorder="1" applyAlignment="1">
      <alignment horizontal="center"/>
    </xf>
    <xf numFmtId="165" fontId="7" fillId="0" borderId="8" xfId="5" applyNumberFormat="1" applyFont="1" applyBorder="1" applyAlignment="1">
      <alignment horizontal="center"/>
    </xf>
    <xf numFmtId="165" fontId="10" fillId="0" borderId="0" xfId="1" applyNumberFormat="1" applyFont="1" applyBorder="1" applyAlignment="1">
      <alignment horizontal="left" vertical="top"/>
    </xf>
    <xf numFmtId="169" fontId="11" fillId="0" borderId="0" xfId="5" applyNumberFormat="1" applyFont="1" applyBorder="1" applyAlignment="1">
      <alignment horizontal="centerContinuous"/>
    </xf>
    <xf numFmtId="165" fontId="11" fillId="0" borderId="7" xfId="5" applyNumberFormat="1" applyFont="1" applyBorder="1" applyAlignment="1">
      <alignment horizontal="center"/>
    </xf>
    <xf numFmtId="169" fontId="11" fillId="0" borderId="0" xfId="5" applyNumberFormat="1" applyFont="1" applyBorder="1" applyAlignment="1">
      <alignment horizontal="center"/>
    </xf>
    <xf numFmtId="165" fontId="25" fillId="0" borderId="7" xfId="1" applyNumberFormat="1" applyFont="1" applyBorder="1" applyAlignment="1">
      <alignment vertical="top"/>
    </xf>
    <xf numFmtId="174" fontId="10" fillId="0" borderId="0" xfId="1" applyNumberFormat="1" applyFont="1" applyBorder="1" applyAlignment="1">
      <alignment horizontal="center" vertical="top"/>
    </xf>
    <xf numFmtId="169" fontId="10" fillId="0" borderId="0" xfId="1" applyNumberFormat="1" applyFont="1" applyBorder="1" applyAlignment="1">
      <alignment horizontal="left" vertical="top"/>
    </xf>
    <xf numFmtId="165" fontId="10" fillId="0" borderId="7" xfId="1" applyNumberFormat="1" applyFont="1" applyBorder="1" applyAlignment="1">
      <alignment vertical="top"/>
    </xf>
    <xf numFmtId="165" fontId="25" fillId="0" borderId="0" xfId="1" applyNumberFormat="1" applyFont="1" applyBorder="1" applyAlignment="1">
      <alignment horizontal="left" vertical="top"/>
    </xf>
    <xf numFmtId="174" fontId="25" fillId="0" borderId="0" xfId="1" applyNumberFormat="1" applyFont="1" applyBorder="1" applyAlignment="1">
      <alignment horizontal="center" vertical="top"/>
    </xf>
    <xf numFmtId="169" fontId="25" fillId="0" borderId="0" xfId="1" applyNumberFormat="1" applyFont="1" applyBorder="1" applyAlignment="1">
      <alignment horizontal="left" vertical="top"/>
    </xf>
    <xf numFmtId="10" fontId="5" fillId="0" borderId="0" xfId="7" applyNumberFormat="1" applyFont="1"/>
    <xf numFmtId="0" fontId="12" fillId="0" borderId="0" xfId="0" applyFont="1" applyAlignment="1">
      <alignment horizontal="center"/>
    </xf>
    <xf numFmtId="4" fontId="5" fillId="0" borderId="0" xfId="0" applyNumberFormat="1" applyFont="1"/>
    <xf numFmtId="0" fontId="7" fillId="0" borderId="7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5" fillId="0" borderId="8" xfId="0" applyFont="1" applyBorder="1" applyAlignment="1">
      <alignment horizontal="centerContinuous"/>
    </xf>
    <xf numFmtId="3" fontId="26" fillId="0" borderId="7" xfId="0" applyNumberFormat="1" applyFont="1" applyBorder="1" applyAlignment="1">
      <alignment horizontal="centerContinuous" vertical="center"/>
    </xf>
    <xf numFmtId="0" fontId="11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65" fontId="9" fillId="0" borderId="7" xfId="1" applyNumberFormat="1" applyFont="1" applyBorder="1"/>
    <xf numFmtId="165" fontId="9" fillId="0" borderId="8" xfId="1" applyNumberFormat="1" applyFont="1" applyBorder="1"/>
    <xf numFmtId="3" fontId="5" fillId="0" borderId="0" xfId="0" quotePrefix="1" applyNumberFormat="1" applyFont="1" applyAlignment="1">
      <alignment vertical="center"/>
    </xf>
    <xf numFmtId="3" fontId="12" fillId="0" borderId="0" xfId="0" applyNumberFormat="1" applyFont="1" applyAlignment="1">
      <alignment horizontal="center"/>
    </xf>
    <xf numFmtId="165" fontId="13" fillId="0" borderId="0" xfId="1" applyNumberFormat="1" applyFont="1" applyAlignment="1">
      <alignment horizontal="center"/>
    </xf>
    <xf numFmtId="43" fontId="5" fillId="0" borderId="0" xfId="1" applyFont="1" applyBorder="1" applyAlignment="1"/>
    <xf numFmtId="165" fontId="27" fillId="0" borderId="0" xfId="1" applyNumberFormat="1" applyFont="1"/>
    <xf numFmtId="3" fontId="18" fillId="0" borderId="0" xfId="0" applyNumberFormat="1" applyFont="1" applyBorder="1" applyAlignment="1">
      <alignment horizontal="centerContinuous" vertical="center"/>
    </xf>
    <xf numFmtId="43" fontId="5" fillId="0" borderId="7" xfId="1" applyFont="1" applyBorder="1"/>
    <xf numFmtId="3" fontId="6" fillId="0" borderId="8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7" xfId="0" applyFont="1" applyBorder="1"/>
    <xf numFmtId="0" fontId="7" fillId="0" borderId="0" xfId="0" applyFont="1" applyBorder="1" applyAlignment="1">
      <alignment horizontal="centerContinuous"/>
    </xf>
    <xf numFmtId="0" fontId="5" fillId="0" borderId="0" xfId="0" applyFont="1" applyBorder="1"/>
    <xf numFmtId="3" fontId="5" fillId="0" borderId="0" xfId="0" applyNumberFormat="1" applyFont="1" applyBorder="1"/>
    <xf numFmtId="3" fontId="5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0" xfId="0" applyBorder="1"/>
    <xf numFmtId="3" fontId="5" fillId="0" borderId="8" xfId="0" applyNumberFormat="1" applyFont="1" applyBorder="1"/>
    <xf numFmtId="175" fontId="5" fillId="0" borderId="0" xfId="0" applyNumberFormat="1" applyFont="1" applyBorder="1"/>
    <xf numFmtId="10" fontId="5" fillId="0" borderId="0" xfId="7" applyNumberFormat="1" applyFont="1" applyBorder="1"/>
    <xf numFmtId="168" fontId="5" fillId="0" borderId="0" xfId="0" applyNumberFormat="1" applyFont="1" applyBorder="1"/>
    <xf numFmtId="3" fontId="0" fillId="0" borderId="0" xfId="0" applyNumberFormat="1" applyBorder="1"/>
    <xf numFmtId="0" fontId="9" fillId="0" borderId="0" xfId="0" applyFont="1" applyBorder="1"/>
    <xf numFmtId="44" fontId="5" fillId="0" borderId="8" xfId="6" applyFont="1" applyBorder="1"/>
    <xf numFmtId="0" fontId="18" fillId="0" borderId="0" xfId="0" applyFont="1" applyBorder="1"/>
    <xf numFmtId="3" fontId="16" fillId="0" borderId="0" xfId="0" applyNumberFormat="1" applyFont="1" applyBorder="1"/>
    <xf numFmtId="4" fontId="5" fillId="0" borderId="8" xfId="0" applyNumberFormat="1" applyFont="1" applyBorder="1"/>
    <xf numFmtId="0" fontId="5" fillId="0" borderId="5" xfId="0" applyFont="1" applyBorder="1"/>
    <xf numFmtId="3" fontId="5" fillId="0" borderId="6" xfId="0" applyNumberFormat="1" applyFont="1" applyBorder="1"/>
    <xf numFmtId="167" fontId="5" fillId="0" borderId="0" xfId="3" applyNumberFormat="1" applyFont="1"/>
    <xf numFmtId="165" fontId="5" fillId="0" borderId="0" xfId="1" applyNumberFormat="1" applyFont="1" applyAlignment="1">
      <alignment vertical="center"/>
    </xf>
    <xf numFmtId="3" fontId="18" fillId="0" borderId="0" xfId="0" applyNumberFormat="1" applyFont="1" applyAlignment="1">
      <alignment horizontal="centerContinuous" vertical="center"/>
    </xf>
    <xf numFmtId="164" fontId="9" fillId="0" borderId="0" xfId="2" quotePrefix="1" applyNumberFormat="1" applyFont="1" applyBorder="1" applyAlignment="1">
      <alignment horizontal="left"/>
    </xf>
    <xf numFmtId="3" fontId="7" fillId="0" borderId="0" xfId="0" applyNumberFormat="1" applyFont="1" applyAlignment="1">
      <alignment horizontal="left" vertical="center"/>
    </xf>
    <xf numFmtId="3" fontId="9" fillId="0" borderId="0" xfId="0" applyNumberFormat="1" applyFont="1" applyAlignment="1">
      <alignment horizontal="left" vertical="center"/>
    </xf>
    <xf numFmtId="3" fontId="11" fillId="0" borderId="0" xfId="0" applyNumberFormat="1" applyFont="1" applyAlignment="1">
      <alignment horizontal="left" vertical="center"/>
    </xf>
    <xf numFmtId="3" fontId="28" fillId="0" borderId="0" xfId="0" applyNumberFormat="1" applyFont="1"/>
    <xf numFmtId="165" fontId="13" fillId="0" borderId="0" xfId="5" applyNumberFormat="1" applyFont="1"/>
    <xf numFmtId="173" fontId="8" fillId="0" borderId="0" xfId="7" applyNumberFormat="1" applyFont="1"/>
    <xf numFmtId="165" fontId="13" fillId="0" borderId="0" xfId="5" applyNumberFormat="1" applyFont="1" applyAlignment="1">
      <alignment horizontal="center"/>
    </xf>
    <xf numFmtId="165" fontId="17" fillId="0" borderId="0" xfId="1" applyNumberFormat="1" applyFont="1" applyAlignment="1">
      <alignment horizontal="right"/>
    </xf>
    <xf numFmtId="0" fontId="5" fillId="0" borderId="0" xfId="0" applyNumberFormat="1" applyFont="1" applyBorder="1" applyAlignment="1"/>
    <xf numFmtId="0" fontId="9" fillId="0" borderId="0" xfId="0" applyNumberFormat="1" applyFont="1" applyBorder="1" applyAlignment="1">
      <alignment horizontal="centerContinuous"/>
    </xf>
    <xf numFmtId="0" fontId="11" fillId="0" borderId="0" xfId="0" applyNumberFormat="1" applyFont="1" applyBorder="1" applyAlignment="1">
      <alignment horizontal="centerContinuous"/>
    </xf>
    <xf numFmtId="0" fontId="5" fillId="0" borderId="9" xfId="0" applyNumberFormat="1" applyFont="1" applyBorder="1"/>
    <xf numFmtId="3" fontId="5" fillId="0" borderId="0" xfId="0" applyNumberFormat="1" applyFont="1" applyBorder="1" applyAlignment="1"/>
    <xf numFmtId="0" fontId="5" fillId="0" borderId="10" xfId="0" applyNumberFormat="1" applyFont="1" applyBorder="1" applyAlignment="1">
      <alignment horizontal="centerContinuous"/>
    </xf>
    <xf numFmtId="0" fontId="8" fillId="0" borderId="0" xfId="0" applyNumberFormat="1" applyFont="1" applyBorder="1" applyAlignment="1">
      <alignment horizontal="center"/>
    </xf>
    <xf numFmtId="0" fontId="8" fillId="0" borderId="9" xfId="0" applyNumberFormat="1" applyFont="1" applyBorder="1" applyAlignment="1">
      <alignment horizontal="center"/>
    </xf>
    <xf numFmtId="0" fontId="8" fillId="0" borderId="11" xfId="0" applyNumberFormat="1" applyFont="1" applyBorder="1" applyAlignment="1">
      <alignment horizontal="center"/>
    </xf>
    <xf numFmtId="0" fontId="8" fillId="0" borderId="10" xfId="0" applyNumberFormat="1" applyFont="1" applyBorder="1" applyAlignment="1">
      <alignment horizontal="center"/>
    </xf>
    <xf numFmtId="0" fontId="5" fillId="0" borderId="10" xfId="0" applyNumberFormat="1" applyFont="1" applyBorder="1"/>
    <xf numFmtId="165" fontId="5" fillId="0" borderId="0" xfId="5" applyNumberFormat="1" applyFont="1" applyBorder="1" applyAlignment="1"/>
    <xf numFmtId="43" fontId="5" fillId="0" borderId="0" xfId="5" applyNumberFormat="1" applyFont="1" applyBorder="1" applyAlignment="1"/>
    <xf numFmtId="43" fontId="5" fillId="0" borderId="0" xfId="5" applyFont="1" applyBorder="1"/>
    <xf numFmtId="43" fontId="5" fillId="0" borderId="10" xfId="1" applyFont="1" applyBorder="1"/>
    <xf numFmtId="43" fontId="5" fillId="0" borderId="0" xfId="1" applyNumberFormat="1" applyFont="1"/>
    <xf numFmtId="43" fontId="12" fillId="0" borderId="10" xfId="1" applyFont="1" applyBorder="1"/>
    <xf numFmtId="169" fontId="5" fillId="0" borderId="0" xfId="5" applyNumberFormat="1" applyFont="1" applyBorder="1" applyAlignment="1"/>
    <xf numFmtId="43" fontId="5" fillId="0" borderId="0" xfId="5" applyFont="1" applyBorder="1" applyAlignment="1"/>
    <xf numFmtId="0" fontId="5" fillId="0" borderId="8" xfId="0" applyNumberFormat="1" applyFont="1" applyBorder="1" applyAlignment="1"/>
    <xf numFmtId="0" fontId="5" fillId="0" borderId="1" xfId="0" applyNumberFormat="1" applyFont="1" applyBorder="1" applyAlignment="1"/>
    <xf numFmtId="0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10" fontId="5" fillId="0" borderId="0" xfId="0" applyNumberFormat="1" applyFont="1" applyBorder="1" applyAlignment="1">
      <alignment vertical="center"/>
    </xf>
    <xf numFmtId="170" fontId="5" fillId="0" borderId="1" xfId="0" applyNumberFormat="1" applyFont="1" applyBorder="1" applyAlignment="1"/>
    <xf numFmtId="0" fontId="5" fillId="0" borderId="8" xfId="0" applyFont="1" applyBorder="1"/>
    <xf numFmtId="170" fontId="5" fillId="0" borderId="0" xfId="0" applyNumberFormat="1" applyFont="1"/>
    <xf numFmtId="0" fontId="5" fillId="0" borderId="0" xfId="0" quotePrefix="1" applyFont="1"/>
    <xf numFmtId="0" fontId="5" fillId="0" borderId="6" xfId="0" applyFont="1" applyBorder="1"/>
    <xf numFmtId="0" fontId="15" fillId="0" borderId="0" xfId="0" applyNumberFormat="1" applyFont="1" applyBorder="1" applyAlignment="1">
      <alignment horizontal="centerContinuous"/>
    </xf>
    <xf numFmtId="165" fontId="18" fillId="0" borderId="0" xfId="1" applyNumberFormat="1" applyFont="1" applyAlignment="1">
      <alignment horizontal="center" vertical="center"/>
    </xf>
    <xf numFmtId="0" fontId="16" fillId="0" borderId="0" xfId="0" applyNumberFormat="1" applyFont="1" applyBorder="1" applyAlignment="1"/>
    <xf numFmtId="0" fontId="18" fillId="0" borderId="0" xfId="0" applyNumberFormat="1" applyFont="1" applyBorder="1" applyAlignment="1">
      <alignment horizontal="centerContinuous"/>
    </xf>
    <xf numFmtId="0" fontId="16" fillId="0" borderId="9" xfId="0" applyNumberFormat="1" applyFont="1" applyBorder="1"/>
    <xf numFmtId="0" fontId="19" fillId="0" borderId="0" xfId="0" applyNumberFormat="1" applyFont="1" applyBorder="1" applyAlignment="1">
      <alignment horizontal="centerContinuous"/>
    </xf>
    <xf numFmtId="0" fontId="16" fillId="0" borderId="1" xfId="0" applyFont="1" applyBorder="1"/>
    <xf numFmtId="3" fontId="29" fillId="0" borderId="4" xfId="0" applyNumberFormat="1" applyFont="1" applyBorder="1" applyAlignment="1">
      <alignment horizontal="center"/>
    </xf>
    <xf numFmtId="3" fontId="29" fillId="0" borderId="0" xfId="0" applyNumberFormat="1" applyFont="1" applyAlignment="1">
      <alignment horizontal="center"/>
    </xf>
    <xf numFmtId="0" fontId="5" fillId="0" borderId="0" xfId="0" applyNumberFormat="1" applyFont="1" applyAlignment="1"/>
    <xf numFmtId="0" fontId="5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171" fontId="5" fillId="0" borderId="0" xfId="5" applyNumberFormat="1" applyFont="1" applyBorder="1" applyAlignment="1">
      <alignment vertical="center"/>
    </xf>
    <xf numFmtId="43" fontId="5" fillId="0" borderId="0" xfId="5" applyNumberFormat="1" applyFont="1" applyBorder="1" applyAlignment="1">
      <alignment vertical="center"/>
    </xf>
    <xf numFmtId="165" fontId="5" fillId="0" borderId="0" xfId="5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left" vertical="center"/>
    </xf>
    <xf numFmtId="172" fontId="5" fillId="0" borderId="0" xfId="0" applyNumberFormat="1" applyFont="1" applyBorder="1" applyAlignment="1">
      <alignment horizontal="left" vertical="center"/>
    </xf>
    <xf numFmtId="172" fontId="5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horizontal="left" vertical="center"/>
    </xf>
    <xf numFmtId="4" fontId="5" fillId="0" borderId="0" xfId="0" applyNumberFormat="1" applyFont="1" applyBorder="1" applyAlignment="1">
      <alignment vertical="center"/>
    </xf>
    <xf numFmtId="168" fontId="5" fillId="0" borderId="0" xfId="0" applyNumberFormat="1" applyFont="1" applyBorder="1" applyAlignment="1">
      <alignment horizontal="center" vertical="center"/>
    </xf>
    <xf numFmtId="168" fontId="5" fillId="0" borderId="0" xfId="0" applyNumberFormat="1" applyFont="1" applyBorder="1" applyAlignment="1">
      <alignment vertical="center"/>
    </xf>
    <xf numFmtId="168" fontId="5" fillId="0" borderId="0" xfId="0" applyNumberFormat="1" applyFont="1" applyBorder="1" applyAlignment="1">
      <alignment horizontal="left" vertical="center"/>
    </xf>
    <xf numFmtId="171" fontId="30" fillId="0" borderId="0" xfId="5" applyNumberFormat="1" applyFont="1" applyBorder="1" applyAlignment="1">
      <alignment vertical="center"/>
    </xf>
    <xf numFmtId="172" fontId="5" fillId="0" borderId="0" xfId="0" applyNumberFormat="1" applyFont="1" applyBorder="1" applyAlignment="1">
      <alignment horizontal="center" vertical="center"/>
    </xf>
    <xf numFmtId="170" fontId="5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vertical="center"/>
    </xf>
    <xf numFmtId="171" fontId="9" fillId="0" borderId="0" xfId="5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center"/>
    </xf>
    <xf numFmtId="171" fontId="5" fillId="0" borderId="0" xfId="5" applyNumberFormat="1" applyFont="1" applyBorder="1" applyAlignment="1"/>
    <xf numFmtId="0" fontId="5" fillId="0" borderId="1" xfId="0" applyNumberFormat="1" applyFont="1" applyBorder="1" applyAlignment="1">
      <alignment horizontal="center"/>
    </xf>
    <xf numFmtId="0" fontId="5" fillId="0" borderId="6" xfId="0" applyNumberFormat="1" applyFont="1" applyBorder="1" applyAlignment="1"/>
    <xf numFmtId="0" fontId="5" fillId="0" borderId="0" xfId="0" applyNumberFormat="1" applyFont="1" applyAlignment="1">
      <alignment horizontal="center"/>
    </xf>
    <xf numFmtId="0" fontId="5" fillId="0" borderId="0" xfId="0" quotePrefix="1" applyNumberFormat="1" applyFont="1" applyBorder="1" applyAlignment="1">
      <alignment horizontal="left" vertical="center"/>
    </xf>
    <xf numFmtId="165" fontId="11" fillId="0" borderId="0" xfId="5" applyNumberFormat="1" applyFont="1" applyBorder="1" applyAlignment="1">
      <alignment horizontal="center"/>
    </xf>
    <xf numFmtId="165" fontId="14" fillId="0" borderId="0" xfId="1" applyNumberFormat="1" applyFont="1" applyBorder="1" applyAlignment="1">
      <alignment horizontal="center"/>
    </xf>
    <xf numFmtId="165" fontId="13" fillId="0" borderId="0" xfId="0" applyNumberFormat="1" applyFont="1"/>
    <xf numFmtId="165" fontId="5" fillId="0" borderId="0" xfId="5" applyNumberFormat="1" applyFont="1" applyAlignment="1">
      <alignment horizontal="right"/>
    </xf>
    <xf numFmtId="174" fontId="10" fillId="0" borderId="0" xfId="1" quotePrefix="1" applyNumberFormat="1" applyFont="1" applyBorder="1" applyAlignment="1">
      <alignment horizontal="center" vertical="top"/>
    </xf>
    <xf numFmtId="3" fontId="20" fillId="0" borderId="0" xfId="0" applyNumberFormat="1" applyFont="1" applyAlignment="1">
      <alignment horizontal="left"/>
    </xf>
    <xf numFmtId="164" fontId="5" fillId="0" borderId="0" xfId="6" applyNumberFormat="1" applyFont="1" applyBorder="1"/>
    <xf numFmtId="165" fontId="0" fillId="0" borderId="0" xfId="1" applyNumberFormat="1" applyFont="1"/>
    <xf numFmtId="165" fontId="10" fillId="0" borderId="0" xfId="1" quotePrefix="1" applyNumberFormat="1" applyFont="1" applyBorder="1" applyAlignment="1">
      <alignment horizontal="left" vertical="top"/>
    </xf>
    <xf numFmtId="164" fontId="5" fillId="0" borderId="0" xfId="5" applyNumberFormat="1" applyFont="1" applyAlignment="1">
      <alignment vertical="center"/>
    </xf>
    <xf numFmtId="37" fontId="5" fillId="0" borderId="0" xfId="5" applyNumberFormat="1" applyFont="1" applyAlignment="1">
      <alignment vertical="center"/>
    </xf>
    <xf numFmtId="3" fontId="31" fillId="0" borderId="0" xfId="0" applyNumberFormat="1" applyFont="1" applyAlignment="1">
      <alignment horizontal="center" vertical="center"/>
    </xf>
    <xf numFmtId="3" fontId="32" fillId="0" borderId="0" xfId="0" applyNumberFormat="1" applyFont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0" fontId="1" fillId="0" borderId="0" xfId="4"/>
    <xf numFmtId="164" fontId="5" fillId="0" borderId="0" xfId="6" applyNumberFormat="1" applyFont="1"/>
    <xf numFmtId="165" fontId="5" fillId="0" borderId="0" xfId="5" applyNumberFormat="1" applyFont="1" applyBorder="1"/>
    <xf numFmtId="165" fontId="12" fillId="0" borderId="0" xfId="5" applyNumberFormat="1" applyFont="1" applyAlignment="1">
      <alignment vertical="center"/>
    </xf>
    <xf numFmtId="165" fontId="5" fillId="0" borderId="3" xfId="5" applyNumberFormat="1" applyFont="1" applyBorder="1"/>
    <xf numFmtId="165" fontId="5" fillId="0" borderId="2" xfId="5" applyNumberFormat="1" applyFont="1" applyBorder="1"/>
    <xf numFmtId="165" fontId="5" fillId="0" borderId="4" xfId="5" applyNumberFormat="1" applyFont="1" applyBorder="1"/>
    <xf numFmtId="165" fontId="5" fillId="0" borderId="7" xfId="5" applyNumberFormat="1" applyFont="1" applyBorder="1"/>
    <xf numFmtId="165" fontId="5" fillId="0" borderId="8" xfId="5" applyNumberFormat="1" applyFont="1" applyBorder="1"/>
    <xf numFmtId="165" fontId="5" fillId="0" borderId="6" xfId="5" applyNumberFormat="1" applyFont="1" applyBorder="1"/>
    <xf numFmtId="165" fontId="5" fillId="0" borderId="0" xfId="5" applyNumberFormat="1" applyFont="1" applyBorder="1" applyAlignment="1">
      <alignment horizontal="center"/>
    </xf>
    <xf numFmtId="165" fontId="13" fillId="0" borderId="7" xfId="5" applyNumberFormat="1" applyFont="1" applyBorder="1" applyAlignment="1">
      <alignment horizontal="center"/>
    </xf>
    <xf numFmtId="165" fontId="9" fillId="0" borderId="0" xfId="5" applyNumberFormat="1" applyFont="1" applyBorder="1" applyAlignment="1">
      <alignment horizontal="right"/>
    </xf>
    <xf numFmtId="165" fontId="6" fillId="0" borderId="7" xfId="5" applyNumberFormat="1" applyFont="1" applyBorder="1" applyAlignment="1">
      <alignment horizontal="centerContinuous"/>
    </xf>
    <xf numFmtId="165" fontId="9" fillId="0" borderId="0" xfId="5" applyNumberFormat="1" applyFont="1" applyAlignment="1">
      <alignment horizontal="centerContinuous"/>
    </xf>
    <xf numFmtId="165" fontId="7" fillId="0" borderId="7" xfId="5" applyNumberFormat="1" applyFont="1" applyBorder="1" applyAlignment="1">
      <alignment horizontal="centerContinuous"/>
    </xf>
    <xf numFmtId="165" fontId="11" fillId="0" borderId="0" xfId="5" applyNumberFormat="1" applyFont="1" applyAlignment="1">
      <alignment horizontal="centerContinuous"/>
    </xf>
    <xf numFmtId="165" fontId="5" fillId="0" borderId="0" xfId="5" applyNumberFormat="1" applyFont="1" applyAlignment="1">
      <alignment horizontal="centerContinuous"/>
    </xf>
    <xf numFmtId="165" fontId="5" fillId="0" borderId="7" xfId="5" applyNumberFormat="1" applyFont="1" applyBorder="1" applyAlignment="1">
      <alignment horizontal="centerContinuous"/>
    </xf>
    <xf numFmtId="165" fontId="5" fillId="0" borderId="3" xfId="5" applyNumberFormat="1" applyFont="1" applyBorder="1" applyAlignment="1">
      <alignment horizontal="left"/>
    </xf>
    <xf numFmtId="165" fontId="14" fillId="0" borderId="7" xfId="5" applyNumberFormat="1" applyFont="1" applyBorder="1" applyAlignment="1">
      <alignment horizontal="center" vertical="center"/>
    </xf>
    <xf numFmtId="165" fontId="5" fillId="0" borderId="7" xfId="5" quotePrefix="1" applyNumberFormat="1" applyFont="1" applyBorder="1" applyAlignment="1">
      <alignment horizontal="center"/>
    </xf>
    <xf numFmtId="164" fontId="5" fillId="0" borderId="7" xfId="6" quotePrefix="1" applyNumberFormat="1" applyFont="1" applyBorder="1" applyAlignment="1">
      <alignment horizontal="center"/>
    </xf>
    <xf numFmtId="165" fontId="5" fillId="0" borderId="7" xfId="5" applyNumberFormat="1" applyFont="1" applyBorder="1" applyAlignment="1">
      <alignment horizontal="center"/>
    </xf>
    <xf numFmtId="165" fontId="5" fillId="0" borderId="0" xfId="5" applyNumberFormat="1" applyFont="1" applyAlignment="1">
      <alignment horizontal="center"/>
    </xf>
    <xf numFmtId="165" fontId="5" fillId="0" borderId="7" xfId="5" quotePrefix="1" applyNumberFormat="1" applyFont="1" applyBorder="1" applyAlignment="1">
      <alignment horizontal="left"/>
    </xf>
    <xf numFmtId="165" fontId="9" fillId="0" borderId="7" xfId="5" applyNumberFormat="1" applyFont="1" applyBorder="1" applyAlignment="1">
      <alignment horizontal="center"/>
    </xf>
    <xf numFmtId="165" fontId="9" fillId="0" borderId="5" xfId="5" applyNumberFormat="1" applyFont="1" applyBorder="1" applyAlignment="1">
      <alignment horizontal="right"/>
    </xf>
    <xf numFmtId="165" fontId="9" fillId="0" borderId="1" xfId="5" applyNumberFormat="1" applyFont="1" applyBorder="1" applyAlignment="1">
      <alignment horizontal="right"/>
    </xf>
    <xf numFmtId="165" fontId="9" fillId="0" borderId="6" xfId="5" applyNumberFormat="1" applyFont="1" applyBorder="1" applyAlignment="1">
      <alignment horizontal="right"/>
    </xf>
    <xf numFmtId="165" fontId="9" fillId="0" borderId="7" xfId="5" applyNumberFormat="1" applyFont="1" applyBorder="1" applyAlignment="1">
      <alignment horizontal="right"/>
    </xf>
    <xf numFmtId="165" fontId="9" fillId="0" borderId="0" xfId="5" applyNumberFormat="1" applyFont="1" applyAlignment="1">
      <alignment horizontal="right"/>
    </xf>
    <xf numFmtId="165" fontId="9" fillId="0" borderId="0" xfId="5" applyNumberFormat="1" applyFont="1"/>
    <xf numFmtId="164" fontId="9" fillId="0" borderId="0" xfId="6" applyNumberFormat="1" applyFont="1"/>
    <xf numFmtId="165" fontId="5" fillId="0" borderId="5" xfId="5" applyNumberFormat="1" applyFont="1" applyBorder="1" applyAlignment="1">
      <alignment horizontal="center"/>
    </xf>
    <xf numFmtId="165" fontId="5" fillId="0" borderId="1" xfId="5" applyNumberFormat="1" applyFont="1" applyBorder="1" applyAlignment="1">
      <alignment horizontal="center"/>
    </xf>
    <xf numFmtId="165" fontId="5" fillId="0" borderId="2" xfId="5" applyNumberFormat="1" applyFont="1" applyBorder="1" applyAlignment="1">
      <alignment horizontal="left"/>
    </xf>
    <xf numFmtId="165" fontId="5" fillId="0" borderId="4" xfId="5" applyNumberFormat="1" applyFont="1" applyBorder="1" applyAlignment="1">
      <alignment horizontal="left"/>
    </xf>
    <xf numFmtId="165" fontId="11" fillId="0" borderId="7" xfId="5" applyNumberFormat="1" applyFont="1" applyBorder="1" applyAlignment="1">
      <alignment horizontal="centerContinuous"/>
    </xf>
    <xf numFmtId="165" fontId="11" fillId="0" borderId="0" xfId="5" applyNumberFormat="1" applyFont="1" applyBorder="1" applyAlignment="1">
      <alignment horizontal="centerContinuous"/>
    </xf>
    <xf numFmtId="165" fontId="14" fillId="0" borderId="0" xfId="5" applyNumberFormat="1" applyFont="1" applyBorder="1" applyAlignment="1">
      <alignment horizontal="center" vertical="center"/>
    </xf>
    <xf numFmtId="164" fontId="5" fillId="0" borderId="0" xfId="6" quotePrefix="1" applyNumberFormat="1" applyFont="1" applyBorder="1" applyAlignment="1">
      <alignment horizontal="center"/>
    </xf>
    <xf numFmtId="165" fontId="5" fillId="0" borderId="0" xfId="5" quotePrefix="1" applyNumberFormat="1" applyFont="1" applyBorder="1" applyAlignment="1">
      <alignment horizontal="left"/>
    </xf>
    <xf numFmtId="165" fontId="6" fillId="0" borderId="0" xfId="5" applyNumberFormat="1" applyFont="1" applyBorder="1" applyAlignment="1">
      <alignment horizontal="centerContinuous"/>
    </xf>
    <xf numFmtId="165" fontId="7" fillId="0" borderId="0" xfId="5" applyNumberFormat="1" applyFont="1" applyBorder="1" applyAlignment="1">
      <alignment horizontal="centerContinuous"/>
    </xf>
    <xf numFmtId="165" fontId="5" fillId="0" borderId="0" xfId="5" applyNumberFormat="1" applyFont="1" applyBorder="1" applyAlignment="1">
      <alignment horizontal="centerContinuous"/>
    </xf>
    <xf numFmtId="165" fontId="5" fillId="0" borderId="8" xfId="5" quotePrefix="1" applyNumberFormat="1" applyFont="1" applyBorder="1" applyAlignment="1">
      <alignment horizontal="center"/>
    </xf>
    <xf numFmtId="164" fontId="5" fillId="0" borderId="7" xfId="6" quotePrefix="1" applyNumberFormat="1" applyFont="1" applyBorder="1" applyAlignment="1">
      <alignment horizontal="center"/>
    </xf>
    <xf numFmtId="164" fontId="5" fillId="0" borderId="8" xfId="6" quotePrefix="1" applyNumberFormat="1" applyFont="1" applyBorder="1" applyAlignment="1">
      <alignment horizontal="center"/>
    </xf>
    <xf numFmtId="164" fontId="9" fillId="0" borderId="7" xfId="2" applyNumberFormat="1" applyFont="1" applyBorder="1" applyAlignment="1">
      <alignment horizontal="center"/>
    </xf>
    <xf numFmtId="164" fontId="9" fillId="0" borderId="8" xfId="2" applyNumberFormat="1" applyFont="1" applyBorder="1" applyAlignment="1">
      <alignment horizontal="center"/>
    </xf>
    <xf numFmtId="164" fontId="9" fillId="0" borderId="7" xfId="2" quotePrefix="1" applyNumberFormat="1" applyFont="1" applyBorder="1" applyAlignment="1">
      <alignment horizontal="left"/>
    </xf>
    <xf numFmtId="165" fontId="24" fillId="0" borderId="0" xfId="1" applyNumberFormat="1" applyFont="1" applyAlignment="1">
      <alignment horizontal="right"/>
    </xf>
    <xf numFmtId="166" fontId="5" fillId="0" borderId="0" xfId="2" applyNumberFormat="1" applyFont="1"/>
    <xf numFmtId="0" fontId="8" fillId="0" borderId="0" xfId="0" applyFont="1"/>
    <xf numFmtId="169" fontId="10" fillId="0" borderId="0" xfId="1" applyNumberFormat="1" applyFont="1" applyAlignment="1">
      <alignment horizontal="right" vertical="top" shrinkToFit="1"/>
    </xf>
    <xf numFmtId="169" fontId="5" fillId="0" borderId="0" xfId="1" applyNumberFormat="1" applyFont="1" applyFill="1" applyBorder="1" applyAlignment="1">
      <alignment horizontal="right"/>
    </xf>
    <xf numFmtId="43" fontId="10" fillId="0" borderId="0" xfId="1" applyNumberFormat="1" applyFont="1" applyAlignment="1">
      <alignment horizontal="right" vertical="top" shrinkToFit="1"/>
    </xf>
    <xf numFmtId="43" fontId="13" fillId="0" borderId="0" xfId="5" applyFont="1" applyAlignment="1">
      <alignment horizontal="center"/>
    </xf>
    <xf numFmtId="43" fontId="5" fillId="0" borderId="0" xfId="5" applyFont="1" applyAlignment="1">
      <alignment horizontal="right"/>
    </xf>
    <xf numFmtId="43" fontId="9" fillId="0" borderId="0" xfId="5" applyFont="1"/>
    <xf numFmtId="173" fontId="9" fillId="0" borderId="0" xfId="7" applyNumberFormat="1" applyFont="1"/>
    <xf numFmtId="3" fontId="9" fillId="0" borderId="0" xfId="0" applyNumberFormat="1" applyFont="1"/>
    <xf numFmtId="165" fontId="35" fillId="0" borderId="0" xfId="0" applyNumberFormat="1" applyFont="1" applyAlignment="1">
      <alignment horizontal="center"/>
    </xf>
    <xf numFmtId="0" fontId="34" fillId="0" borderId="0" xfId="0" applyFont="1" applyAlignment="1">
      <alignment horizontal="center"/>
    </xf>
    <xf numFmtId="176" fontId="5" fillId="0" borderId="0" xfId="0" applyNumberFormat="1" applyFont="1"/>
    <xf numFmtId="43" fontId="11" fillId="0" borderId="0" xfId="5" applyFont="1"/>
    <xf numFmtId="9" fontId="5" fillId="0" borderId="0" xfId="7" applyFont="1"/>
    <xf numFmtId="43" fontId="13" fillId="0" borderId="0" xfId="5" applyFont="1"/>
    <xf numFmtId="0" fontId="35" fillId="0" borderId="0" xfId="0" applyFont="1"/>
    <xf numFmtId="164" fontId="35" fillId="0" borderId="13" xfId="6" applyNumberFormat="1" applyFont="1" applyBorder="1"/>
    <xf numFmtId="10" fontId="5" fillId="0" borderId="1" xfId="0" applyNumberFormat="1" applyFont="1" applyBorder="1"/>
    <xf numFmtId="43" fontId="9" fillId="0" borderId="0" xfId="5" applyFont="1" applyAlignment="1">
      <alignment horizontal="right"/>
    </xf>
    <xf numFmtId="164" fontId="5" fillId="0" borderId="1" xfId="6" applyNumberFormat="1" applyFont="1" applyBorder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5" fillId="0" borderId="0" xfId="0" applyFont="1" applyFill="1" applyBorder="1" applyAlignment="1"/>
    <xf numFmtId="43" fontId="14" fillId="0" borderId="0" xfId="1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5" fontId="25" fillId="0" borderId="7" xfId="1" quotePrefix="1" applyNumberFormat="1" applyFont="1" applyBorder="1" applyAlignment="1">
      <alignment vertical="top"/>
    </xf>
    <xf numFmtId="165" fontId="9" fillId="0" borderId="0" xfId="1" applyNumberFormat="1" applyFont="1" applyBorder="1" applyAlignment="1">
      <alignment vertical="top"/>
    </xf>
    <xf numFmtId="165" fontId="5" fillId="0" borderId="0" xfId="1" applyNumberFormat="1" applyFont="1" applyBorder="1" applyAlignment="1">
      <alignment vertical="top"/>
    </xf>
    <xf numFmtId="0" fontId="36" fillId="0" borderId="0" xfId="0" applyFont="1" applyBorder="1"/>
    <xf numFmtId="0" fontId="5" fillId="0" borderId="0" xfId="0" applyFont="1" applyBorder="1" applyAlignment="1">
      <alignment horizontal="center"/>
    </xf>
    <xf numFmtId="9" fontId="5" fillId="0" borderId="0" xfId="3" applyFont="1" applyBorder="1"/>
    <xf numFmtId="10" fontId="5" fillId="0" borderId="0" xfId="3" applyNumberFormat="1" applyFont="1"/>
    <xf numFmtId="43" fontId="5" fillId="0" borderId="0" xfId="1" applyFont="1" applyAlignment="1">
      <alignment horizontal="right"/>
    </xf>
    <xf numFmtId="43" fontId="14" fillId="0" borderId="0" xfId="1" applyFont="1" applyAlignment="1">
      <alignment horizontal="center"/>
    </xf>
    <xf numFmtId="164" fontId="5" fillId="0" borderId="0" xfId="0" applyNumberFormat="1" applyFont="1"/>
    <xf numFmtId="0" fontId="9" fillId="0" borderId="0" xfId="0" applyFont="1" applyAlignment="1">
      <alignment horizontal="right"/>
    </xf>
    <xf numFmtId="165" fontId="19" fillId="0" borderId="0" xfId="1" applyNumberFormat="1" applyFont="1"/>
    <xf numFmtId="165" fontId="37" fillId="0" borderId="0" xfId="1" applyNumberFormat="1" applyFont="1"/>
    <xf numFmtId="169" fontId="5" fillId="0" borderId="0" xfId="1" applyNumberFormat="1" applyFont="1"/>
    <xf numFmtId="165" fontId="6" fillId="0" borderId="0" xfId="1" applyNumberFormat="1" applyFont="1" applyAlignment="1">
      <alignment horizontal="center" vertical="center"/>
    </xf>
    <xf numFmtId="165" fontId="15" fillId="0" borderId="0" xfId="1" applyNumberFormat="1" applyFont="1"/>
    <xf numFmtId="165" fontId="5" fillId="0" borderId="1" xfId="1" applyNumberFormat="1" applyFont="1" applyBorder="1" applyAlignment="1">
      <alignment horizontal="center"/>
    </xf>
    <xf numFmtId="165" fontId="5" fillId="0" borderId="0" xfId="1" applyNumberFormat="1" applyFont="1" applyAlignment="1">
      <alignment horizontal="right"/>
    </xf>
    <xf numFmtId="165" fontId="5" fillId="0" borderId="0" xfId="1" applyNumberFormat="1" applyFont="1" applyFill="1"/>
    <xf numFmtId="165" fontId="5" fillId="0" borderId="1" xfId="1" applyNumberFormat="1" applyFont="1" applyFill="1" applyBorder="1"/>
    <xf numFmtId="165" fontId="9" fillId="0" borderId="0" xfId="1" applyNumberFormat="1" applyFont="1" applyAlignment="1">
      <alignment horizontal="left"/>
    </xf>
    <xf numFmtId="165" fontId="5" fillId="0" borderId="0" xfId="1" quotePrefix="1" applyNumberFormat="1" applyFont="1" applyAlignment="1">
      <alignment horizontal="center"/>
    </xf>
    <xf numFmtId="165" fontId="19" fillId="0" borderId="0" xfId="1" applyNumberFormat="1" applyFont="1" applyAlignment="1">
      <alignment horizontal="right"/>
    </xf>
    <xf numFmtId="165" fontId="7" fillId="0" borderId="0" xfId="1" applyNumberFormat="1" applyFont="1"/>
    <xf numFmtId="165" fontId="19" fillId="0" borderId="1" xfId="1" applyNumberFormat="1" applyFont="1" applyBorder="1" applyAlignment="1">
      <alignment horizontal="center"/>
    </xf>
    <xf numFmtId="0" fontId="11" fillId="0" borderId="0" xfId="0" applyFont="1" applyAlignment="1">
      <alignment horizontal="right"/>
    </xf>
    <xf numFmtId="0" fontId="5" fillId="0" borderId="1" xfId="0" applyFont="1" applyBorder="1" applyAlignment="1">
      <alignment horizontal="left"/>
    </xf>
    <xf numFmtId="165" fontId="13" fillId="0" borderId="0" xfId="5" applyNumberFormat="1" applyFont="1" applyAlignment="1">
      <alignment horizontal="right"/>
    </xf>
    <xf numFmtId="165" fontId="5" fillId="0" borderId="0" xfId="5" applyNumberFormat="1" applyFont="1" applyFill="1" applyBorder="1"/>
    <xf numFmtId="165" fontId="13" fillId="0" borderId="0" xfId="5" applyNumberFormat="1" applyFont="1" applyFill="1"/>
    <xf numFmtId="164" fontId="9" fillId="0" borderId="0" xfId="0" applyNumberFormat="1" applyFont="1" applyAlignment="1">
      <alignment horizontal="right"/>
    </xf>
    <xf numFmtId="43" fontId="5" fillId="0" borderId="1" xfId="1" applyNumberFormat="1" applyFont="1" applyBorder="1"/>
    <xf numFmtId="165" fontId="5" fillId="0" borderId="1" xfId="1" applyNumberFormat="1" applyFont="1" applyBorder="1" applyAlignment="1"/>
    <xf numFmtId="165" fontId="38" fillId="0" borderId="0" xfId="5" applyNumberFormat="1" applyFont="1" applyAlignment="1">
      <alignment vertical="center"/>
    </xf>
    <xf numFmtId="0" fontId="39" fillId="0" borderId="0" xfId="0" applyFont="1"/>
    <xf numFmtId="165" fontId="39" fillId="0" borderId="0" xfId="5" applyNumberFormat="1" applyFont="1" applyAlignment="1">
      <alignment vertical="center"/>
    </xf>
    <xf numFmtId="43" fontId="5" fillId="0" borderId="0" xfId="1" applyFont="1" applyAlignment="1">
      <alignment vertical="center"/>
    </xf>
    <xf numFmtId="165" fontId="17" fillId="0" borderId="0" xfId="1" applyNumberFormat="1" applyFont="1" applyAlignment="1">
      <alignment horizontal="right" wrapText="1"/>
    </xf>
    <xf numFmtId="165" fontId="5" fillId="0" borderId="0" xfId="1" applyNumberFormat="1" applyFont="1" applyAlignment="1">
      <alignment wrapText="1"/>
    </xf>
    <xf numFmtId="0" fontId="41" fillId="0" borderId="0" xfId="0" applyFont="1"/>
    <xf numFmtId="1" fontId="8" fillId="0" borderId="0" xfId="1" applyNumberFormat="1" applyFont="1" applyAlignment="1">
      <alignment horizontal="center"/>
    </xf>
    <xf numFmtId="1" fontId="42" fillId="0" borderId="0" xfId="1" applyNumberFormat="1" applyFont="1" applyAlignment="1">
      <alignment horizontal="center"/>
    </xf>
    <xf numFmtId="169" fontId="2" fillId="0" borderId="0" xfId="1" applyNumberFormat="1" applyFont="1"/>
    <xf numFmtId="0" fontId="5" fillId="0" borderId="0" xfId="0" applyNumberFormat="1" applyFont="1" applyBorder="1" applyAlignment="1">
      <alignment horizontal="right" vertical="center"/>
    </xf>
    <xf numFmtId="165" fontId="5" fillId="0" borderId="0" xfId="1" applyNumberFormat="1" applyFont="1" applyAlignment="1">
      <alignment horizontal="left" vertical="top"/>
    </xf>
    <xf numFmtId="165" fontId="5" fillId="0" borderId="0" xfId="0" applyNumberFormat="1" applyFont="1" applyAlignment="1">
      <alignment horizontal="left" vertical="top"/>
    </xf>
    <xf numFmtId="165" fontId="13" fillId="0" borderId="0" xfId="0" applyNumberFormat="1" applyFont="1" applyAlignment="1">
      <alignment horizontal="left" vertical="top"/>
    </xf>
    <xf numFmtId="3" fontId="26" fillId="0" borderId="0" xfId="0" applyNumberFormat="1" applyFont="1" applyBorder="1" applyAlignment="1">
      <alignment horizontal="centerContinuous" vertical="center"/>
    </xf>
    <xf numFmtId="165" fontId="10" fillId="0" borderId="0" xfId="1" applyNumberFormat="1" applyFont="1" applyBorder="1" applyAlignment="1">
      <alignment vertical="top"/>
    </xf>
    <xf numFmtId="165" fontId="9" fillId="0" borderId="0" xfId="1" applyNumberFormat="1" applyFont="1" applyBorder="1" applyAlignment="1">
      <alignment horizontal="left"/>
    </xf>
    <xf numFmtId="165" fontId="9" fillId="0" borderId="7" xfId="1" applyNumberFormat="1" applyFont="1" applyBorder="1" applyAlignment="1">
      <alignment horizontal="left"/>
    </xf>
    <xf numFmtId="165" fontId="25" fillId="0" borderId="0" xfId="1" applyNumberFormat="1" applyFont="1" applyBorder="1" applyAlignment="1">
      <alignment vertical="top"/>
    </xf>
    <xf numFmtId="165" fontId="5" fillId="2" borderId="0" xfId="1" applyNumberFormat="1" applyFont="1" applyFill="1"/>
    <xf numFmtId="165" fontId="13" fillId="2" borderId="0" xfId="1" applyNumberFormat="1" applyFont="1" applyFill="1"/>
    <xf numFmtId="165" fontId="5" fillId="2" borderId="0" xfId="0" applyNumberFormat="1" applyFont="1" applyFill="1"/>
    <xf numFmtId="171" fontId="0" fillId="0" borderId="0" xfId="1" applyNumberFormat="1" applyFont="1" applyBorder="1"/>
    <xf numFmtId="177" fontId="5" fillId="0" borderId="0" xfId="1" applyNumberFormat="1" applyFont="1"/>
    <xf numFmtId="175" fontId="5" fillId="0" borderId="0" xfId="0" applyNumberFormat="1" applyFont="1" applyBorder="1" applyAlignment="1">
      <alignment horizontal="center"/>
    </xf>
    <xf numFmtId="0" fontId="9" fillId="0" borderId="0" xfId="0" applyFont="1"/>
    <xf numFmtId="0" fontId="23" fillId="0" borderId="0" xfId="0" applyFont="1" applyAlignment="1">
      <alignment horizontal="right"/>
    </xf>
    <xf numFmtId="166" fontId="5" fillId="0" borderId="0" xfId="2" applyNumberFormat="1" applyFont="1" applyAlignment="1">
      <alignment horizontal="center"/>
    </xf>
    <xf numFmtId="165" fontId="9" fillId="2" borderId="0" xfId="1" applyNumberFormat="1" applyFont="1" applyFill="1"/>
    <xf numFmtId="165" fontId="5" fillId="2" borderId="3" xfId="1" applyNumberFormat="1" applyFont="1" applyFill="1" applyBorder="1"/>
    <xf numFmtId="165" fontId="5" fillId="2" borderId="2" xfId="1" applyNumberFormat="1" applyFont="1" applyFill="1" applyBorder="1"/>
    <xf numFmtId="165" fontId="5" fillId="2" borderId="4" xfId="1" applyNumberFormat="1" applyFont="1" applyFill="1" applyBorder="1"/>
    <xf numFmtId="9" fontId="5" fillId="2" borderId="5" xfId="3" applyFont="1" applyFill="1" applyBorder="1"/>
    <xf numFmtId="9" fontId="5" fillId="2" borderId="1" xfId="3" applyFont="1" applyFill="1" applyBorder="1"/>
    <xf numFmtId="165" fontId="5" fillId="2" borderId="6" xfId="1" applyNumberFormat="1" applyFont="1" applyFill="1" applyBorder="1"/>
    <xf numFmtId="10" fontId="5" fillId="0" borderId="0" xfId="3" applyNumberFormat="1" applyFont="1" applyAlignment="1">
      <alignment vertical="center"/>
    </xf>
    <xf numFmtId="43" fontId="40" fillId="0" borderId="5" xfId="1" applyFont="1" applyBorder="1"/>
    <xf numFmtId="164" fontId="5" fillId="0" borderId="0" xfId="2" applyNumberFormat="1" applyFont="1" applyBorder="1"/>
    <xf numFmtId="166" fontId="5" fillId="0" borderId="0" xfId="2" applyNumberFormat="1" applyFont="1" applyBorder="1"/>
    <xf numFmtId="166" fontId="5" fillId="0" borderId="8" xfId="2" applyNumberFormat="1" applyFont="1" applyBorder="1"/>
    <xf numFmtId="165" fontId="44" fillId="2" borderId="0" xfId="1" applyNumberFormat="1" applyFont="1" applyFill="1" applyAlignment="1">
      <alignment horizontal="left"/>
    </xf>
    <xf numFmtId="165" fontId="23" fillId="0" borderId="0" xfId="5" applyNumberFormat="1" applyFont="1" applyAlignment="1">
      <alignment vertical="center"/>
    </xf>
    <xf numFmtId="3" fontId="23" fillId="0" borderId="0" xfId="0" applyNumberFormat="1" applyFont="1" applyAlignment="1">
      <alignment vertical="center"/>
    </xf>
    <xf numFmtId="164" fontId="9" fillId="0" borderId="13" xfId="6" applyNumberFormat="1" applyFont="1" applyBorder="1"/>
    <xf numFmtId="165" fontId="13" fillId="0" borderId="0" xfId="5" applyNumberFormat="1" applyFont="1" applyAlignment="1">
      <alignment horizontal="left" vertical="center"/>
    </xf>
    <xf numFmtId="3" fontId="8" fillId="0" borderId="0" xfId="0" applyNumberFormat="1" applyFont="1"/>
    <xf numFmtId="165" fontId="14" fillId="0" borderId="7" xfId="5" applyNumberFormat="1" applyFont="1" applyBorder="1" applyAlignment="1">
      <alignment horizontal="center"/>
    </xf>
    <xf numFmtId="165" fontId="14" fillId="0" borderId="0" xfId="5" applyNumberFormat="1" applyFont="1" applyBorder="1" applyAlignment="1">
      <alignment horizontal="center"/>
    </xf>
    <xf numFmtId="165" fontId="14" fillId="0" borderId="8" xfId="5" applyNumberFormat="1" applyFont="1" applyBorder="1" applyAlignment="1">
      <alignment horizontal="center"/>
    </xf>
    <xf numFmtId="165" fontId="5" fillId="0" borderId="7" xfId="5" applyNumberFormat="1" applyFont="1" applyBorder="1" applyAlignment="1">
      <alignment horizontal="left"/>
    </xf>
    <xf numFmtId="164" fontId="5" fillId="0" borderId="0" xfId="2" applyNumberFormat="1" applyFont="1"/>
    <xf numFmtId="3" fontId="45" fillId="0" borderId="0" xfId="0" applyNumberFormat="1" applyFont="1" applyAlignment="1">
      <alignment vertical="center"/>
    </xf>
    <xf numFmtId="165" fontId="5" fillId="0" borderId="0" xfId="1" applyNumberFormat="1" applyFont="1" applyBorder="1" applyAlignment="1">
      <alignment horizontal="centerContinuous"/>
    </xf>
    <xf numFmtId="165" fontId="8" fillId="0" borderId="0" xfId="1" applyNumberFormat="1" applyFont="1" applyBorder="1" applyAlignment="1">
      <alignment horizontal="center"/>
    </xf>
    <xf numFmtId="165" fontId="43" fillId="0" borderId="0" xfId="1" applyNumberFormat="1" applyFont="1" applyBorder="1"/>
    <xf numFmtId="165" fontId="5" fillId="0" borderId="12" xfId="1" applyNumberFormat="1" applyFont="1" applyBorder="1"/>
    <xf numFmtId="44" fontId="18" fillId="0" borderId="0" xfId="2" applyFont="1" applyBorder="1"/>
    <xf numFmtId="0" fontId="16" fillId="0" borderId="0" xfId="0" applyFont="1" applyBorder="1"/>
    <xf numFmtId="43" fontId="5" fillId="0" borderId="0" xfId="0" applyNumberFormat="1" applyFont="1"/>
    <xf numFmtId="164" fontId="16" fillId="0" borderId="0" xfId="2" applyNumberFormat="1" applyFont="1" applyBorder="1"/>
    <xf numFmtId="3" fontId="11" fillId="0" borderId="0" xfId="0" applyNumberFormat="1" applyFont="1" applyAlignment="1">
      <alignment vertical="center"/>
    </xf>
    <xf numFmtId="165" fontId="13" fillId="0" borderId="0" xfId="1" applyNumberFormat="1" applyFont="1" applyAlignment="1">
      <alignment vertical="center"/>
    </xf>
    <xf numFmtId="165" fontId="13" fillId="0" borderId="0" xfId="5" applyNumberFormat="1" applyFont="1" applyAlignment="1">
      <alignment vertical="center"/>
    </xf>
    <xf numFmtId="3" fontId="46" fillId="0" borderId="0" xfId="0" applyNumberFormat="1" applyFont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0" fontId="5" fillId="0" borderId="1" xfId="0" applyFont="1" applyBorder="1" applyAlignment="1">
      <alignment horizontal="center"/>
    </xf>
    <xf numFmtId="43" fontId="11" fillId="2" borderId="0" xfId="1" applyFont="1" applyFill="1" applyAlignment="1">
      <alignment horizontal="center"/>
    </xf>
    <xf numFmtId="9" fontId="5" fillId="2" borderId="0" xfId="3" applyFont="1" applyFill="1"/>
    <xf numFmtId="3" fontId="18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43" fontId="13" fillId="0" borderId="0" xfId="5" applyFont="1" applyAlignment="1">
      <alignment horizontal="center"/>
    </xf>
    <xf numFmtId="165" fontId="11" fillId="0" borderId="0" xfId="1" applyNumberFormat="1" applyFont="1" applyAlignment="1">
      <alignment horizontal="center"/>
    </xf>
    <xf numFmtId="165" fontId="14" fillId="0" borderId="7" xfId="5" applyNumberFormat="1" applyFont="1" applyBorder="1" applyAlignment="1">
      <alignment horizontal="center"/>
    </xf>
    <xf numFmtId="165" fontId="14" fillId="0" borderId="0" xfId="5" applyNumberFormat="1" applyFont="1" applyBorder="1" applyAlignment="1">
      <alignment horizontal="center"/>
    </xf>
    <xf numFmtId="165" fontId="11" fillId="0" borderId="0" xfId="5" applyNumberFormat="1" applyFont="1" applyBorder="1" applyAlignment="1">
      <alignment horizontal="center"/>
    </xf>
    <xf numFmtId="165" fontId="6" fillId="0" borderId="7" xfId="5" applyNumberFormat="1" applyFont="1" applyBorder="1" applyAlignment="1">
      <alignment horizontal="center"/>
    </xf>
    <xf numFmtId="165" fontId="6" fillId="0" borderId="0" xfId="5" applyNumberFormat="1" applyFont="1" applyBorder="1" applyAlignment="1">
      <alignment horizontal="center"/>
    </xf>
    <xf numFmtId="165" fontId="6" fillId="0" borderId="8" xfId="5" applyNumberFormat="1" applyFont="1" applyBorder="1" applyAlignment="1">
      <alignment horizontal="center"/>
    </xf>
    <xf numFmtId="165" fontId="7" fillId="0" borderId="7" xfId="5" applyNumberFormat="1" applyFont="1" applyBorder="1" applyAlignment="1">
      <alignment horizontal="center"/>
    </xf>
    <xf numFmtId="165" fontId="7" fillId="0" borderId="0" xfId="5" applyNumberFormat="1" applyFont="1" applyBorder="1" applyAlignment="1">
      <alignment horizontal="center"/>
    </xf>
    <xf numFmtId="165" fontId="7" fillId="0" borderId="8" xfId="5" applyNumberFormat="1" applyFont="1" applyBorder="1" applyAlignment="1">
      <alignment horizontal="center"/>
    </xf>
    <xf numFmtId="3" fontId="6" fillId="0" borderId="7" xfId="4" applyNumberFormat="1" applyFont="1" applyBorder="1" applyAlignment="1">
      <alignment horizontal="center" vertical="center"/>
    </xf>
    <xf numFmtId="3" fontId="6" fillId="0" borderId="0" xfId="4" applyNumberFormat="1" applyFont="1" applyBorder="1" applyAlignment="1">
      <alignment horizontal="center" vertical="center"/>
    </xf>
    <xf numFmtId="3" fontId="6" fillId="0" borderId="8" xfId="4" applyNumberFormat="1" applyFont="1" applyBorder="1" applyAlignment="1">
      <alignment horizontal="center" vertical="center"/>
    </xf>
    <xf numFmtId="165" fontId="16" fillId="0" borderId="7" xfId="5" applyNumberFormat="1" applyFont="1" applyBorder="1" applyAlignment="1">
      <alignment horizontal="center"/>
    </xf>
    <xf numFmtId="165" fontId="16" fillId="0" borderId="0" xfId="5" applyNumberFormat="1" applyFont="1" applyBorder="1" applyAlignment="1">
      <alignment horizontal="center"/>
    </xf>
    <xf numFmtId="165" fontId="16" fillId="0" borderId="8" xfId="5" applyNumberFormat="1" applyFont="1" applyBorder="1" applyAlignment="1">
      <alignment horizontal="center"/>
    </xf>
    <xf numFmtId="165" fontId="14" fillId="0" borderId="8" xfId="5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165" fontId="18" fillId="0" borderId="0" xfId="1" applyNumberFormat="1" applyFont="1" applyAlignment="1">
      <alignment horizontal="center" vertical="center"/>
    </xf>
    <xf numFmtId="3" fontId="29" fillId="0" borderId="2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165" fontId="18" fillId="0" borderId="7" xfId="1" applyNumberFormat="1" applyFont="1" applyBorder="1" applyAlignment="1">
      <alignment horizontal="center" vertical="center"/>
    </xf>
    <xf numFmtId="165" fontId="18" fillId="0" borderId="0" xfId="1" applyNumberFormat="1" applyFont="1" applyBorder="1" applyAlignment="1">
      <alignment horizontal="center" vertical="center"/>
    </xf>
    <xf numFmtId="165" fontId="18" fillId="0" borderId="8" xfId="1" applyNumberFormat="1" applyFont="1" applyBorder="1" applyAlignment="1">
      <alignment horizontal="center" vertical="center"/>
    </xf>
    <xf numFmtId="165" fontId="6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 vertical="center"/>
    </xf>
    <xf numFmtId="164" fontId="5" fillId="0" borderId="0" xfId="2" applyNumberFormat="1" applyFont="1" applyAlignment="1">
      <alignment vertical="center"/>
    </xf>
    <xf numFmtId="165" fontId="13" fillId="0" borderId="0" xfId="5" applyNumberFormat="1" applyFont="1" applyAlignment="1">
      <alignment horizontal="center" vertical="center"/>
    </xf>
  </cellXfs>
  <cellStyles count="8">
    <cellStyle name="Comma" xfId="1" builtinId="3"/>
    <cellStyle name="Comma 2" xfId="5" xr:uid="{00000000-0005-0000-0000-000001000000}"/>
    <cellStyle name="Currency" xfId="2" builtinId="4"/>
    <cellStyle name="Currency 2" xfId="6" xr:uid="{00000000-0005-0000-0000-000003000000}"/>
    <cellStyle name="Normal" xfId="0" builtinId="0"/>
    <cellStyle name="Normal 2" xfId="4" xr:uid="{00000000-0005-0000-0000-000005000000}"/>
    <cellStyle name="Percent" xfId="3" builtinId="5"/>
    <cellStyle name="Percent 2" xfId="7" xr:uid="{00000000-0005-0000-0000-000007000000}"/>
  </cellStyles>
  <dxfs count="0"/>
  <tableStyles count="0" defaultTableStyle="TableStyleMedium9" defaultPivotStyle="PivotStyleLight16"/>
  <colors>
    <mruColors>
      <color rgb="FFFFFFCC"/>
      <color rgb="FFA0FE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I114"/>
  <sheetViews>
    <sheetView tabSelected="1" topLeftCell="A8" workbookViewId="0">
      <selection activeCell="L34" sqref="L34"/>
    </sheetView>
  </sheetViews>
  <sheetFormatPr defaultColWidth="8.76953125" defaultRowHeight="15.6" x14ac:dyDescent="0.6"/>
  <cols>
    <col min="1" max="1" width="1.54296875" style="34" customWidth="1"/>
    <col min="2" max="2" width="2.31640625" style="34" customWidth="1"/>
    <col min="3" max="3" width="26" style="34" customWidth="1"/>
    <col min="4" max="4" width="12.08984375" style="34" customWidth="1"/>
    <col min="5" max="5" width="11.08984375" style="34" customWidth="1"/>
    <col min="6" max="6" width="4.76953125" style="34" customWidth="1"/>
    <col min="7" max="7" width="10.453125" style="34" customWidth="1"/>
    <col min="8" max="8" width="9.6796875" style="34" customWidth="1"/>
    <col min="9" max="10" width="11.31640625" style="34" customWidth="1"/>
    <col min="11" max="11" width="9.36328125" style="34" customWidth="1"/>
    <col min="12" max="12" width="10.6796875" style="34" customWidth="1"/>
    <col min="13" max="16384" width="8.76953125" style="34"/>
  </cols>
  <sheetData>
    <row r="1" spans="1:61" ht="18.3" x14ac:dyDescent="0.6">
      <c r="A1" s="45" t="s">
        <v>99</v>
      </c>
      <c r="B1" s="46"/>
      <c r="C1" s="46"/>
      <c r="D1" s="46"/>
      <c r="E1" s="46"/>
      <c r="F1" s="46"/>
      <c r="G1" s="46"/>
      <c r="H1" s="48"/>
      <c r="I1" s="48"/>
      <c r="J1" s="48"/>
      <c r="K1" s="4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8.3" x14ac:dyDescent="0.6">
      <c r="A2" s="136" t="s">
        <v>171</v>
      </c>
      <c r="B2" s="47"/>
      <c r="C2" s="46"/>
      <c r="D2" s="46"/>
      <c r="E2" s="46"/>
      <c r="F2" s="46"/>
      <c r="G2" s="46"/>
      <c r="H2" s="48"/>
      <c r="I2" s="48"/>
      <c r="J2" s="48"/>
      <c r="K2" s="4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0" customHeight="1" x14ac:dyDescent="0.7">
      <c r="A3" s="106"/>
      <c r="B3" s="47"/>
      <c r="C3" s="46"/>
      <c r="D3" s="46"/>
      <c r="E3" s="46"/>
      <c r="F3" s="46"/>
      <c r="G3" s="46"/>
      <c r="H3" s="48"/>
      <c r="I3" s="48"/>
      <c r="J3" s="48"/>
      <c r="K3" s="4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x14ac:dyDescent="0.6">
      <c r="A4" s="48"/>
      <c r="B4" s="48"/>
      <c r="C4" s="48"/>
      <c r="D4" s="49" t="s">
        <v>412</v>
      </c>
      <c r="E4" s="49" t="s">
        <v>100</v>
      </c>
      <c r="F4" s="49" t="s">
        <v>101</v>
      </c>
      <c r="G4" s="49" t="s">
        <v>102</v>
      </c>
      <c r="H4" s="40"/>
      <c r="I4" s="40"/>
      <c r="J4" s="40"/>
      <c r="K4" s="40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x14ac:dyDescent="0.6">
      <c r="A5" s="397" t="s">
        <v>28</v>
      </c>
      <c r="B5" s="48"/>
      <c r="C5" s="48"/>
      <c r="D5" s="48"/>
      <c r="E5" s="48"/>
      <c r="F5" s="48"/>
      <c r="G5" s="48"/>
      <c r="H5" s="337"/>
      <c r="I5" s="40"/>
      <c r="J5" s="40"/>
      <c r="K5" s="40"/>
      <c r="L5" s="19"/>
      <c r="M5" s="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 ht="15" customHeight="1" x14ac:dyDescent="0.6">
      <c r="A6" s="48"/>
      <c r="B6" s="48" t="s">
        <v>127</v>
      </c>
      <c r="C6" s="48"/>
      <c r="D6" s="50">
        <v>3452066</v>
      </c>
      <c r="E6" s="50">
        <f>-E9</f>
        <v>-49118</v>
      </c>
      <c r="F6" s="221" t="s">
        <v>389</v>
      </c>
      <c r="G6" s="226"/>
      <c r="H6" s="53" t="s">
        <v>333</v>
      </c>
      <c r="I6" s="40"/>
      <c r="J6" s="1"/>
      <c r="K6" s="40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ht="15" customHeight="1" x14ac:dyDescent="0.6">
      <c r="A7" s="48"/>
      <c r="B7" s="48"/>
      <c r="C7" s="48"/>
      <c r="D7" s="135"/>
      <c r="E7" s="135">
        <f>L10</f>
        <v>314232.92699999921</v>
      </c>
      <c r="F7" s="221" t="s">
        <v>390</v>
      </c>
      <c r="G7" s="40">
        <f>SUM(D6:E7)</f>
        <v>3717180.9269999992</v>
      </c>
      <c r="H7" s="53" t="s">
        <v>183</v>
      </c>
      <c r="I7" s="40"/>
      <c r="J7" s="1"/>
      <c r="K7" s="40"/>
      <c r="L7" s="19">
        <f>ExBA!H12</f>
        <v>3717180.9269999992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 ht="15" customHeight="1" x14ac:dyDescent="0.6">
      <c r="A8" s="48"/>
      <c r="B8" s="48" t="s">
        <v>356</v>
      </c>
      <c r="C8" s="48"/>
      <c r="D8" s="135">
        <v>103960</v>
      </c>
      <c r="E8" s="54">
        <f>G8-D8</f>
        <v>13858</v>
      </c>
      <c r="F8" s="221" t="s">
        <v>391</v>
      </c>
      <c r="G8" s="40">
        <f>Resale!C24</f>
        <v>117818</v>
      </c>
      <c r="H8" s="53" t="s">
        <v>180</v>
      </c>
      <c r="I8" s="40"/>
      <c r="J8" s="40"/>
      <c r="K8" s="40"/>
      <c r="L8" s="19">
        <f>-D6</f>
        <v>-3452066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1:61" ht="15" customHeight="1" x14ac:dyDescent="0.6">
      <c r="A9" s="48"/>
      <c r="B9" s="48" t="s">
        <v>332</v>
      </c>
      <c r="C9" s="48"/>
      <c r="E9" s="135">
        <v>49118</v>
      </c>
      <c r="F9" s="221" t="s">
        <v>389</v>
      </c>
      <c r="H9" s="53" t="s">
        <v>358</v>
      </c>
      <c r="I9" s="40"/>
      <c r="J9" s="40"/>
      <c r="K9" s="40"/>
      <c r="L9" s="19">
        <f>-E6</f>
        <v>49118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</row>
    <row r="10" spans="1:61" ht="15" customHeight="1" x14ac:dyDescent="0.6">
      <c r="A10" s="48"/>
      <c r="B10" s="48"/>
      <c r="C10" s="48"/>
      <c r="D10" s="135"/>
      <c r="E10" s="54">
        <f>G10-E9</f>
        <v>6334</v>
      </c>
      <c r="F10" s="221" t="s">
        <v>391</v>
      </c>
      <c r="G10" s="40">
        <v>55452</v>
      </c>
      <c r="H10" s="53" t="s">
        <v>180</v>
      </c>
      <c r="I10" s="40"/>
      <c r="J10" s="40">
        <f>G8+G10</f>
        <v>173270</v>
      </c>
      <c r="K10" s="372">
        <f>J10/G15</f>
        <v>4.1747371676300944E-2</v>
      </c>
      <c r="L10" s="19">
        <f>SUM(L7:L9)</f>
        <v>314232.92699999921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</row>
    <row r="11" spans="1:61" ht="15" customHeight="1" x14ac:dyDescent="0.6">
      <c r="A11" s="48"/>
      <c r="B11" s="48" t="s">
        <v>29</v>
      </c>
      <c r="C11" s="48"/>
      <c r="D11" s="135"/>
      <c r="E11" s="54"/>
      <c r="F11" s="221"/>
      <c r="G11" s="40">
        <f t="shared" ref="G11" si="0">D11+E11</f>
        <v>0</v>
      </c>
      <c r="H11" s="339"/>
      <c r="I11" s="40"/>
      <c r="J11" s="399">
        <v>137653</v>
      </c>
      <c r="K11" s="40"/>
      <c r="L11" s="1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</row>
    <row r="12" spans="1:61" ht="15" customHeight="1" x14ac:dyDescent="0.6">
      <c r="A12" s="48"/>
      <c r="B12" s="48"/>
      <c r="C12" s="48" t="s">
        <v>126</v>
      </c>
      <c r="D12" s="135">
        <v>63230</v>
      </c>
      <c r="E12" s="54"/>
      <c r="F12" s="221"/>
      <c r="G12" s="40">
        <f>D12+E12</f>
        <v>63230</v>
      </c>
      <c r="H12" s="53"/>
      <c r="I12" s="40"/>
      <c r="J12" s="40">
        <f>J10-J11</f>
        <v>35617</v>
      </c>
      <c r="K12" s="40"/>
      <c r="L12" s="19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</row>
    <row r="13" spans="1:61" ht="15" customHeight="1" x14ac:dyDescent="0.6">
      <c r="A13" s="48"/>
      <c r="B13" s="48"/>
      <c r="C13" s="48" t="s">
        <v>30</v>
      </c>
      <c r="D13" s="135">
        <v>61108</v>
      </c>
      <c r="E13" s="54"/>
      <c r="F13" s="221"/>
      <c r="G13" s="40">
        <f>D13+E13</f>
        <v>61108</v>
      </c>
      <c r="H13" s="53"/>
      <c r="I13" s="40"/>
      <c r="J13" s="40"/>
      <c r="K13" s="40"/>
      <c r="L13" s="1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</row>
    <row r="14" spans="1:61" ht="15" customHeight="1" x14ac:dyDescent="0.6">
      <c r="A14" s="48"/>
      <c r="B14" s="48"/>
      <c r="C14" s="48" t="s">
        <v>197</v>
      </c>
      <c r="D14" s="135">
        <v>135652</v>
      </c>
      <c r="E14" s="54"/>
      <c r="F14" s="221"/>
      <c r="G14" s="40">
        <f>D14+E14</f>
        <v>135652</v>
      </c>
      <c r="H14" s="53" t="s">
        <v>334</v>
      </c>
      <c r="I14" s="40"/>
      <c r="J14" s="40"/>
      <c r="K14" s="40"/>
      <c r="L14" s="19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</row>
    <row r="15" spans="1:61" ht="15" customHeight="1" x14ac:dyDescent="0.6">
      <c r="A15" s="55" t="s">
        <v>31</v>
      </c>
      <c r="B15" s="48"/>
      <c r="C15" s="48"/>
      <c r="D15" s="50">
        <f>SUM(D6:D14)</f>
        <v>3816016</v>
      </c>
      <c r="E15" s="50"/>
      <c r="F15" s="221"/>
      <c r="G15" s="50">
        <f>SUM(G6:G14)</f>
        <v>4150440.9269999992</v>
      </c>
      <c r="H15" s="339"/>
      <c r="I15" s="1"/>
      <c r="J15" s="40"/>
      <c r="K15" s="40"/>
      <c r="L15" s="19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</row>
    <row r="16" spans="1:61" ht="7" customHeight="1" x14ac:dyDescent="0.6">
      <c r="A16" s="48"/>
      <c r="B16" s="48"/>
      <c r="C16" s="48"/>
      <c r="D16" s="54"/>
      <c r="E16" s="48"/>
      <c r="F16" s="221"/>
      <c r="G16" s="54"/>
      <c r="H16" s="339"/>
      <c r="I16" s="40"/>
      <c r="J16" s="40"/>
      <c r="K16" s="40"/>
      <c r="L16" s="1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</row>
    <row r="17" spans="1:61" ht="15" customHeight="1" x14ac:dyDescent="0.6">
      <c r="A17" s="397" t="s">
        <v>32</v>
      </c>
      <c r="B17" s="48"/>
      <c r="C17" s="48"/>
      <c r="D17" s="54"/>
      <c r="E17" s="48"/>
      <c r="F17" s="221"/>
      <c r="G17" s="54"/>
      <c r="H17" s="339"/>
      <c r="I17" s="40"/>
      <c r="J17" s="40"/>
      <c r="K17" s="40"/>
      <c r="L17" s="19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</row>
    <row r="18" spans="1:61" ht="15" customHeight="1" x14ac:dyDescent="0.6">
      <c r="A18" s="48"/>
      <c r="B18" s="48" t="s">
        <v>103</v>
      </c>
      <c r="C18" s="48"/>
      <c r="D18" s="135"/>
      <c r="E18" s="48"/>
      <c r="F18" s="221"/>
      <c r="G18" s="54"/>
      <c r="H18" s="339"/>
      <c r="I18" s="40"/>
      <c r="J18" s="40"/>
      <c r="K18" s="40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1" ht="15" customHeight="1" x14ac:dyDescent="0.6">
      <c r="A19" s="48"/>
      <c r="B19" s="48"/>
      <c r="C19" s="48" t="s">
        <v>2</v>
      </c>
      <c r="D19" s="135">
        <v>773569</v>
      </c>
      <c r="E19" s="40">
        <f>-Adj!V11</f>
        <v>-7335</v>
      </c>
      <c r="F19" s="221" t="s">
        <v>392</v>
      </c>
      <c r="G19" s="40"/>
      <c r="H19" s="53" t="s">
        <v>237</v>
      </c>
      <c r="I19" s="40"/>
      <c r="J19" s="40"/>
      <c r="K19" s="40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</row>
    <row r="20" spans="1:61" ht="15" customHeight="1" x14ac:dyDescent="0.6">
      <c r="A20" s="48"/>
      <c r="B20" s="48"/>
      <c r="C20" s="48"/>
      <c r="D20" s="135"/>
      <c r="E20" s="40">
        <f>Adj!P28</f>
        <v>-79095.632499999949</v>
      </c>
      <c r="F20" s="221" t="s">
        <v>393</v>
      </c>
      <c r="G20" s="40">
        <f>+D19+E19+E20</f>
        <v>687138.36750000005</v>
      </c>
      <c r="H20" s="53" t="s">
        <v>291</v>
      </c>
      <c r="I20" s="40"/>
      <c r="J20" s="40"/>
      <c r="K20" s="4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</row>
    <row r="21" spans="1:61" ht="15" customHeight="1" x14ac:dyDescent="0.6">
      <c r="A21" s="48"/>
      <c r="B21" s="48"/>
      <c r="C21" s="48" t="s">
        <v>3</v>
      </c>
      <c r="D21" s="135">
        <v>18000</v>
      </c>
      <c r="E21" s="40"/>
      <c r="F21" s="221"/>
      <c r="G21" s="40">
        <f t="shared" ref="G21:G38" si="1">D21+E21</f>
        <v>18000</v>
      </c>
      <c r="H21" s="53"/>
      <c r="I21" s="6"/>
      <c r="J21" s="6"/>
      <c r="K21" s="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</row>
    <row r="22" spans="1:61" ht="15" customHeight="1" x14ac:dyDescent="0.6">
      <c r="A22" s="48"/>
      <c r="B22" s="48"/>
      <c r="C22" s="48" t="s">
        <v>4</v>
      </c>
      <c r="D22" s="135">
        <v>748568</v>
      </c>
      <c r="E22" s="40">
        <f>Adj!P46</f>
        <v>-228764.00245874998</v>
      </c>
      <c r="F22" s="221" t="s">
        <v>395</v>
      </c>
      <c r="G22" s="40"/>
      <c r="H22" s="53" t="s">
        <v>331</v>
      </c>
      <c r="I22" s="40"/>
      <c r="J22" s="40"/>
      <c r="K22" s="40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</row>
    <row r="23" spans="1:61" ht="15" customHeight="1" x14ac:dyDescent="0.6">
      <c r="A23" s="48"/>
      <c r="B23" s="48"/>
      <c r="C23" s="48"/>
      <c r="D23" s="135"/>
      <c r="E23" s="40">
        <f>Adj!F45</f>
        <v>-54231.88599999994</v>
      </c>
      <c r="F23" s="221" t="s">
        <v>396</v>
      </c>
      <c r="G23" s="40">
        <f>+D22+E22+E23</f>
        <v>465572.11154125008</v>
      </c>
      <c r="H23" s="53" t="s">
        <v>192</v>
      </c>
      <c r="I23" s="1"/>
      <c r="J23" s="40"/>
      <c r="K23" s="40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</row>
    <row r="24" spans="1:61" ht="15" customHeight="1" x14ac:dyDescent="0.6">
      <c r="A24" s="48"/>
      <c r="B24" s="48"/>
      <c r="C24" s="48" t="s">
        <v>198</v>
      </c>
      <c r="D24" s="135">
        <v>1155507</v>
      </c>
      <c r="E24" s="40">
        <f>Adj!E25</f>
        <v>259026.10000000009</v>
      </c>
      <c r="F24" s="221" t="s">
        <v>403</v>
      </c>
      <c r="G24" s="40"/>
      <c r="H24" s="53" t="s">
        <v>355</v>
      </c>
      <c r="I24" s="40"/>
      <c r="J24" s="40"/>
      <c r="K24" s="4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</row>
    <row r="25" spans="1:61" ht="15" customHeight="1" x14ac:dyDescent="0.6">
      <c r="A25" s="48"/>
      <c r="B25" s="48"/>
      <c r="C25" s="48"/>
      <c r="D25" s="135"/>
      <c r="E25" s="40">
        <f>-(D24+E24)*Adj!E17</f>
        <v>-42048.894604742149</v>
      </c>
      <c r="F25" s="221" t="s">
        <v>404</v>
      </c>
      <c r="G25" s="40">
        <f>SUM(D24:E25)</f>
        <v>1372484.205395258</v>
      </c>
      <c r="H25" s="214" t="s">
        <v>193</v>
      </c>
      <c r="I25" s="40"/>
      <c r="J25" s="40"/>
      <c r="K25" s="40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</row>
    <row r="26" spans="1:61" ht="15" customHeight="1" x14ac:dyDescent="0.6">
      <c r="A26" s="48"/>
      <c r="B26" s="48"/>
      <c r="C26" s="48" t="s">
        <v>5</v>
      </c>
      <c r="D26" s="135">
        <v>103733</v>
      </c>
      <c r="E26" s="40">
        <f>-D26*Adj!$E$17</f>
        <v>-3083.6026276329039</v>
      </c>
      <c r="F26" s="221" t="s">
        <v>404</v>
      </c>
      <c r="G26" s="40">
        <f t="shared" si="1"/>
        <v>100649.39737236709</v>
      </c>
      <c r="H26" s="214" t="s">
        <v>193</v>
      </c>
      <c r="I26" s="40"/>
      <c r="J26" s="40"/>
      <c r="K26" s="40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</row>
    <row r="27" spans="1:61" ht="15" customHeight="1" x14ac:dyDescent="0.6">
      <c r="A27" s="48"/>
      <c r="B27" s="48"/>
      <c r="C27" s="48" t="s">
        <v>42</v>
      </c>
      <c r="D27" s="135">
        <v>4443</v>
      </c>
      <c r="E27" s="40"/>
      <c r="F27" s="221"/>
      <c r="G27" s="40">
        <f t="shared" si="1"/>
        <v>4443</v>
      </c>
      <c r="H27" s="338"/>
      <c r="I27" s="40"/>
      <c r="J27" s="40"/>
      <c r="K27" s="40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</row>
    <row r="28" spans="1:61" ht="15" customHeight="1" x14ac:dyDescent="0.6">
      <c r="A28" s="48"/>
      <c r="B28" s="48"/>
      <c r="C28" s="48" t="s">
        <v>6</v>
      </c>
      <c r="D28" s="135">
        <v>233728</v>
      </c>
      <c r="E28" s="40">
        <f>-Adj!V12</f>
        <v>-17115</v>
      </c>
      <c r="F28" s="221" t="s">
        <v>392</v>
      </c>
      <c r="G28" s="40">
        <f t="shared" si="1"/>
        <v>216613</v>
      </c>
      <c r="H28" s="53" t="s">
        <v>237</v>
      </c>
      <c r="I28" s="40"/>
      <c r="J28" s="40"/>
      <c r="K28" s="40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  <row r="29" spans="1:61" ht="15" customHeight="1" x14ac:dyDescent="0.6">
      <c r="A29" s="48"/>
      <c r="B29" s="48"/>
      <c r="C29" s="48" t="s">
        <v>199</v>
      </c>
      <c r="D29" s="135">
        <v>20142</v>
      </c>
      <c r="E29" s="40"/>
      <c r="F29" s="221"/>
      <c r="G29" s="40">
        <f t="shared" si="1"/>
        <v>20142</v>
      </c>
      <c r="H29" s="53"/>
      <c r="I29" s="40"/>
      <c r="J29" s="40"/>
      <c r="K29" s="436" t="s">
        <v>423</v>
      </c>
      <c r="L29" s="436"/>
      <c r="M29" s="436"/>
      <c r="N29" s="436"/>
      <c r="O29" s="436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</row>
    <row r="30" spans="1:61" ht="15" customHeight="1" x14ac:dyDescent="0.6">
      <c r="A30" s="48"/>
      <c r="B30" s="48"/>
      <c r="C30" s="48" t="s">
        <v>413</v>
      </c>
      <c r="D30" s="135">
        <f>22166+29256+900</f>
        <v>52322</v>
      </c>
      <c r="E30" s="40"/>
      <c r="F30" s="221"/>
      <c r="G30" s="40">
        <f t="shared" si="1"/>
        <v>52322</v>
      </c>
      <c r="H30" s="53"/>
      <c r="I30" s="40"/>
      <c r="J30" s="40"/>
      <c r="K30" s="435">
        <f>Adj!H35</f>
        <v>115889.91600000003</v>
      </c>
      <c r="L30" s="1" t="s">
        <v>420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</row>
    <row r="31" spans="1:61" ht="15" customHeight="1" x14ac:dyDescent="0.6">
      <c r="A31" s="48"/>
      <c r="B31" s="48"/>
      <c r="C31" s="48" t="s">
        <v>200</v>
      </c>
      <c r="D31" s="135">
        <v>12218</v>
      </c>
      <c r="E31" s="40"/>
      <c r="F31" s="221"/>
      <c r="G31" s="40">
        <f t="shared" si="1"/>
        <v>12218</v>
      </c>
      <c r="H31" s="53"/>
      <c r="I31" s="40"/>
      <c r="J31" s="40"/>
      <c r="K31" s="135">
        <f>-E25</f>
        <v>42048.894604742149</v>
      </c>
      <c r="L31" s="1" t="s">
        <v>421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</row>
    <row r="32" spans="1:61" ht="15" customHeight="1" x14ac:dyDescent="0.6">
      <c r="A32" s="48"/>
      <c r="B32" s="48"/>
      <c r="C32" s="48" t="s">
        <v>201</v>
      </c>
      <c r="D32" s="135">
        <v>482</v>
      </c>
      <c r="E32" s="40"/>
      <c r="F32" s="221"/>
      <c r="G32" s="40">
        <f t="shared" si="1"/>
        <v>482</v>
      </c>
      <c r="H32" s="53"/>
      <c r="I32" s="40"/>
      <c r="J32" s="40"/>
      <c r="K32" s="398">
        <f>-E26</f>
        <v>3083.6026276329039</v>
      </c>
      <c r="L32" s="1" t="s">
        <v>422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</row>
    <row r="33" spans="1:61" ht="15" customHeight="1" x14ac:dyDescent="0.6">
      <c r="A33" s="48"/>
      <c r="B33" s="48"/>
      <c r="C33" s="48" t="s">
        <v>8</v>
      </c>
      <c r="D33" s="135">
        <v>55627</v>
      </c>
      <c r="E33" s="40"/>
      <c r="F33" s="221"/>
      <c r="G33" s="40">
        <f t="shared" si="1"/>
        <v>55627</v>
      </c>
      <c r="H33" s="339"/>
      <c r="I33" s="40"/>
      <c r="J33" s="40"/>
      <c r="K33" s="435">
        <f>SUM(K30:K32)</f>
        <v>161022.41323237508</v>
      </c>
      <c r="L33" s="1" t="s">
        <v>424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</row>
    <row r="34" spans="1:61" ht="15" customHeight="1" x14ac:dyDescent="0.6">
      <c r="A34" s="48"/>
      <c r="B34" s="48"/>
      <c r="C34" s="48" t="s">
        <v>202</v>
      </c>
      <c r="D34" s="135">
        <v>17571</v>
      </c>
      <c r="E34" s="40"/>
      <c r="F34" s="221"/>
      <c r="G34" s="40">
        <f t="shared" si="1"/>
        <v>17571</v>
      </c>
      <c r="H34" s="339"/>
      <c r="I34" s="40"/>
      <c r="J34" s="40"/>
      <c r="K34" s="40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</row>
    <row r="35" spans="1:61" ht="15" customHeight="1" x14ac:dyDescent="0.6">
      <c r="A35" s="48"/>
      <c r="B35" s="48"/>
      <c r="C35" s="48" t="s">
        <v>203</v>
      </c>
      <c r="D35" s="135">
        <v>48589</v>
      </c>
      <c r="E35" s="40"/>
      <c r="F35" s="221"/>
      <c r="G35" s="40">
        <f t="shared" si="1"/>
        <v>48589</v>
      </c>
      <c r="H35" s="339"/>
      <c r="I35" s="40"/>
      <c r="J35" s="40"/>
      <c r="K35" s="40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</row>
    <row r="36" spans="1:61" ht="15" customHeight="1" x14ac:dyDescent="0.6">
      <c r="A36" s="48"/>
      <c r="B36" s="48"/>
      <c r="C36" s="48" t="s">
        <v>172</v>
      </c>
      <c r="D36" s="135">
        <v>2625</v>
      </c>
      <c r="E36" s="40"/>
      <c r="F36" s="221"/>
      <c r="G36" s="40">
        <f t="shared" si="1"/>
        <v>2625</v>
      </c>
      <c r="H36" s="339"/>
      <c r="I36" s="40"/>
      <c r="J36" s="40"/>
      <c r="K36" s="40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</row>
    <row r="37" spans="1:61" ht="15" customHeight="1" x14ac:dyDescent="0.6">
      <c r="A37" s="48"/>
      <c r="B37" s="48"/>
      <c r="C37" s="48" t="s">
        <v>173</v>
      </c>
      <c r="D37" s="135">
        <v>15555</v>
      </c>
      <c r="E37" s="40"/>
      <c r="F37" s="221"/>
      <c r="G37" s="40">
        <f t="shared" si="1"/>
        <v>15555</v>
      </c>
      <c r="H37" s="339"/>
      <c r="I37" s="40"/>
      <c r="J37" s="40"/>
      <c r="K37" s="40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</row>
    <row r="38" spans="1:61" ht="15" customHeight="1" x14ac:dyDescent="0.6">
      <c r="A38" s="48"/>
      <c r="B38" s="48"/>
      <c r="C38" s="48" t="s">
        <v>7</v>
      </c>
      <c r="D38" s="398">
        <v>144331</v>
      </c>
      <c r="E38" s="399"/>
      <c r="F38" s="400"/>
      <c r="G38" s="399">
        <f t="shared" si="1"/>
        <v>144331</v>
      </c>
      <c r="H38" s="339"/>
      <c r="I38" s="40"/>
      <c r="J38" s="40"/>
      <c r="K38" s="40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</row>
    <row r="39" spans="1:61" ht="15" customHeight="1" x14ac:dyDescent="0.6">
      <c r="A39" s="48"/>
      <c r="B39" s="48" t="s">
        <v>104</v>
      </c>
      <c r="C39" s="48"/>
      <c r="D39" s="135">
        <f>SUM(D19:D38)</f>
        <v>3407010</v>
      </c>
      <c r="E39" s="54"/>
      <c r="F39" s="221"/>
      <c r="G39" s="54">
        <f>SUM(G19:G38)</f>
        <v>3234362.0818088753</v>
      </c>
      <c r="H39" s="339"/>
      <c r="I39" s="40"/>
      <c r="J39" s="40"/>
      <c r="K39" s="40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</row>
    <row r="40" spans="1:61" ht="15" customHeight="1" x14ac:dyDescent="0.6">
      <c r="A40" s="48"/>
      <c r="B40" s="48" t="s">
        <v>33</v>
      </c>
      <c r="C40" s="48"/>
      <c r="D40" s="135">
        <v>505323</v>
      </c>
      <c r="E40" s="40">
        <f>Depr!I37</f>
        <v>-95865.175365079369</v>
      </c>
      <c r="F40" s="221" t="s">
        <v>405</v>
      </c>
      <c r="G40" s="54">
        <f>D40+E40</f>
        <v>409457.82463492063</v>
      </c>
      <c r="H40" s="53" t="s">
        <v>194</v>
      </c>
      <c r="I40" s="40"/>
      <c r="J40" s="40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</row>
    <row r="41" spans="1:61" ht="15" customHeight="1" x14ac:dyDescent="0.6">
      <c r="A41" s="48"/>
      <c r="B41" s="48" t="s">
        <v>1</v>
      </c>
      <c r="C41" s="48"/>
      <c r="D41" s="401">
        <v>70222</v>
      </c>
      <c r="E41" s="40">
        <f>Adj!P34</f>
        <v>-8417.0673862499971</v>
      </c>
      <c r="F41" s="221" t="s">
        <v>393</v>
      </c>
      <c r="G41" s="399">
        <f>D41+E41</f>
        <v>61804.932613750003</v>
      </c>
      <c r="H41" s="53" t="s">
        <v>291</v>
      </c>
      <c r="I41" s="40"/>
      <c r="J41" s="40"/>
      <c r="K41" s="40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</row>
    <row r="42" spans="1:61" ht="15" customHeight="1" x14ac:dyDescent="0.6">
      <c r="A42" s="55" t="s">
        <v>0</v>
      </c>
      <c r="B42" s="48"/>
      <c r="C42" s="48"/>
      <c r="D42" s="50">
        <f>SUM(D39:D41)</f>
        <v>3982555</v>
      </c>
      <c r="E42" s="50"/>
      <c r="F42" s="221"/>
      <c r="G42" s="50">
        <f>SUM(G39:G41)</f>
        <v>3705624.8390575461</v>
      </c>
      <c r="H42" s="40"/>
      <c r="I42" s="40"/>
      <c r="J42" s="40"/>
      <c r="K42" s="40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</row>
    <row r="43" spans="1:61" ht="15" customHeight="1" x14ac:dyDescent="0.6">
      <c r="A43" s="55"/>
      <c r="B43" s="48" t="s">
        <v>205</v>
      </c>
      <c r="C43" s="48"/>
      <c r="D43" s="54">
        <v>29225</v>
      </c>
      <c r="E43" s="48"/>
      <c r="F43" s="51"/>
      <c r="G43" s="54">
        <f>D43</f>
        <v>29225</v>
      </c>
      <c r="H43" s="40"/>
      <c r="I43" s="40"/>
      <c r="J43" s="40"/>
      <c r="K43" s="40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</row>
    <row r="44" spans="1:61" ht="15" customHeight="1" x14ac:dyDescent="0.6">
      <c r="A44" s="55" t="s">
        <v>34</v>
      </c>
      <c r="B44" s="48"/>
      <c r="C44" s="48"/>
      <c r="D44" s="50">
        <f>D15-D42+D43</f>
        <v>-137314</v>
      </c>
      <c r="E44" s="50"/>
      <c r="F44" s="51"/>
      <c r="G44" s="50">
        <f>G15-G42+G43</f>
        <v>474041.0879424531</v>
      </c>
      <c r="H44" s="40"/>
      <c r="I44" s="40"/>
      <c r="J44" s="1"/>
      <c r="K44" s="40"/>
      <c r="L44" s="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</row>
    <row r="45" spans="1:61" ht="10" customHeight="1" x14ac:dyDescent="0.6">
      <c r="A45" s="48"/>
      <c r="B45" s="48"/>
      <c r="C45" s="48"/>
      <c r="D45" s="54"/>
      <c r="E45" s="48"/>
      <c r="F45" s="51"/>
      <c r="G45" s="54"/>
      <c r="H45" s="40"/>
      <c r="I45" s="40"/>
      <c r="J45" s="40"/>
      <c r="K45" s="40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</row>
    <row r="46" spans="1:61" ht="15" customHeight="1" x14ac:dyDescent="0.6">
      <c r="A46" s="405" t="s">
        <v>35</v>
      </c>
      <c r="B46" s="405"/>
      <c r="C46" s="405"/>
      <c r="D46" s="405"/>
      <c r="E46" s="405"/>
      <c r="F46" s="405"/>
      <c r="G46" s="405"/>
      <c r="H46" s="40"/>
      <c r="I46" s="40"/>
      <c r="J46" s="40"/>
      <c r="K46" s="40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</row>
    <row r="47" spans="1:61" ht="15" customHeight="1" x14ac:dyDescent="0.6">
      <c r="A47" s="55" t="s">
        <v>105</v>
      </c>
      <c r="B47" s="48"/>
      <c r="C47" s="48"/>
      <c r="D47" s="6"/>
      <c r="E47" s="48"/>
      <c r="F47" s="51"/>
      <c r="G47" s="50">
        <f>G42</f>
        <v>3705624.8390575461</v>
      </c>
      <c r="H47" s="40"/>
      <c r="I47" s="40"/>
      <c r="J47" s="40"/>
      <c r="K47" s="218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</row>
    <row r="48" spans="1:61" ht="15" customHeight="1" x14ac:dyDescent="0.6">
      <c r="A48" s="48" t="s">
        <v>36</v>
      </c>
      <c r="B48" s="48"/>
      <c r="C48" s="48" t="s">
        <v>106</v>
      </c>
      <c r="D48" s="6"/>
      <c r="E48" s="48"/>
      <c r="F48" s="221" t="s">
        <v>406</v>
      </c>
      <c r="G48" s="54">
        <f>Debt!G23</f>
        <v>200758.78000000003</v>
      </c>
      <c r="H48" s="40"/>
      <c r="I48" s="6"/>
      <c r="J48" s="40"/>
      <c r="K48" s="219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</row>
    <row r="49" spans="1:61" ht="15" customHeight="1" x14ac:dyDescent="0.6">
      <c r="A49" s="48"/>
      <c r="B49" s="48"/>
      <c r="C49" s="48" t="s">
        <v>107</v>
      </c>
      <c r="D49" s="6"/>
      <c r="E49" s="48"/>
      <c r="F49" s="221" t="s">
        <v>394</v>
      </c>
      <c r="G49" s="54">
        <f>Debt!G25</f>
        <v>40151.756000000008</v>
      </c>
      <c r="I49" s="378"/>
      <c r="K49" s="54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</row>
    <row r="50" spans="1:61" ht="15" customHeight="1" x14ac:dyDescent="0.6">
      <c r="A50" s="48"/>
      <c r="B50" s="48"/>
      <c r="C50" s="48" t="s">
        <v>204</v>
      </c>
      <c r="D50" s="6"/>
      <c r="E50" s="48"/>
      <c r="F50" s="221"/>
      <c r="G50" s="399">
        <v>-25796</v>
      </c>
      <c r="H50" s="40"/>
      <c r="I50" s="6"/>
      <c r="J50" s="48"/>
      <c r="K50" s="54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</row>
    <row r="51" spans="1:61" ht="15" customHeight="1" x14ac:dyDescent="0.6">
      <c r="A51" s="55" t="s">
        <v>37</v>
      </c>
      <c r="B51" s="48"/>
      <c r="C51" s="48"/>
      <c r="D51" s="6"/>
      <c r="E51" s="48"/>
      <c r="F51" s="222"/>
      <c r="G51" s="54">
        <f>SUM(G47:G50)</f>
        <v>3920739.3750575464</v>
      </c>
      <c r="H51" s="379" t="s">
        <v>388</v>
      </c>
      <c r="I51" s="48"/>
      <c r="J51" s="48"/>
      <c r="K51" s="54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</row>
    <row r="52" spans="1:61" ht="15" customHeight="1" x14ac:dyDescent="0.6">
      <c r="A52" s="48" t="s">
        <v>38</v>
      </c>
      <c r="B52" s="48"/>
      <c r="C52" s="48" t="s">
        <v>39</v>
      </c>
      <c r="D52" s="6"/>
      <c r="E52" s="48"/>
      <c r="F52" s="222"/>
      <c r="G52" s="54">
        <f>SUM(G12:G14)</f>
        <v>259990</v>
      </c>
      <c r="H52" s="40"/>
      <c r="I52" s="1"/>
      <c r="J52" s="1"/>
      <c r="K52" s="54"/>
      <c r="L52" s="102"/>
      <c r="M52" s="48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</row>
    <row r="53" spans="1:61" ht="15" customHeight="1" x14ac:dyDescent="0.6">
      <c r="A53" s="48"/>
      <c r="B53" s="48"/>
      <c r="C53" s="48" t="s">
        <v>10</v>
      </c>
      <c r="D53" s="37"/>
      <c r="E53" s="40"/>
      <c r="F53" s="220"/>
      <c r="G53" s="54">
        <v>16374</v>
      </c>
      <c r="H53" s="226"/>
      <c r="I53" s="277" t="s">
        <v>382</v>
      </c>
      <c r="J53" s="277" t="s">
        <v>383</v>
      </c>
      <c r="K53" s="54"/>
      <c r="L53" s="56"/>
      <c r="M53" s="56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</row>
    <row r="54" spans="1:61" ht="15" customHeight="1" x14ac:dyDescent="0.6">
      <c r="A54" s="48"/>
      <c r="B54" s="48"/>
      <c r="C54" s="388" t="s">
        <v>108</v>
      </c>
      <c r="D54" s="37"/>
      <c r="E54" s="40"/>
      <c r="F54" s="220"/>
      <c r="G54" s="399">
        <f>I54*J54</f>
        <v>137727.234</v>
      </c>
      <c r="H54" s="226"/>
      <c r="I54" s="364">
        <f>Whol!J66</f>
        <v>5.27</v>
      </c>
      <c r="J54" s="6">
        <f>Sys!F32</f>
        <v>26134.2</v>
      </c>
      <c r="K54" s="54"/>
      <c r="L54" s="56"/>
      <c r="M54" s="56"/>
      <c r="N54" s="1"/>
      <c r="O54" s="6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</row>
    <row r="55" spans="1:61" ht="15" customHeight="1" x14ac:dyDescent="0.6">
      <c r="A55" s="55" t="s">
        <v>109</v>
      </c>
      <c r="B55" s="48"/>
      <c r="C55" s="48"/>
      <c r="D55" s="6"/>
      <c r="E55" s="48"/>
      <c r="F55" s="220"/>
      <c r="G55" s="54">
        <f>G51-G52-G53-G54</f>
        <v>3506648.1410575463</v>
      </c>
      <c r="H55" s="40"/>
      <c r="I55" s="67"/>
      <c r="J55" s="1"/>
      <c r="K55" s="340">
        <v>3.31</v>
      </c>
      <c r="L55" s="135">
        <f>J54*K55</f>
        <v>86504.202000000005</v>
      </c>
      <c r="M55" s="48" t="s">
        <v>387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</row>
    <row r="56" spans="1:61" ht="15" customHeight="1" x14ac:dyDescent="0.6">
      <c r="A56" s="48"/>
      <c r="B56" s="48"/>
      <c r="C56" s="48" t="s">
        <v>415</v>
      </c>
      <c r="D56" s="6"/>
      <c r="E56" s="48"/>
      <c r="F56" s="220"/>
      <c r="G56" s="54">
        <f>G7</f>
        <v>3717180.9269999992</v>
      </c>
      <c r="H56" s="40"/>
      <c r="I56" s="19"/>
      <c r="J56" s="1"/>
      <c r="K56" s="219"/>
      <c r="L56" s="58"/>
      <c r="M56" s="54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</row>
    <row r="57" spans="1:61" ht="4" customHeight="1" x14ac:dyDescent="0.6">
      <c r="A57" s="48"/>
      <c r="B57" s="48"/>
      <c r="C57" s="48"/>
      <c r="D57" s="6"/>
      <c r="E57" s="48"/>
      <c r="F57" s="51"/>
      <c r="G57" s="54"/>
      <c r="H57" s="40"/>
      <c r="I57" s="19"/>
      <c r="J57" s="1"/>
      <c r="K57" s="54"/>
      <c r="L57" s="54"/>
      <c r="M57" s="54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</row>
    <row r="58" spans="1:61" x14ac:dyDescent="0.6">
      <c r="A58" s="55" t="s">
        <v>414</v>
      </c>
      <c r="B58" s="48"/>
      <c r="C58" s="48"/>
      <c r="D58" s="6"/>
      <c r="E58" s="48"/>
      <c r="F58" s="51"/>
      <c r="G58" s="50">
        <f>G56-G55</f>
        <v>210532.78594245296</v>
      </c>
      <c r="H58" s="40"/>
      <c r="I58" s="19"/>
      <c r="J58" s="1"/>
      <c r="K58" s="218"/>
      <c r="L58" s="50"/>
      <c r="M58" s="50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</row>
    <row r="59" spans="1:61" x14ac:dyDescent="0.6">
      <c r="A59" s="55"/>
      <c r="B59" s="48"/>
      <c r="C59" s="48"/>
      <c r="D59" s="6"/>
      <c r="E59" s="48"/>
      <c r="F59" s="51"/>
      <c r="G59" s="50"/>
      <c r="H59" s="40"/>
      <c r="I59" s="19"/>
      <c r="J59" s="1"/>
      <c r="K59" s="218"/>
      <c r="L59" s="50"/>
      <c r="M59" s="50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</row>
    <row r="60" spans="1:61" x14ac:dyDescent="0.6">
      <c r="A60" s="55"/>
      <c r="B60" s="48"/>
      <c r="C60" s="48"/>
      <c r="D60" s="6"/>
      <c r="E60" s="48"/>
      <c r="F60" s="51"/>
      <c r="G60" s="50"/>
      <c r="H60" s="40"/>
      <c r="I60" s="19"/>
      <c r="J60" s="1"/>
      <c r="K60" s="218"/>
      <c r="L60" s="50"/>
      <c r="M60" s="50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</row>
    <row r="61" spans="1:61" x14ac:dyDescent="0.6">
      <c r="A61" s="55"/>
      <c r="B61" s="48"/>
      <c r="C61" s="48"/>
      <c r="D61" s="6"/>
      <c r="E61" s="48"/>
      <c r="F61" s="51"/>
      <c r="G61" s="50"/>
      <c r="H61" s="40"/>
      <c r="I61" s="19"/>
      <c r="J61" s="1"/>
      <c r="K61" s="218"/>
      <c r="L61" s="50"/>
      <c r="M61" s="50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</row>
    <row r="62" spans="1:61" x14ac:dyDescent="0.6">
      <c r="A62" s="55"/>
      <c r="B62" s="48"/>
      <c r="C62" s="48"/>
      <c r="D62" s="6"/>
      <c r="E62" s="48"/>
      <c r="F62" s="51"/>
      <c r="G62" s="50"/>
      <c r="H62" s="40"/>
      <c r="I62" s="19"/>
      <c r="J62" s="1"/>
      <c r="K62" s="218"/>
      <c r="L62" s="50"/>
      <c r="M62" s="50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</row>
    <row r="63" spans="1:61" x14ac:dyDescent="0.6">
      <c r="A63" s="55"/>
      <c r="B63" s="48"/>
      <c r="C63" s="48"/>
      <c r="D63" s="6"/>
      <c r="E63" s="48"/>
      <c r="F63" s="51"/>
      <c r="G63" s="50"/>
      <c r="H63" s="40"/>
      <c r="I63" s="19"/>
      <c r="J63" s="1"/>
      <c r="K63" s="218"/>
      <c r="L63" s="50"/>
      <c r="M63" s="5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</row>
    <row r="64" spans="1:61" x14ac:dyDescent="0.6">
      <c r="A64" s="55"/>
      <c r="B64" s="48"/>
      <c r="C64" s="48"/>
      <c r="D64" s="6"/>
      <c r="E64" s="48"/>
      <c r="F64" s="51"/>
      <c r="G64" s="50"/>
      <c r="H64" s="40"/>
      <c r="I64" s="19"/>
      <c r="J64" s="1"/>
      <c r="K64" s="218"/>
      <c r="L64" s="50"/>
      <c r="M64" s="50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</row>
    <row r="65" spans="1:61" x14ac:dyDescent="0.6">
      <c r="A65" s="55"/>
      <c r="B65" s="48"/>
      <c r="C65" s="48"/>
      <c r="D65" s="6"/>
      <c r="E65" s="48"/>
      <c r="F65" s="51"/>
      <c r="G65" s="50"/>
      <c r="H65" s="40"/>
      <c r="I65" s="19"/>
      <c r="J65" s="1"/>
      <c r="K65" s="218"/>
      <c r="L65" s="50"/>
      <c r="M65" s="50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</row>
    <row r="66" spans="1:61" x14ac:dyDescent="0.6">
      <c r="A66" s="55"/>
      <c r="B66" s="48"/>
      <c r="C66" s="48"/>
      <c r="D66" s="6"/>
      <c r="E66" s="48"/>
      <c r="F66" s="51"/>
      <c r="G66" s="50"/>
      <c r="H66" s="40"/>
      <c r="I66" s="19"/>
      <c r="J66" s="1"/>
      <c r="K66" s="218"/>
      <c r="L66" s="50"/>
      <c r="M66" s="50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</row>
    <row r="67" spans="1:61" x14ac:dyDescent="0.6">
      <c r="A67" s="55"/>
      <c r="B67" s="48"/>
      <c r="C67" s="48"/>
      <c r="D67" s="6"/>
      <c r="E67" s="48"/>
      <c r="F67" s="51"/>
      <c r="G67" s="50"/>
      <c r="H67" s="40"/>
      <c r="I67" s="19"/>
      <c r="J67" s="1"/>
      <c r="K67" s="218"/>
      <c r="L67" s="50"/>
      <c r="M67" s="50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</row>
    <row r="68" spans="1:61" x14ac:dyDescent="0.6">
      <c r="A68" s="55"/>
      <c r="B68" s="48"/>
      <c r="C68" s="48"/>
      <c r="D68" s="6"/>
      <c r="E68" s="48"/>
      <c r="F68" s="51"/>
      <c r="G68" s="50"/>
      <c r="H68" s="40"/>
      <c r="I68" s="19"/>
      <c r="J68" s="1"/>
      <c r="K68" s="218"/>
      <c r="L68" s="50"/>
      <c r="M68" s="50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</row>
    <row r="69" spans="1:61" ht="4" customHeight="1" x14ac:dyDescent="0.6">
      <c r="A69" s="48"/>
      <c r="B69" s="48"/>
      <c r="C69" s="48"/>
      <c r="D69" s="6"/>
      <c r="E69" s="48"/>
      <c r="F69" s="51"/>
      <c r="G69" s="48"/>
      <c r="H69" s="48"/>
      <c r="I69" s="19"/>
      <c r="J69" s="1"/>
      <c r="K69" s="48"/>
      <c r="L69" s="48"/>
      <c r="M69" s="48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</row>
    <row r="70" spans="1:61" x14ac:dyDescent="0.6">
      <c r="A70" s="55" t="s">
        <v>152</v>
      </c>
      <c r="B70" s="48"/>
      <c r="C70" s="48"/>
      <c r="D70" s="6"/>
      <c r="E70" s="48"/>
      <c r="F70" s="51"/>
      <c r="G70" s="59">
        <f>ROUND(G58/G56,3)</f>
        <v>5.7000000000000002E-2</v>
      </c>
      <c r="H70" s="48"/>
      <c r="I70" s="134"/>
      <c r="J70" s="1"/>
      <c r="K70" s="60"/>
      <c r="L70" s="61"/>
      <c r="M70" s="57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</row>
    <row r="71" spans="1:61" x14ac:dyDescent="0.6">
      <c r="A71" s="6"/>
      <c r="B71" s="6"/>
      <c r="C71" s="6"/>
      <c r="D71" s="6"/>
      <c r="E71" s="6"/>
      <c r="F71" s="6"/>
      <c r="G71" s="6"/>
      <c r="H71" s="6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</row>
    <row r="72" spans="1:61" x14ac:dyDescent="0.6">
      <c r="A72" s="6"/>
      <c r="B72" s="6"/>
      <c r="C72" s="6"/>
      <c r="D72" s="6"/>
      <c r="E72" s="6"/>
      <c r="F72" s="6"/>
      <c r="G72" s="6"/>
      <c r="H72" s="6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</row>
    <row r="73" spans="1:61" x14ac:dyDescent="0.6">
      <c r="A73" s="6"/>
      <c r="B73" s="6"/>
      <c r="C73" s="6"/>
      <c r="D73" s="6"/>
      <c r="E73" s="6"/>
      <c r="F73" s="6"/>
      <c r="G73" s="6"/>
      <c r="H73" s="6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</row>
    <row r="74" spans="1:61" x14ac:dyDescent="0.6">
      <c r="A74" s="6"/>
      <c r="B74" s="6"/>
      <c r="C74" s="6"/>
      <c r="D74" s="6"/>
      <c r="E74" s="6"/>
      <c r="F74" s="6"/>
      <c r="G74" s="6"/>
      <c r="H74" s="6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</row>
    <row r="75" spans="1:61" x14ac:dyDescent="0.6">
      <c r="A75" s="6"/>
      <c r="B75" s="6"/>
      <c r="C75" s="6"/>
      <c r="D75" s="6"/>
      <c r="E75" s="6"/>
      <c r="F75" s="6"/>
      <c r="G75" s="6"/>
      <c r="H75" s="6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</row>
    <row r="76" spans="1:61" x14ac:dyDescent="0.6">
      <c r="A76" s="6"/>
      <c r="B76" s="6"/>
      <c r="C76" s="6"/>
      <c r="D76" s="6"/>
      <c r="E76" s="6"/>
      <c r="F76" s="6"/>
      <c r="G76" s="6"/>
      <c r="H76" s="6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</row>
    <row r="77" spans="1:61" x14ac:dyDescent="0.6">
      <c r="A77" s="6"/>
      <c r="B77" s="6"/>
      <c r="C77" s="6"/>
      <c r="D77" s="6"/>
      <c r="E77" s="6"/>
      <c r="F77" s="6"/>
      <c r="G77" s="6"/>
      <c r="H77" s="6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</row>
    <row r="78" spans="1:61" x14ac:dyDescent="0.6">
      <c r="A78" s="6"/>
      <c r="B78" s="6"/>
      <c r="C78" s="6"/>
      <c r="D78" s="6"/>
      <c r="E78" s="6"/>
      <c r="F78" s="6"/>
      <c r="G78" s="6"/>
      <c r="H78" s="6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</row>
    <row r="79" spans="1:61" x14ac:dyDescent="0.6">
      <c r="A79" s="52"/>
      <c r="B79" s="52"/>
      <c r="C79" s="52"/>
      <c r="D79" s="52"/>
      <c r="E79" s="52"/>
      <c r="F79" s="52"/>
      <c r="H79" s="1"/>
      <c r="I79" s="1"/>
      <c r="J79" s="1"/>
      <c r="K79" s="6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</row>
    <row r="80" spans="1:61" x14ac:dyDescent="0.6">
      <c r="A80" s="52"/>
      <c r="B80" s="52"/>
      <c r="C80" s="52"/>
      <c r="D80" s="52"/>
      <c r="E80" s="52"/>
      <c r="F80" s="52"/>
      <c r="G80" s="52"/>
      <c r="H80" s="6"/>
      <c r="I80" s="6"/>
      <c r="J80" s="6"/>
      <c r="K80" s="6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</row>
    <row r="81" spans="1:61" x14ac:dyDescent="0.6">
      <c r="A81" s="52"/>
      <c r="B81" s="52"/>
      <c r="C81" s="52"/>
      <c r="D81" s="52"/>
      <c r="E81" s="52"/>
      <c r="F81" s="52"/>
      <c r="G81" s="52"/>
      <c r="H81" s="91"/>
      <c r="I81" s="6"/>
      <c r="J81" s="6">
        <v>182000</v>
      </c>
      <c r="K81" s="6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</row>
    <row r="82" spans="1:61" x14ac:dyDescent="0.6">
      <c r="A82" s="52"/>
      <c r="B82" s="52"/>
      <c r="C82" s="52"/>
      <c r="D82" s="52"/>
      <c r="E82" s="52"/>
      <c r="F82" s="52"/>
      <c r="G82" s="52"/>
      <c r="H82" s="91"/>
      <c r="I82" s="6"/>
      <c r="J82" s="6">
        <v>199605.559745534</v>
      </c>
      <c r="K82" s="6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</row>
    <row r="83" spans="1:61" x14ac:dyDescent="0.6">
      <c r="A83" s="52"/>
      <c r="B83" s="52"/>
      <c r="C83" s="52"/>
      <c r="D83" s="52"/>
      <c r="E83" s="52"/>
      <c r="F83" s="52"/>
      <c r="G83" s="52"/>
      <c r="H83" s="91"/>
      <c r="I83" s="6"/>
      <c r="J83" s="6">
        <v>217211.559745534</v>
      </c>
      <c r="K83" s="6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</row>
    <row r="84" spans="1:61" x14ac:dyDescent="0.6">
      <c r="A84" s="52"/>
      <c r="B84" s="52"/>
      <c r="C84" s="52"/>
      <c r="D84" s="52"/>
      <c r="E84" s="52"/>
      <c r="F84" s="52"/>
      <c r="G84" s="52"/>
      <c r="H84" s="6"/>
      <c r="I84" s="6"/>
      <c r="J84" s="6"/>
      <c r="K84" s="6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</row>
    <row r="85" spans="1:61" x14ac:dyDescent="0.6">
      <c r="A85" s="52"/>
      <c r="B85" s="52"/>
      <c r="C85" s="52"/>
      <c r="D85" s="52"/>
      <c r="E85" s="52"/>
      <c r="F85" s="52"/>
      <c r="G85" s="52"/>
      <c r="H85" s="6"/>
      <c r="I85" s="6"/>
      <c r="J85" s="6"/>
      <c r="K85" s="6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</row>
    <row r="86" spans="1:61" x14ac:dyDescent="0.6">
      <c r="A86" s="52"/>
      <c r="B86" s="52"/>
      <c r="C86" s="52"/>
      <c r="D86" s="52"/>
      <c r="E86" s="52"/>
      <c r="F86" s="52"/>
      <c r="G86" s="52"/>
      <c r="H86" s="6"/>
      <c r="I86" s="6"/>
      <c r="J86" s="6"/>
      <c r="K86" s="6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</row>
    <row r="87" spans="1:61" x14ac:dyDescent="0.6">
      <c r="A87" s="52"/>
      <c r="B87" s="52"/>
      <c r="C87" s="52"/>
      <c r="D87" s="52"/>
      <c r="E87" s="52"/>
      <c r="F87" s="52"/>
      <c r="G87" s="52"/>
      <c r="H87" s="6"/>
      <c r="I87" s="6"/>
      <c r="J87" s="6"/>
      <c r="K87" s="6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</row>
    <row r="88" spans="1:61" x14ac:dyDescent="0.6">
      <c r="A88" s="52"/>
      <c r="B88" s="52"/>
      <c r="C88" s="52"/>
      <c r="D88" s="52"/>
      <c r="E88" s="52"/>
      <c r="F88" s="52"/>
      <c r="G88" s="52"/>
      <c r="H88" s="6"/>
      <c r="I88" s="6"/>
      <c r="J88" s="6"/>
      <c r="K88" s="6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</row>
    <row r="89" spans="1:61" x14ac:dyDescent="0.6">
      <c r="A89" s="52"/>
      <c r="B89" s="52"/>
      <c r="C89" s="52"/>
      <c r="D89" s="52"/>
      <c r="E89" s="52"/>
      <c r="F89" s="52"/>
      <c r="G89" s="52"/>
      <c r="H89" s="6"/>
      <c r="I89" s="6"/>
      <c r="J89" s="6"/>
      <c r="K89" s="6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</row>
    <row r="90" spans="1:61" x14ac:dyDescent="0.6">
      <c r="A90" s="52"/>
      <c r="B90" s="52"/>
      <c r="C90" s="52"/>
      <c r="D90" s="52"/>
      <c r="E90" s="52"/>
      <c r="F90" s="52"/>
      <c r="G90" s="52"/>
      <c r="H90" s="6"/>
      <c r="I90" s="6"/>
      <c r="J90" s="6"/>
      <c r="K90" s="6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</row>
    <row r="91" spans="1:61" x14ac:dyDescent="0.6">
      <c r="A91" s="52"/>
      <c r="B91" s="52"/>
      <c r="C91" s="52"/>
      <c r="D91" s="52"/>
      <c r="E91" s="52"/>
      <c r="F91" s="52"/>
      <c r="G91" s="52"/>
      <c r="H91" s="6"/>
      <c r="I91" s="6"/>
      <c r="J91" s="6"/>
      <c r="K91" s="6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</row>
    <row r="92" spans="1:61" x14ac:dyDescent="0.6">
      <c r="A92" s="52"/>
      <c r="B92" s="52"/>
      <c r="C92" s="52"/>
      <c r="D92" s="52"/>
      <c r="E92" s="52"/>
      <c r="F92" s="52"/>
      <c r="G92" s="52"/>
      <c r="H92" s="6"/>
      <c r="I92" s="6"/>
      <c r="J92" s="6"/>
      <c r="K92" s="6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</row>
    <row r="93" spans="1:61" x14ac:dyDescent="0.6">
      <c r="A93" s="52"/>
      <c r="B93" s="52"/>
      <c r="C93" s="52"/>
      <c r="D93" s="52"/>
      <c r="E93" s="52"/>
      <c r="F93" s="52"/>
      <c r="G93" s="52"/>
      <c r="H93" s="6"/>
      <c r="I93" s="6"/>
      <c r="J93" s="6"/>
      <c r="K93" s="6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</row>
    <row r="94" spans="1:61" x14ac:dyDescent="0.6">
      <c r="A94" s="52"/>
      <c r="B94" s="52"/>
      <c r="C94" s="52"/>
      <c r="D94" s="52"/>
      <c r="E94" s="52"/>
      <c r="F94" s="52"/>
      <c r="G94" s="52"/>
      <c r="H94" s="6"/>
      <c r="I94" s="6"/>
      <c r="J94" s="6"/>
      <c r="K94" s="6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</row>
    <row r="95" spans="1:61" x14ac:dyDescent="0.6">
      <c r="A95" s="52"/>
      <c r="B95" s="52"/>
      <c r="C95" s="52"/>
      <c r="D95" s="52"/>
      <c r="E95" s="52"/>
      <c r="F95" s="52"/>
      <c r="G95" s="52"/>
      <c r="H95" s="6"/>
      <c r="I95" s="6"/>
      <c r="J95" s="6"/>
      <c r="K95" s="6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</row>
    <row r="96" spans="1:61" x14ac:dyDescent="0.6">
      <c r="A96" s="52"/>
      <c r="B96" s="52"/>
      <c r="C96" s="52"/>
      <c r="D96" s="52"/>
      <c r="E96" s="52"/>
      <c r="F96" s="52"/>
      <c r="G96" s="52"/>
      <c r="H96" s="6"/>
      <c r="I96" s="6"/>
      <c r="J96" s="6"/>
      <c r="K96" s="6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</row>
    <row r="97" spans="1:61" x14ac:dyDescent="0.6">
      <c r="A97" s="52"/>
      <c r="B97" s="52"/>
      <c r="C97" s="52"/>
      <c r="D97" s="52"/>
      <c r="E97" s="52"/>
      <c r="F97" s="52"/>
      <c r="G97" s="52"/>
      <c r="H97" s="6"/>
      <c r="I97" s="6"/>
      <c r="J97" s="6"/>
      <c r="K97" s="6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</row>
    <row r="98" spans="1:61" x14ac:dyDescent="0.6">
      <c r="A98" s="52"/>
      <c r="B98" s="52"/>
      <c r="C98" s="52"/>
      <c r="D98" s="52"/>
      <c r="E98" s="52"/>
      <c r="F98" s="52"/>
      <c r="G98" s="52"/>
      <c r="H98" s="6"/>
      <c r="I98" s="6"/>
      <c r="J98" s="6"/>
      <c r="K98" s="6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</row>
    <row r="99" spans="1:61" x14ac:dyDescent="0.6">
      <c r="A99" s="52"/>
      <c r="B99" s="52"/>
      <c r="C99" s="52"/>
      <c r="D99" s="52"/>
      <c r="E99" s="52"/>
      <c r="F99" s="52"/>
      <c r="G99" s="52"/>
      <c r="H99" s="6"/>
      <c r="I99" s="6"/>
      <c r="J99" s="6"/>
      <c r="K99" s="6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</row>
    <row r="100" spans="1:61" x14ac:dyDescent="0.6">
      <c r="A100" s="52"/>
      <c r="B100" s="52"/>
      <c r="C100" s="52"/>
      <c r="D100" s="52"/>
      <c r="E100" s="52"/>
      <c r="F100" s="52"/>
      <c r="G100" s="52"/>
      <c r="H100" s="6"/>
      <c r="I100" s="6"/>
      <c r="J100" s="6"/>
      <c r="K100" s="6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</row>
    <row r="101" spans="1:61" x14ac:dyDescent="0.6">
      <c r="A101" s="52"/>
      <c r="B101" s="52"/>
      <c r="C101" s="52"/>
      <c r="D101" s="52"/>
      <c r="E101" s="52"/>
      <c r="F101" s="52"/>
      <c r="G101" s="52"/>
      <c r="H101" s="6"/>
      <c r="I101" s="6"/>
      <c r="J101" s="6"/>
      <c r="K101" s="6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</row>
    <row r="102" spans="1:61" x14ac:dyDescent="0.6">
      <c r="A102" s="52"/>
      <c r="B102" s="52"/>
      <c r="C102" s="52"/>
      <c r="D102" s="52"/>
      <c r="E102" s="52"/>
      <c r="F102" s="52"/>
      <c r="G102" s="52"/>
      <c r="H102" s="6"/>
      <c r="I102" s="6"/>
      <c r="J102" s="6"/>
      <c r="K102" s="6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</row>
    <row r="103" spans="1:61" x14ac:dyDescent="0.6">
      <c r="A103" s="52"/>
      <c r="B103" s="52"/>
      <c r="C103" s="52"/>
      <c r="D103" s="52"/>
      <c r="E103" s="52"/>
      <c r="F103" s="52"/>
      <c r="G103" s="52"/>
      <c r="H103" s="6"/>
      <c r="I103" s="6"/>
      <c r="J103" s="6"/>
      <c r="K103" s="6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</row>
    <row r="104" spans="1:61" x14ac:dyDescent="0.6">
      <c r="A104" s="52"/>
      <c r="B104" s="52"/>
      <c r="C104" s="52"/>
      <c r="D104" s="52"/>
      <c r="E104" s="52"/>
      <c r="F104" s="52"/>
      <c r="G104" s="52"/>
      <c r="H104" s="6"/>
      <c r="I104" s="6"/>
      <c r="J104" s="6"/>
      <c r="K104" s="6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</row>
    <row r="105" spans="1:61" x14ac:dyDescent="0.6"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</row>
    <row r="106" spans="1:61" x14ac:dyDescent="0.6"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</row>
    <row r="107" spans="1:61" x14ac:dyDescent="0.6"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</row>
    <row r="108" spans="1:61" x14ac:dyDescent="0.6"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</row>
    <row r="109" spans="1:61" x14ac:dyDescent="0.6"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</row>
    <row r="110" spans="1:61" x14ac:dyDescent="0.6"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</row>
    <row r="111" spans="1:61" x14ac:dyDescent="0.6"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</row>
    <row r="112" spans="1:61" x14ac:dyDescent="0.6"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</row>
    <row r="113" spans="8:61" x14ac:dyDescent="0.6"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</row>
    <row r="114" spans="8:61" x14ac:dyDescent="0.6"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</row>
  </sheetData>
  <mergeCells count="2">
    <mergeCell ref="A46:G46"/>
    <mergeCell ref="K29:O29"/>
  </mergeCells>
  <printOptions horizontalCentered="1"/>
  <pageMargins left="0.45" right="0.25" top="0.4" bottom="0.5" header="0.3" footer="0.3"/>
  <pageSetup scale="8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L49"/>
  <sheetViews>
    <sheetView workbookViewId="0">
      <selection activeCell="F17" sqref="F17"/>
    </sheetView>
  </sheetViews>
  <sheetFormatPr defaultColWidth="8.76953125" defaultRowHeight="14.4" x14ac:dyDescent="0.55000000000000004"/>
  <cols>
    <col min="1" max="1" width="4.54296875" style="19" customWidth="1"/>
    <col min="2" max="2" width="1.54296875" style="19" customWidth="1"/>
    <col min="3" max="3" width="25" style="19" customWidth="1"/>
    <col min="4" max="4" width="9.54296875" style="19" customWidth="1"/>
    <col min="5" max="5" width="7.54296875" style="19" customWidth="1"/>
    <col min="6" max="6" width="9.54296875" style="19" customWidth="1"/>
    <col min="7" max="7" width="7.54296875" style="19" customWidth="1"/>
    <col min="8" max="9" width="8.08984375" style="19" customWidth="1"/>
    <col min="10" max="16384" width="8.76953125" style="19"/>
  </cols>
  <sheetData>
    <row r="1" spans="2:12" x14ac:dyDescent="0.55000000000000004">
      <c r="B1" s="20"/>
      <c r="C1" s="21"/>
      <c r="D1" s="21"/>
      <c r="E1" s="21"/>
      <c r="F1" s="21"/>
      <c r="G1" s="21"/>
      <c r="H1" s="21"/>
      <c r="I1" s="22"/>
      <c r="L1" s="17"/>
    </row>
    <row r="2" spans="2:12" ht="18.3" x14ac:dyDescent="0.7">
      <c r="B2" s="428" t="s">
        <v>167</v>
      </c>
      <c r="C2" s="425"/>
      <c r="D2" s="425"/>
      <c r="E2" s="425"/>
      <c r="F2" s="425"/>
      <c r="G2" s="425"/>
      <c r="H2" s="425"/>
      <c r="I2" s="429"/>
      <c r="L2" s="17"/>
    </row>
    <row r="3" spans="2:12" ht="18.3" x14ac:dyDescent="0.7">
      <c r="B3" s="94" t="s">
        <v>162</v>
      </c>
      <c r="C3" s="114"/>
      <c r="D3" s="95"/>
      <c r="E3" s="95"/>
      <c r="F3" s="95"/>
      <c r="G3" s="95"/>
      <c r="H3" s="95"/>
      <c r="I3" s="96"/>
      <c r="L3" s="17"/>
    </row>
    <row r="4" spans="2:12" ht="15.6" x14ac:dyDescent="0.55000000000000004">
      <c r="B4" s="430" t="s">
        <v>217</v>
      </c>
      <c r="C4" s="431"/>
      <c r="D4" s="431"/>
      <c r="E4" s="431"/>
      <c r="F4" s="431"/>
      <c r="G4" s="431"/>
      <c r="H4" s="431"/>
      <c r="I4" s="432"/>
      <c r="L4" s="17"/>
    </row>
    <row r="5" spans="2:12" ht="15" x14ac:dyDescent="0.55000000000000004">
      <c r="B5" s="97"/>
      <c r="C5" s="351"/>
      <c r="D5" s="95"/>
      <c r="E5" s="95"/>
      <c r="F5" s="95"/>
      <c r="G5" s="95"/>
      <c r="H5" s="95"/>
      <c r="I5" s="96"/>
      <c r="L5" s="17"/>
    </row>
    <row r="6" spans="2:12" ht="16.2" x14ac:dyDescent="0.85">
      <c r="B6" s="23"/>
      <c r="C6" s="17"/>
      <c r="D6" s="210" t="s">
        <v>102</v>
      </c>
      <c r="F6" s="98" t="s">
        <v>59</v>
      </c>
      <c r="G6" s="98" t="s">
        <v>160</v>
      </c>
      <c r="H6" s="98" t="s">
        <v>60</v>
      </c>
      <c r="I6" s="99"/>
      <c r="L6" s="17"/>
    </row>
    <row r="7" spans="2:12" x14ac:dyDescent="0.55000000000000004">
      <c r="B7" s="23"/>
      <c r="C7" s="17"/>
      <c r="D7" s="209" t="s">
        <v>139</v>
      </c>
      <c r="E7" s="98" t="s">
        <v>368</v>
      </c>
      <c r="F7" s="98" t="s">
        <v>61</v>
      </c>
      <c r="G7" s="98" t="s">
        <v>161</v>
      </c>
      <c r="H7" s="98" t="s">
        <v>62</v>
      </c>
      <c r="I7" s="99" t="s">
        <v>40</v>
      </c>
      <c r="L7" s="17"/>
    </row>
    <row r="8" spans="2:12" x14ac:dyDescent="0.55000000000000004">
      <c r="B8" s="23"/>
      <c r="C8" s="17"/>
      <c r="D8" s="17"/>
      <c r="E8" s="17"/>
      <c r="F8" s="17"/>
      <c r="G8" s="17"/>
      <c r="H8" s="17"/>
      <c r="I8" s="24"/>
    </row>
    <row r="9" spans="2:12" x14ac:dyDescent="0.55000000000000004">
      <c r="B9" s="84" t="s">
        <v>293</v>
      </c>
      <c r="C9" s="80"/>
      <c r="D9" s="17"/>
      <c r="E9" s="17"/>
      <c r="F9" s="17"/>
      <c r="G9" s="17"/>
      <c r="H9" s="17"/>
      <c r="I9" s="24"/>
    </row>
    <row r="10" spans="2:12" x14ac:dyDescent="0.55000000000000004">
      <c r="B10" s="87"/>
      <c r="C10" s="80" t="s">
        <v>273</v>
      </c>
      <c r="D10" s="17">
        <f>Depr!H11</f>
        <v>13175.057333333334</v>
      </c>
      <c r="E10" s="17"/>
      <c r="F10" s="17"/>
      <c r="G10" s="17"/>
      <c r="H10" s="17">
        <f>D10*Al_Wages!K26</f>
        <v>5517.9885411561763</v>
      </c>
      <c r="I10" s="24">
        <f>D10-H10</f>
        <v>7657.0687921771578</v>
      </c>
    </row>
    <row r="11" spans="2:12" x14ac:dyDescent="0.55000000000000004">
      <c r="B11" s="87"/>
      <c r="C11" s="80" t="s">
        <v>292</v>
      </c>
      <c r="D11" s="17">
        <f>Depr!H12</f>
        <v>3595.7777777777778</v>
      </c>
      <c r="E11" s="17"/>
      <c r="F11" s="17"/>
      <c r="G11" s="17"/>
      <c r="H11" s="17">
        <f>D11*Al_Wages!$K$26</f>
        <v>1505.9866589060102</v>
      </c>
      <c r="I11" s="24">
        <f>D11-H11</f>
        <v>2089.7911188717676</v>
      </c>
    </row>
    <row r="12" spans="2:12" x14ac:dyDescent="0.55000000000000004">
      <c r="B12" s="304" t="s">
        <v>274</v>
      </c>
      <c r="C12" s="80"/>
      <c r="D12" s="17"/>
      <c r="E12" s="17"/>
      <c r="F12" s="17"/>
      <c r="G12" s="17"/>
      <c r="H12" s="17"/>
      <c r="I12" s="24"/>
    </row>
    <row r="13" spans="2:12" x14ac:dyDescent="0.55000000000000004">
      <c r="B13" s="304"/>
      <c r="C13" s="80" t="s">
        <v>275</v>
      </c>
      <c r="D13" s="17">
        <f>Depr!H14</f>
        <v>28561.306666666667</v>
      </c>
      <c r="E13" s="17">
        <f>D13*0.2</f>
        <v>5712.2613333333338</v>
      </c>
      <c r="F13" s="17">
        <f>D13-E13</f>
        <v>22849.045333333335</v>
      </c>
      <c r="G13" s="17"/>
      <c r="H13" s="17"/>
      <c r="I13" s="24"/>
    </row>
    <row r="14" spans="2:12" x14ac:dyDescent="0.55000000000000004">
      <c r="B14" s="87"/>
      <c r="C14" s="80" t="s">
        <v>182</v>
      </c>
      <c r="D14" s="17">
        <f>Depr!H15</f>
        <v>10134.5</v>
      </c>
      <c r="E14" s="17">
        <f>D14*0.2</f>
        <v>2026.9</v>
      </c>
      <c r="F14" s="17">
        <f>D14-E14</f>
        <v>8107.6</v>
      </c>
      <c r="G14" s="17"/>
      <c r="H14" s="17"/>
      <c r="I14" s="24"/>
    </row>
    <row r="15" spans="2:12" x14ac:dyDescent="0.55000000000000004">
      <c r="B15" s="84" t="s">
        <v>370</v>
      </c>
      <c r="C15" s="80"/>
      <c r="D15" s="17"/>
      <c r="E15" s="17"/>
      <c r="F15" s="17"/>
      <c r="G15" s="17"/>
      <c r="H15" s="17"/>
      <c r="I15" s="24"/>
    </row>
    <row r="16" spans="2:12" x14ac:dyDescent="0.55000000000000004">
      <c r="B16" s="84"/>
      <c r="C16" s="80" t="s">
        <v>278</v>
      </c>
      <c r="D16" s="17">
        <f>Depr!H17</f>
        <v>20232.62222222222</v>
      </c>
      <c r="E16" s="17"/>
      <c r="F16" s="17"/>
      <c r="G16" s="17">
        <f>D16</f>
        <v>20232.62222222222</v>
      </c>
      <c r="H16" s="17"/>
      <c r="I16" s="24"/>
    </row>
    <row r="17" spans="2:11" x14ac:dyDescent="0.55000000000000004">
      <c r="B17" s="87"/>
      <c r="C17" s="80" t="s">
        <v>279</v>
      </c>
      <c r="D17" s="17">
        <f>Depr!H18</f>
        <v>150291.6</v>
      </c>
      <c r="E17" s="17">
        <f>D17*0.1</f>
        <v>15029.160000000002</v>
      </c>
      <c r="F17" s="17">
        <f>D17-E17</f>
        <v>135262.44</v>
      </c>
      <c r="G17" s="17"/>
      <c r="H17" s="17"/>
      <c r="I17" s="24"/>
    </row>
    <row r="18" spans="2:11" x14ac:dyDescent="0.55000000000000004">
      <c r="B18" s="84" t="s">
        <v>280</v>
      </c>
      <c r="C18" s="80"/>
      <c r="D18" s="17"/>
      <c r="E18" s="17"/>
      <c r="F18" s="17"/>
      <c r="G18" s="17"/>
      <c r="H18" s="17"/>
      <c r="I18" s="24"/>
    </row>
    <row r="19" spans="2:11" x14ac:dyDescent="0.55000000000000004">
      <c r="B19" s="87"/>
      <c r="C19" s="80" t="s">
        <v>281</v>
      </c>
      <c r="D19" s="17">
        <f>Depr!H20</f>
        <v>63936</v>
      </c>
      <c r="E19" s="17"/>
      <c r="F19" s="17"/>
      <c r="G19" s="17"/>
      <c r="H19" s="17"/>
      <c r="I19" s="24">
        <f>D19</f>
        <v>63936</v>
      </c>
    </row>
    <row r="20" spans="2:11" x14ac:dyDescent="0.55000000000000004">
      <c r="B20" s="84" t="s">
        <v>294</v>
      </c>
      <c r="C20" s="80"/>
      <c r="D20" s="17"/>
      <c r="E20" s="17"/>
      <c r="F20" s="17"/>
      <c r="G20" s="17"/>
      <c r="H20" s="17"/>
      <c r="I20" s="24"/>
    </row>
    <row r="21" spans="2:11" x14ac:dyDescent="0.55000000000000004">
      <c r="B21" s="87"/>
      <c r="C21" s="80" t="s">
        <v>176</v>
      </c>
      <c r="D21" s="17">
        <f>Depr!H22</f>
        <v>4412.25</v>
      </c>
      <c r="E21" s="17"/>
      <c r="F21" s="17"/>
      <c r="G21" s="17"/>
      <c r="H21" s="17"/>
      <c r="I21" s="24">
        <f>D21</f>
        <v>4412.25</v>
      </c>
    </row>
    <row r="22" spans="2:11" x14ac:dyDescent="0.55000000000000004">
      <c r="B22" s="84" t="s">
        <v>282</v>
      </c>
      <c r="C22" s="80"/>
      <c r="D22" s="17"/>
      <c r="E22" s="17"/>
      <c r="F22" s="17"/>
      <c r="G22" s="17"/>
      <c r="H22" s="17"/>
      <c r="I22" s="24"/>
    </row>
    <row r="23" spans="2:11" x14ac:dyDescent="0.55000000000000004">
      <c r="B23" s="87"/>
      <c r="C23" s="80" t="s">
        <v>176</v>
      </c>
      <c r="D23" s="17">
        <f>Depr!H24</f>
        <v>1203.3399999999999</v>
      </c>
      <c r="E23" s="17"/>
      <c r="F23" s="17">
        <f>D23</f>
        <v>1203.3399999999999</v>
      </c>
      <c r="G23" s="17"/>
      <c r="H23" s="17"/>
      <c r="I23" s="24"/>
    </row>
    <row r="24" spans="2:11" x14ac:dyDescent="0.55000000000000004">
      <c r="B24" s="84" t="s">
        <v>283</v>
      </c>
      <c r="C24" s="80"/>
      <c r="D24" s="17"/>
      <c r="E24" s="17"/>
      <c r="F24" s="17"/>
      <c r="G24" s="17"/>
      <c r="H24" s="17"/>
      <c r="I24" s="24"/>
    </row>
    <row r="25" spans="2:11" x14ac:dyDescent="0.55000000000000004">
      <c r="B25" s="87"/>
      <c r="C25" s="80" t="s">
        <v>284</v>
      </c>
      <c r="D25" s="17">
        <f>Depr!H26</f>
        <v>625.77777777777783</v>
      </c>
      <c r="E25" s="17"/>
      <c r="F25" s="17"/>
      <c r="G25" s="17"/>
      <c r="H25" s="17">
        <f>D25</f>
        <v>625.77777777777783</v>
      </c>
      <c r="I25" s="24"/>
    </row>
    <row r="26" spans="2:11" x14ac:dyDescent="0.55000000000000004">
      <c r="B26" s="87"/>
      <c r="C26" s="217" t="s">
        <v>286</v>
      </c>
      <c r="D26" s="17">
        <f>Depr!H27</f>
        <v>1084.2</v>
      </c>
      <c r="E26" s="17"/>
      <c r="F26" s="17"/>
      <c r="G26" s="17"/>
      <c r="H26" s="17">
        <f>D26</f>
        <v>1084.2</v>
      </c>
      <c r="I26" s="24"/>
    </row>
    <row r="27" spans="2:11" x14ac:dyDescent="0.55000000000000004">
      <c r="B27" s="87"/>
      <c r="C27" s="352"/>
      <c r="D27" s="17"/>
      <c r="E27" s="17"/>
      <c r="F27" s="17"/>
      <c r="G27" s="17"/>
      <c r="H27" s="17"/>
      <c r="I27" s="24"/>
    </row>
    <row r="28" spans="2:11" x14ac:dyDescent="0.55000000000000004">
      <c r="B28" s="354" t="s">
        <v>184</v>
      </c>
      <c r="C28" s="353"/>
      <c r="D28" s="17">
        <f>SUM(D9:D26)</f>
        <v>297252.43177777779</v>
      </c>
      <c r="E28" s="17">
        <f t="shared" ref="E28:I28" si="0">SUM(E9:E26)</f>
        <v>22768.321333333333</v>
      </c>
      <c r="F28" s="17">
        <f t="shared" si="0"/>
        <v>167422.42533333335</v>
      </c>
      <c r="G28" s="17">
        <f t="shared" si="0"/>
        <v>20232.62222222222</v>
      </c>
      <c r="H28" s="17">
        <f t="shared" si="0"/>
        <v>8733.9529778399647</v>
      </c>
      <c r="I28" s="24">
        <f t="shared" si="0"/>
        <v>78095.10991104893</v>
      </c>
      <c r="K28" s="19">
        <f>SUM(E28:I28)</f>
        <v>297252.43177777779</v>
      </c>
    </row>
    <row r="29" spans="2:11" x14ac:dyDescent="0.55000000000000004">
      <c r="B29" s="354" t="s">
        <v>185</v>
      </c>
      <c r="C29" s="353"/>
      <c r="D29" s="17"/>
      <c r="E29" s="25">
        <f>E28/$D$28</f>
        <v>7.6595912763985891E-2</v>
      </c>
      <c r="F29" s="25">
        <f>F28/$D$28</f>
        <v>0.56323315618321423</v>
      </c>
      <c r="G29" s="25">
        <f>G28/$D$28</f>
        <v>6.8065455684304971E-2</v>
      </c>
      <c r="H29" s="25">
        <f>H28/$D$28</f>
        <v>2.93822759518057E-2</v>
      </c>
      <c r="I29" s="32">
        <f>I28/$D$28</f>
        <v>0.26272319941668926</v>
      </c>
    </row>
    <row r="30" spans="2:11" x14ac:dyDescent="0.55000000000000004">
      <c r="B30" s="23"/>
      <c r="E30" s="17"/>
      <c r="F30" s="17"/>
      <c r="G30" s="17"/>
      <c r="H30" s="17"/>
      <c r="I30" s="24"/>
    </row>
    <row r="31" spans="2:11" x14ac:dyDescent="0.55000000000000004">
      <c r="B31" s="84" t="s">
        <v>287</v>
      </c>
      <c r="C31" s="80"/>
      <c r="E31" s="17"/>
      <c r="F31" s="17"/>
      <c r="G31" s="17"/>
      <c r="H31" s="17"/>
      <c r="I31" s="24"/>
      <c r="K31" s="29"/>
    </row>
    <row r="32" spans="2:11" x14ac:dyDescent="0.55000000000000004">
      <c r="B32" s="87"/>
      <c r="C32" s="80" t="s">
        <v>176</v>
      </c>
      <c r="D32" s="19">
        <f>Depr!H29</f>
        <v>74948.857142857145</v>
      </c>
      <c r="E32" s="17"/>
      <c r="F32" s="17"/>
      <c r="G32" s="17"/>
      <c r="H32" s="17"/>
      <c r="I32" s="24"/>
    </row>
    <row r="33" spans="2:11" x14ac:dyDescent="0.55000000000000004">
      <c r="B33" s="84" t="s">
        <v>288</v>
      </c>
      <c r="C33" s="80"/>
      <c r="E33" s="17"/>
      <c r="F33" s="17"/>
      <c r="G33" s="17"/>
      <c r="H33" s="17"/>
      <c r="I33" s="24"/>
    </row>
    <row r="34" spans="2:11" x14ac:dyDescent="0.55000000000000004">
      <c r="B34" s="87"/>
      <c r="C34" s="80" t="s">
        <v>176</v>
      </c>
      <c r="D34" s="19">
        <f>Depr!H31</f>
        <v>11412.24</v>
      </c>
      <c r="E34" s="17"/>
      <c r="F34" s="17"/>
      <c r="G34" s="17"/>
      <c r="H34" s="17"/>
      <c r="I34" s="24"/>
    </row>
    <row r="35" spans="2:11" x14ac:dyDescent="0.55000000000000004">
      <c r="B35" s="84" t="s">
        <v>289</v>
      </c>
      <c r="C35" s="80"/>
      <c r="E35" s="17"/>
      <c r="F35" s="17"/>
      <c r="G35" s="17"/>
      <c r="H35" s="17"/>
      <c r="I35" s="24"/>
    </row>
    <row r="36" spans="2:11" x14ac:dyDescent="0.55000000000000004">
      <c r="B36" s="87"/>
      <c r="C36" s="80" t="s">
        <v>176</v>
      </c>
      <c r="D36" s="19">
        <f>Depr!H33</f>
        <v>18009.2</v>
      </c>
      <c r="E36" s="17"/>
      <c r="F36" s="17"/>
      <c r="G36" s="17"/>
      <c r="H36" s="17"/>
      <c r="I36" s="24"/>
    </row>
    <row r="37" spans="2:11" x14ac:dyDescent="0.55000000000000004">
      <c r="B37" s="84" t="s">
        <v>369</v>
      </c>
      <c r="C37" s="80"/>
      <c r="E37" s="17"/>
      <c r="F37" s="17"/>
      <c r="G37" s="17"/>
      <c r="H37" s="17"/>
      <c r="I37" s="24"/>
    </row>
    <row r="38" spans="2:11" x14ac:dyDescent="0.55000000000000004">
      <c r="B38" s="87"/>
      <c r="C38" s="80" t="s">
        <v>176</v>
      </c>
      <c r="D38" s="19">
        <f>Depr!H35</f>
        <v>7834.2857142857147</v>
      </c>
      <c r="E38" s="17"/>
      <c r="F38" s="17"/>
      <c r="G38" s="17"/>
      <c r="H38" s="17"/>
      <c r="I38" s="24"/>
    </row>
    <row r="39" spans="2:11" x14ac:dyDescent="0.55000000000000004">
      <c r="B39" s="23"/>
      <c r="E39" s="17"/>
      <c r="F39" s="17"/>
      <c r="G39" s="17"/>
      <c r="H39" s="17"/>
      <c r="I39" s="24"/>
    </row>
    <row r="40" spans="2:11" x14ac:dyDescent="0.55000000000000004">
      <c r="B40" s="354" t="s">
        <v>186</v>
      </c>
      <c r="C40" s="71"/>
      <c r="D40" s="19">
        <f>SUM(D32:D39)</f>
        <v>112204.58285714286</v>
      </c>
      <c r="E40" s="17"/>
      <c r="F40" s="17"/>
      <c r="G40" s="17"/>
      <c r="H40" s="17"/>
      <c r="I40" s="24"/>
    </row>
    <row r="41" spans="2:11" x14ac:dyDescent="0.55000000000000004">
      <c r="B41" s="84" t="s">
        <v>187</v>
      </c>
      <c r="C41" s="355"/>
      <c r="D41" s="17"/>
      <c r="E41" s="17">
        <f>E29*$D$40</f>
        <v>8594.4124402451416</v>
      </c>
      <c r="F41" s="17">
        <f t="shared" ref="F41:I41" si="1">F29*$D$40</f>
        <v>63197.341340849547</v>
      </c>
      <c r="G41" s="17">
        <f t="shared" si="1"/>
        <v>7637.2560620387821</v>
      </c>
      <c r="H41" s="17">
        <f t="shared" si="1"/>
        <v>3296.8260165658185</v>
      </c>
      <c r="I41" s="24">
        <f t="shared" si="1"/>
        <v>29478.746997443577</v>
      </c>
    </row>
    <row r="42" spans="2:11" x14ac:dyDescent="0.55000000000000004">
      <c r="B42" s="87"/>
      <c r="C42" s="352"/>
      <c r="D42" s="17"/>
      <c r="E42" s="17"/>
      <c r="F42" s="17"/>
      <c r="G42" s="17"/>
      <c r="H42" s="17"/>
      <c r="I42" s="24"/>
    </row>
    <row r="43" spans="2:11" x14ac:dyDescent="0.55000000000000004">
      <c r="B43" s="100" t="s">
        <v>163</v>
      </c>
      <c r="C43" s="30"/>
      <c r="D43" s="30">
        <f>D28+D40</f>
        <v>409457.01463492063</v>
      </c>
      <c r="E43" s="30">
        <f>E28+E41</f>
        <v>31362.733773578475</v>
      </c>
      <c r="F43" s="30">
        <f t="shared" ref="F43:I43" si="2">F28+F41</f>
        <v>230619.7666741829</v>
      </c>
      <c r="G43" s="30">
        <f t="shared" si="2"/>
        <v>27869.878284261002</v>
      </c>
      <c r="H43" s="30">
        <f t="shared" si="2"/>
        <v>12030.778994405784</v>
      </c>
      <c r="I43" s="101">
        <f t="shared" si="2"/>
        <v>107573.85690849251</v>
      </c>
      <c r="K43" s="19">
        <f>SUM(E43:I43)</f>
        <v>409457.01463492063</v>
      </c>
    </row>
    <row r="44" spans="2:11" x14ac:dyDescent="0.55000000000000004">
      <c r="B44" s="26"/>
      <c r="C44" s="16"/>
      <c r="D44" s="16"/>
      <c r="E44" s="16"/>
      <c r="F44" s="16"/>
      <c r="G44" s="16"/>
      <c r="H44" s="16"/>
      <c r="I44" s="27"/>
    </row>
    <row r="46" spans="2:11" x14ac:dyDescent="0.55000000000000004">
      <c r="K46" s="19">
        <f>SUM(E46:I46)</f>
        <v>0</v>
      </c>
    </row>
    <row r="49" spans="4:4" x14ac:dyDescent="0.55000000000000004">
      <c r="D49" s="29"/>
    </row>
  </sheetData>
  <mergeCells count="2">
    <mergeCell ref="B2:I2"/>
    <mergeCell ref="B4:I4"/>
  </mergeCells>
  <printOptions horizontalCentered="1"/>
  <pageMargins left="0.7" right="0.7" top="1.5" bottom="0.75" header="0.3" footer="0.3"/>
  <pageSetup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N80"/>
  <sheetViews>
    <sheetView topLeftCell="A35" zoomScaleNormal="100" workbookViewId="0">
      <selection activeCell="H9" sqref="H9"/>
    </sheetView>
  </sheetViews>
  <sheetFormatPr defaultColWidth="8.86328125" defaultRowHeight="14.4" x14ac:dyDescent="0.55000000000000004"/>
  <cols>
    <col min="1" max="1" width="8.86328125" style="1"/>
    <col min="2" max="2" width="1.76953125" style="1" customWidth="1"/>
    <col min="3" max="3" width="2.6796875" style="1" customWidth="1"/>
    <col min="4" max="4" width="21.2265625" style="1" customWidth="1"/>
    <col min="5" max="6" width="10.453125" style="1" hidden="1" customWidth="1"/>
    <col min="7" max="7" width="10" style="1" hidden="1" customWidth="1"/>
    <col min="8" max="8" width="10.76953125" style="19" customWidth="1"/>
    <col min="9" max="9" width="9.54296875" style="1" customWidth="1"/>
    <col min="10" max="10" width="10.76953125" style="19" customWidth="1"/>
    <col min="11" max="11" width="11.54296875" style="19" customWidth="1"/>
    <col min="12" max="12" width="1.76953125" style="1" customWidth="1"/>
    <col min="13" max="14" width="10.6796875" style="1" customWidth="1"/>
    <col min="15" max="16384" width="8.86328125" style="1"/>
  </cols>
  <sheetData>
    <row r="1" spans="2:14" ht="4" customHeight="1" x14ac:dyDescent="0.55000000000000004">
      <c r="B1" s="110"/>
      <c r="C1" s="111"/>
      <c r="D1" s="111"/>
      <c r="E1" s="111"/>
      <c r="F1" s="111"/>
      <c r="G1" s="111"/>
      <c r="H1" s="21"/>
      <c r="I1" s="111"/>
      <c r="J1" s="21"/>
      <c r="K1" s="21"/>
      <c r="L1" s="112"/>
    </row>
    <row r="2" spans="2:14" ht="20.25" customHeight="1" x14ac:dyDescent="0.7">
      <c r="B2" s="113"/>
      <c r="C2" s="425" t="s">
        <v>41</v>
      </c>
      <c r="D2" s="425"/>
      <c r="E2" s="425"/>
      <c r="F2" s="425"/>
      <c r="G2" s="425"/>
      <c r="H2" s="425"/>
      <c r="I2" s="425"/>
      <c r="J2" s="425"/>
      <c r="K2" s="425"/>
      <c r="L2" s="109"/>
    </row>
    <row r="3" spans="2:14" ht="18.3" x14ac:dyDescent="0.7">
      <c r="B3" s="113"/>
      <c r="C3" s="114" t="s">
        <v>43</v>
      </c>
      <c r="D3" s="95"/>
      <c r="E3" s="95"/>
      <c r="F3" s="95"/>
      <c r="G3" s="95"/>
      <c r="H3" s="389"/>
      <c r="I3" s="95"/>
      <c r="J3" s="389"/>
      <c r="K3" s="389"/>
      <c r="L3" s="96"/>
      <c r="N3" s="6"/>
    </row>
    <row r="4" spans="2:14" ht="15.6" x14ac:dyDescent="0.55000000000000004">
      <c r="B4" s="113"/>
      <c r="C4" s="426" t="s">
        <v>381</v>
      </c>
      <c r="D4" s="426"/>
      <c r="E4" s="426"/>
      <c r="F4" s="426"/>
      <c r="G4" s="426"/>
      <c r="H4" s="426"/>
      <c r="I4" s="426"/>
      <c r="J4" s="426"/>
      <c r="K4" s="426"/>
      <c r="L4" s="432"/>
      <c r="N4" s="6"/>
    </row>
    <row r="5" spans="2:14" ht="7" customHeight="1" x14ac:dyDescent="0.55000000000000004">
      <c r="B5" s="113"/>
      <c r="C5" s="107"/>
      <c r="D5" s="95"/>
      <c r="E5" s="95"/>
      <c r="F5" s="95"/>
      <c r="G5" s="95"/>
      <c r="H5" s="389"/>
      <c r="I5" s="95"/>
      <c r="J5" s="389"/>
      <c r="K5" s="389"/>
      <c r="L5" s="96"/>
      <c r="N5" s="6"/>
    </row>
    <row r="6" spans="2:14" ht="15" customHeight="1" x14ac:dyDescent="0.55000000000000004">
      <c r="B6" s="113"/>
      <c r="C6" s="115"/>
      <c r="D6" s="116"/>
      <c r="E6" s="117"/>
      <c r="F6" s="117"/>
      <c r="G6" s="118" t="s">
        <v>102</v>
      </c>
      <c r="H6" s="390" t="s">
        <v>416</v>
      </c>
      <c r="I6" s="119" t="s">
        <v>44</v>
      </c>
      <c r="J6" s="390" t="s">
        <v>45</v>
      </c>
      <c r="K6" s="390" t="s">
        <v>47</v>
      </c>
      <c r="L6" s="120"/>
      <c r="M6" s="41"/>
      <c r="N6" s="41"/>
    </row>
    <row r="7" spans="2:14" x14ac:dyDescent="0.55000000000000004">
      <c r="B7" s="113"/>
      <c r="C7" s="115"/>
      <c r="D7" s="116"/>
      <c r="E7" s="118" t="s">
        <v>159</v>
      </c>
      <c r="F7" s="117"/>
      <c r="G7" s="119" t="s">
        <v>14</v>
      </c>
      <c r="H7" s="390" t="s">
        <v>169</v>
      </c>
      <c r="I7" s="119" t="s">
        <v>46</v>
      </c>
      <c r="J7" s="390" t="s">
        <v>44</v>
      </c>
      <c r="K7" s="390" t="s">
        <v>44</v>
      </c>
      <c r="L7" s="120"/>
      <c r="M7" s="41"/>
      <c r="N7" s="41"/>
    </row>
    <row r="8" spans="2:14" ht="15.3" x14ac:dyDescent="0.55000000000000004">
      <c r="B8" s="113"/>
      <c r="C8" s="115" t="s">
        <v>48</v>
      </c>
      <c r="D8" s="116"/>
      <c r="E8" s="116"/>
      <c r="F8" s="121"/>
      <c r="G8" s="116">
        <f>SAO!G20</f>
        <v>687138.36750000005</v>
      </c>
      <c r="H8" s="17"/>
      <c r="I8" s="116"/>
      <c r="J8" s="17"/>
      <c r="K8" s="17"/>
      <c r="L8" s="122"/>
      <c r="N8" s="6"/>
    </row>
    <row r="9" spans="2:14" x14ac:dyDescent="0.55000000000000004">
      <c r="B9" s="113"/>
      <c r="C9" s="115"/>
      <c r="D9" s="116" t="s">
        <v>368</v>
      </c>
      <c r="E9" s="116">
        <f>SUM(H9:H12)</f>
        <v>687138.36750000017</v>
      </c>
      <c r="F9" s="123">
        <f>H9/$G$8</f>
        <v>6.1917628208024073E-2</v>
      </c>
      <c r="H9" s="17">
        <f>Al_Wages!E27</f>
        <v>42545.977966333616</v>
      </c>
      <c r="I9" s="125">
        <f>Fac!$I$28</f>
        <v>6.6189225887487463E-2</v>
      </c>
      <c r="J9" s="17">
        <f>H9*I9</f>
        <v>2816.0853462177201</v>
      </c>
      <c r="K9" s="17">
        <f>H9-J9</f>
        <v>39729.892620115897</v>
      </c>
      <c r="L9" s="122"/>
      <c r="M9" s="92"/>
      <c r="N9" s="6"/>
    </row>
    <row r="10" spans="2:14" x14ac:dyDescent="0.55000000000000004">
      <c r="B10" s="113"/>
      <c r="C10" s="115"/>
      <c r="D10" s="116" t="s">
        <v>50</v>
      </c>
      <c r="E10" s="116"/>
      <c r="F10" s="123">
        <f t="shared" ref="F10:F12" si="0">H10/$G$8</f>
        <v>0.55725865387221662</v>
      </c>
      <c r="H10" s="17">
        <f>Al_Wages!F27</f>
        <v>382913.80169700249</v>
      </c>
      <c r="I10" s="125">
        <f>Fac!$I$32</f>
        <v>1.3674183703578051E-2</v>
      </c>
      <c r="J10" s="17">
        <f t="shared" ref="J10:J12" si="1">H10*I10</f>
        <v>5236.0336670402694</v>
      </c>
      <c r="K10" s="17">
        <f t="shared" ref="K10:K12" si="2">H10-J10</f>
        <v>377677.7680299622</v>
      </c>
      <c r="L10" s="122"/>
      <c r="M10" s="92"/>
      <c r="N10" s="6"/>
    </row>
    <row r="11" spans="2:14" x14ac:dyDescent="0.55000000000000004">
      <c r="B11" s="113"/>
      <c r="C11" s="115"/>
      <c r="D11" s="116" t="s">
        <v>49</v>
      </c>
      <c r="E11" s="116"/>
      <c r="F11" s="123">
        <f t="shared" si="0"/>
        <v>0.15949690832579227</v>
      </c>
      <c r="H11" s="17">
        <f>Al_Wages!G26</f>
        <v>109596.44520828208</v>
      </c>
      <c r="I11" s="116"/>
      <c r="J11" s="17"/>
      <c r="K11" s="17">
        <f t="shared" si="2"/>
        <v>109596.44520828208</v>
      </c>
      <c r="L11" s="122"/>
      <c r="M11" s="92"/>
      <c r="N11" s="6"/>
    </row>
    <row r="12" spans="2:14" x14ac:dyDescent="0.55000000000000004">
      <c r="B12" s="113"/>
      <c r="C12" s="115"/>
      <c r="D12" s="116" t="s">
        <v>51</v>
      </c>
      <c r="E12" s="116"/>
      <c r="F12" s="123">
        <f t="shared" si="0"/>
        <v>0.22132680959396711</v>
      </c>
      <c r="H12" s="17">
        <f>Al_Wages!H26</f>
        <v>152082.1426283819</v>
      </c>
      <c r="I12" s="125">
        <f>Fac!$I$32</f>
        <v>1.3674183703578051E-2</v>
      </c>
      <c r="J12" s="17">
        <f t="shared" si="1"/>
        <v>2079.5991563342527</v>
      </c>
      <c r="K12" s="17">
        <f t="shared" si="2"/>
        <v>150002.54347204766</v>
      </c>
      <c r="L12" s="122"/>
      <c r="M12" s="103">
        <f>SUM(H9:H12)</f>
        <v>687138.36750000017</v>
      </c>
      <c r="N12" s="6"/>
    </row>
    <row r="13" spans="2:14" ht="15.3" x14ac:dyDescent="0.55000000000000004">
      <c r="B13" s="113"/>
      <c r="C13" s="115" t="s">
        <v>386</v>
      </c>
      <c r="D13" s="116"/>
      <c r="E13" s="116"/>
      <c r="F13" s="126"/>
      <c r="G13" s="116">
        <f>SAO!G23+Adj!P32</f>
        <v>518699.3241550001</v>
      </c>
      <c r="H13" s="17"/>
      <c r="I13" s="116"/>
      <c r="J13" s="17"/>
      <c r="K13" s="17"/>
      <c r="L13" s="122"/>
      <c r="M13" s="92"/>
      <c r="N13" s="6"/>
    </row>
    <row r="14" spans="2:14" x14ac:dyDescent="0.55000000000000004">
      <c r="B14" s="113"/>
      <c r="C14" s="115"/>
      <c r="D14" s="116" t="s">
        <v>368</v>
      </c>
      <c r="E14" s="116">
        <f>SUM(H14:H17)</f>
        <v>518699.32415500015</v>
      </c>
      <c r="F14" s="123">
        <f>F9</f>
        <v>6.1917628208024073E-2</v>
      </c>
      <c r="G14" s="124"/>
      <c r="H14" s="17">
        <f>G13*F14</f>
        <v>32116.631904782655</v>
      </c>
      <c r="I14" s="125">
        <f>Fac!$I$28</f>
        <v>6.6189225887487463E-2</v>
      </c>
      <c r="J14" s="17">
        <f t="shared" ref="J14:J18" si="3">H14*I14</f>
        <v>2125.7750038909458</v>
      </c>
      <c r="K14" s="17">
        <f t="shared" ref="K14:K18" si="4">H14-J14</f>
        <v>29990.856900891707</v>
      </c>
      <c r="L14" s="122"/>
      <c r="M14" s="92"/>
      <c r="N14" s="6"/>
    </row>
    <row r="15" spans="2:14" x14ac:dyDescent="0.55000000000000004">
      <c r="B15" s="113"/>
      <c r="C15" s="115"/>
      <c r="D15" s="116" t="s">
        <v>50</v>
      </c>
      <c r="E15" s="116"/>
      <c r="F15" s="123">
        <f t="shared" ref="F15:F17" si="5">F10</f>
        <v>0.55725865387221662</v>
      </c>
      <c r="G15" s="124"/>
      <c r="H15" s="17">
        <f>G13*F15</f>
        <v>289049.68714304391</v>
      </c>
      <c r="I15" s="125">
        <f>Fac!$I$32</f>
        <v>1.3674183703578051E-2</v>
      </c>
      <c r="J15" s="17">
        <f t="shared" si="3"/>
        <v>3952.518521455745</v>
      </c>
      <c r="K15" s="17">
        <f t="shared" si="4"/>
        <v>285097.16862158815</v>
      </c>
      <c r="L15" s="122"/>
      <c r="M15" s="92"/>
      <c r="N15" s="6"/>
    </row>
    <row r="16" spans="2:14" x14ac:dyDescent="0.55000000000000004">
      <c r="B16" s="113"/>
      <c r="C16" s="115"/>
      <c r="D16" s="116" t="s">
        <v>49</v>
      </c>
      <c r="E16" s="116"/>
      <c r="F16" s="123">
        <f t="shared" si="5"/>
        <v>0.15949690832579227</v>
      </c>
      <c r="G16" s="124"/>
      <c r="H16" s="17">
        <f>G13*F16</f>
        <v>82730.938553400454</v>
      </c>
      <c r="I16" s="116"/>
      <c r="J16" s="17"/>
      <c r="K16" s="17">
        <f>H16-J16</f>
        <v>82730.938553400454</v>
      </c>
      <c r="L16" s="122"/>
      <c r="M16" s="92"/>
      <c r="N16" s="6"/>
    </row>
    <row r="17" spans="2:14" x14ac:dyDescent="0.55000000000000004">
      <c r="B17" s="113"/>
      <c r="C17" s="115"/>
      <c r="D17" s="116" t="s">
        <v>51</v>
      </c>
      <c r="E17" s="116"/>
      <c r="F17" s="123">
        <f t="shared" si="5"/>
        <v>0.22132680959396711</v>
      </c>
      <c r="G17" s="124"/>
      <c r="H17" s="17">
        <f>G13*F17</f>
        <v>114802.06655377313</v>
      </c>
      <c r="I17" s="125">
        <f>Fac!$I$32</f>
        <v>1.3674183703578051E-2</v>
      </c>
      <c r="J17" s="17">
        <f t="shared" si="3"/>
        <v>1569.8245476066872</v>
      </c>
      <c r="K17" s="17">
        <f t="shared" si="4"/>
        <v>113232.24200616645</v>
      </c>
      <c r="L17" s="122"/>
      <c r="M17" s="103">
        <f>SUM(K14:K17)</f>
        <v>511051.20608204673</v>
      </c>
      <c r="N17" s="6"/>
    </row>
    <row r="18" spans="2:14" ht="15.3" x14ac:dyDescent="0.55000000000000004">
      <c r="B18" s="113"/>
      <c r="C18" s="115" t="s">
        <v>154</v>
      </c>
      <c r="D18" s="116"/>
      <c r="E18" s="116"/>
      <c r="F18" s="126"/>
      <c r="G18" s="116"/>
      <c r="H18" s="17">
        <f>SAO!G21</f>
        <v>18000</v>
      </c>
      <c r="I18" s="125">
        <f>Fac!$I$32</f>
        <v>1.3674183703578051E-2</v>
      </c>
      <c r="J18" s="17">
        <f t="shared" si="3"/>
        <v>246.13530666440491</v>
      </c>
      <c r="K18" s="17">
        <f t="shared" si="4"/>
        <v>17753.864693335596</v>
      </c>
      <c r="L18" s="122"/>
      <c r="M18" s="92"/>
      <c r="N18" s="6"/>
    </row>
    <row r="19" spans="2:14" ht="15.3" x14ac:dyDescent="0.55000000000000004">
      <c r="B19" s="113"/>
      <c r="C19" s="115" t="s">
        <v>198</v>
      </c>
      <c r="D19" s="116"/>
      <c r="E19" s="116"/>
      <c r="F19" s="126"/>
      <c r="G19" s="116"/>
      <c r="H19" s="17">
        <f>SAO!G25</f>
        <v>1372484.205395258</v>
      </c>
      <c r="I19" s="125">
        <f>Fac!$I$28</f>
        <v>6.6189225887487463E-2</v>
      </c>
      <c r="J19" s="17">
        <f t="shared" ref="J19" si="6">H19*I19</f>
        <v>90843.667097915473</v>
      </c>
      <c r="K19" s="17">
        <f t="shared" ref="K19" si="7">H19-J19</f>
        <v>1281640.5382973426</v>
      </c>
      <c r="L19" s="122"/>
      <c r="M19" s="92"/>
      <c r="N19" s="6"/>
    </row>
    <row r="20" spans="2:14" ht="15.3" x14ac:dyDescent="0.55000000000000004">
      <c r="B20" s="113"/>
      <c r="C20" s="115" t="s">
        <v>5</v>
      </c>
      <c r="D20" s="116"/>
      <c r="E20" s="116"/>
      <c r="F20" s="121"/>
      <c r="G20" s="116">
        <f>SAO!G26</f>
        <v>100649.39737236709</v>
      </c>
      <c r="H20" s="17"/>
      <c r="I20" s="116"/>
      <c r="J20" s="17"/>
      <c r="K20" s="17"/>
      <c r="L20" s="122"/>
      <c r="M20" s="92"/>
      <c r="N20" s="6"/>
    </row>
    <row r="21" spans="2:14" x14ac:dyDescent="0.55000000000000004">
      <c r="B21" s="113"/>
      <c r="C21" s="115"/>
      <c r="D21" s="116" t="s">
        <v>368</v>
      </c>
      <c r="E21" s="116" t="s">
        <v>384</v>
      </c>
      <c r="F21" s="123"/>
      <c r="G21" s="124"/>
      <c r="H21" s="17">
        <v>60776</v>
      </c>
      <c r="I21" s="125">
        <f>Fac!$I$28</f>
        <v>6.6189225887487463E-2</v>
      </c>
      <c r="J21" s="17">
        <f>H21*I21</f>
        <v>4022.7163925379382</v>
      </c>
      <c r="K21" s="17">
        <f>H21-J21</f>
        <v>56753.283607462065</v>
      </c>
      <c r="L21" s="122"/>
      <c r="M21" s="92"/>
      <c r="N21" s="6"/>
    </row>
    <row r="22" spans="2:14" x14ac:dyDescent="0.55000000000000004">
      <c r="B22" s="113"/>
      <c r="C22" s="115"/>
      <c r="D22" s="116" t="s">
        <v>50</v>
      </c>
      <c r="E22" s="116"/>
      <c r="F22" s="123"/>
      <c r="G22" s="124"/>
      <c r="H22" s="17">
        <f>G20-H21</f>
        <v>39873.397372367093</v>
      </c>
      <c r="I22" s="125"/>
      <c r="J22" s="17"/>
      <c r="K22" s="17">
        <f>H22-J22</f>
        <v>39873.397372367093</v>
      </c>
      <c r="L22" s="122"/>
      <c r="M22" s="92"/>
      <c r="N22" s="6"/>
    </row>
    <row r="23" spans="2:14" x14ac:dyDescent="0.55000000000000004">
      <c r="B23" s="113"/>
      <c r="C23" s="115" t="s">
        <v>42</v>
      </c>
      <c r="D23" s="116"/>
      <c r="E23" s="116"/>
      <c r="F23" s="117" t="s">
        <v>375</v>
      </c>
      <c r="G23" s="124"/>
      <c r="H23" s="17">
        <f>SAO!G27</f>
        <v>4443</v>
      </c>
      <c r="I23" s="125">
        <f>Fac!$I$28</f>
        <v>6.6189225887487463E-2</v>
      </c>
      <c r="J23" s="17">
        <f>H23*I23</f>
        <v>294.07873061810682</v>
      </c>
      <c r="K23" s="17">
        <f>H23-J23</f>
        <v>4148.9212693818936</v>
      </c>
      <c r="L23" s="122"/>
      <c r="M23" s="92"/>
      <c r="N23" s="6"/>
    </row>
    <row r="24" spans="2:14" ht="15.3" x14ac:dyDescent="0.55000000000000004">
      <c r="B24" s="113"/>
      <c r="C24" s="115" t="s">
        <v>52</v>
      </c>
      <c r="D24" s="116"/>
      <c r="E24" s="116">
        <f>SUM(F26:F29)</f>
        <v>216613.13</v>
      </c>
      <c r="F24" s="121"/>
      <c r="G24" s="116">
        <f>SAO!G28</f>
        <v>216613</v>
      </c>
      <c r="H24" s="17"/>
      <c r="I24" s="116"/>
      <c r="J24" s="17"/>
      <c r="K24" s="17"/>
      <c r="L24" s="122"/>
      <c r="M24" s="92"/>
      <c r="N24" s="6"/>
    </row>
    <row r="25" spans="2:14" x14ac:dyDescent="0.55000000000000004">
      <c r="B25" s="113"/>
      <c r="C25" s="115"/>
      <c r="D25" s="116" t="s">
        <v>368</v>
      </c>
      <c r="E25" s="116"/>
      <c r="F25" s="123"/>
      <c r="G25" s="124"/>
      <c r="H25" s="17">
        <f>0.1*F26</f>
        <v>12918.713000000002</v>
      </c>
      <c r="I25" s="125">
        <f>Fac!$I$28</f>
        <v>6.6189225887487463E-2</v>
      </c>
      <c r="J25" s="17">
        <f t="shared" ref="J25:J31" si="8">H25*I25</f>
        <v>855.07961293262088</v>
      </c>
      <c r="K25" s="17">
        <f t="shared" ref="K25:K31" si="9">H25-J25</f>
        <v>12063.633387067381</v>
      </c>
      <c r="L25" s="122"/>
      <c r="M25" s="92"/>
      <c r="N25" s="6"/>
    </row>
    <row r="26" spans="2:14" x14ac:dyDescent="0.55000000000000004">
      <c r="B26" s="113"/>
      <c r="C26" s="115"/>
      <c r="D26" s="116" t="s">
        <v>50</v>
      </c>
      <c r="E26" s="116"/>
      <c r="F26" s="116">
        <f>827.66+10843.32+11981.67+6774.19+115875.29-17115</f>
        <v>129187.13</v>
      </c>
      <c r="G26" s="124"/>
      <c r="H26" s="17">
        <f>F26-H25</f>
        <v>116268.417</v>
      </c>
      <c r="I26" s="125">
        <f>Fac!$I$32</f>
        <v>1.3674183703578051E-2</v>
      </c>
      <c r="J26" s="17">
        <f t="shared" si="8"/>
        <v>1589.8756929822173</v>
      </c>
      <c r="K26" s="17">
        <f t="shared" si="9"/>
        <v>114678.54130701779</v>
      </c>
      <c r="L26" s="122"/>
      <c r="M26" s="92"/>
      <c r="N26" s="6"/>
    </row>
    <row r="27" spans="2:14" x14ac:dyDescent="0.55000000000000004">
      <c r="B27" s="113"/>
      <c r="C27" s="115"/>
      <c r="D27" s="115" t="s">
        <v>164</v>
      </c>
      <c r="E27" s="116"/>
      <c r="F27" s="116">
        <v>56679.48</v>
      </c>
      <c r="G27" s="124"/>
      <c r="H27" s="17">
        <f>F27</f>
        <v>56679.48</v>
      </c>
      <c r="I27" s="125">
        <f>Fac!I36</f>
        <v>7.8155947644827695E-2</v>
      </c>
      <c r="J27" s="17">
        <f t="shared" ref="J27" si="10">H27*I27</f>
        <v>4429.8384714160584</v>
      </c>
      <c r="K27" s="17">
        <f t="shared" ref="K27" si="11">H27-J27</f>
        <v>52249.641528583947</v>
      </c>
      <c r="L27" s="122"/>
      <c r="M27" s="92"/>
      <c r="N27" s="6"/>
    </row>
    <row r="28" spans="2:14" x14ac:dyDescent="0.55000000000000004">
      <c r="B28" s="113"/>
      <c r="C28" s="115"/>
      <c r="D28" s="116" t="s">
        <v>49</v>
      </c>
      <c r="E28" s="116"/>
      <c r="F28" s="116">
        <v>24497.02</v>
      </c>
      <c r="G28" s="124"/>
      <c r="H28" s="17">
        <f>F28</f>
        <v>24497.02</v>
      </c>
      <c r="I28" s="116"/>
      <c r="J28" s="17"/>
      <c r="K28" s="17">
        <f t="shared" si="9"/>
        <v>24497.02</v>
      </c>
      <c r="L28" s="122"/>
      <c r="M28" s="92"/>
      <c r="N28" s="6"/>
    </row>
    <row r="29" spans="2:14" x14ac:dyDescent="0.55000000000000004">
      <c r="B29" s="113"/>
      <c r="C29" s="115"/>
      <c r="D29" s="116" t="s">
        <v>51</v>
      </c>
      <c r="E29" s="116"/>
      <c r="F29" s="116">
        <v>6249.5</v>
      </c>
      <c r="G29" s="124"/>
      <c r="H29" s="17">
        <f>F29</f>
        <v>6249.5</v>
      </c>
      <c r="I29" s="125">
        <f>Fac!$I$32</f>
        <v>1.3674183703578051E-2</v>
      </c>
      <c r="J29" s="17">
        <f t="shared" si="8"/>
        <v>85.456811055511025</v>
      </c>
      <c r="K29" s="17">
        <f t="shared" si="9"/>
        <v>6164.043188944489</v>
      </c>
      <c r="L29" s="122"/>
      <c r="M29" s="103">
        <f>SUM(K25:K29)</f>
        <v>209652.8794116136</v>
      </c>
      <c r="N29" s="6"/>
    </row>
    <row r="30" spans="2:14" x14ac:dyDescent="0.55000000000000004">
      <c r="B30" s="113"/>
      <c r="C30" s="48" t="s">
        <v>199</v>
      </c>
      <c r="D30" s="116"/>
      <c r="E30" s="116"/>
      <c r="F30" s="361" t="s">
        <v>365</v>
      </c>
      <c r="G30" s="124"/>
      <c r="H30" s="17">
        <f>SAO!G29</f>
        <v>20142</v>
      </c>
      <c r="I30" s="125">
        <f>Fac!$I$28</f>
        <v>6.6189225887487463E-2</v>
      </c>
      <c r="J30" s="17">
        <f t="shared" ref="J30" si="12">H30*I30</f>
        <v>1333.1833878257726</v>
      </c>
      <c r="K30" s="17">
        <f t="shared" ref="K30" si="13">H30-J30</f>
        <v>18808.816612174229</v>
      </c>
      <c r="L30" s="122"/>
      <c r="M30" s="103"/>
      <c r="N30" s="6"/>
    </row>
    <row r="31" spans="2:14" x14ac:dyDescent="0.55000000000000004">
      <c r="B31" s="113"/>
      <c r="C31" s="115" t="s">
        <v>58</v>
      </c>
      <c r="D31" s="116"/>
      <c r="E31" s="116"/>
      <c r="F31" s="117" t="s">
        <v>376</v>
      </c>
      <c r="G31" s="124"/>
      <c r="H31" s="17">
        <f>SAO!G30</f>
        <v>52322</v>
      </c>
      <c r="I31" s="125">
        <f>Fac!$I$32</f>
        <v>1.3674183703578051E-2</v>
      </c>
      <c r="J31" s="17">
        <f t="shared" si="8"/>
        <v>715.46063973861078</v>
      </c>
      <c r="K31" s="17">
        <f t="shared" si="9"/>
        <v>51606.539360261391</v>
      </c>
      <c r="L31" s="122"/>
      <c r="M31" s="92"/>
      <c r="N31" s="6"/>
    </row>
    <row r="32" spans="2:14" x14ac:dyDescent="0.55000000000000004">
      <c r="B32" s="113"/>
      <c r="C32" s="115" t="s">
        <v>155</v>
      </c>
      <c r="D32" s="116"/>
      <c r="E32" s="116"/>
      <c r="F32" s="117" t="s">
        <v>375</v>
      </c>
      <c r="G32" s="116"/>
      <c r="H32" s="17">
        <f>SAO!G31</f>
        <v>12218</v>
      </c>
      <c r="I32" s="125">
        <f>Fac!$I$28</f>
        <v>6.6189225887487463E-2</v>
      </c>
      <c r="J32" s="17">
        <f t="shared" ref="J32:J33" si="14">H32*I32</f>
        <v>808.69996189332187</v>
      </c>
      <c r="K32" s="17">
        <f t="shared" ref="K32:K33" si="15">H32-J32</f>
        <v>11409.300038106678</v>
      </c>
      <c r="L32" s="122"/>
      <c r="M32" s="92"/>
      <c r="N32" s="6"/>
    </row>
    <row r="33" spans="2:14" x14ac:dyDescent="0.55000000000000004">
      <c r="B33" s="113"/>
      <c r="C33" s="48" t="s">
        <v>201</v>
      </c>
      <c r="D33" s="116"/>
      <c r="E33" s="116"/>
      <c r="F33" s="117" t="s">
        <v>376</v>
      </c>
      <c r="G33" s="116"/>
      <c r="H33" s="17">
        <f>SAO!G32</f>
        <v>482</v>
      </c>
      <c r="I33" s="125">
        <f>Fac!$I$32</f>
        <v>1.3674183703578051E-2</v>
      </c>
      <c r="J33" s="17">
        <f t="shared" si="14"/>
        <v>6.5909565451246204</v>
      </c>
      <c r="K33" s="17">
        <f t="shared" si="15"/>
        <v>475.40904345487536</v>
      </c>
      <c r="L33" s="122"/>
      <c r="M33" s="92"/>
      <c r="N33" s="6"/>
    </row>
    <row r="34" spans="2:14" ht="15.3" x14ac:dyDescent="0.55000000000000004">
      <c r="B34" s="113"/>
      <c r="C34" s="115" t="s">
        <v>53</v>
      </c>
      <c r="D34" s="116"/>
      <c r="E34" s="123">
        <f>F14</f>
        <v>6.1917628208024073E-2</v>
      </c>
      <c r="F34" s="121"/>
      <c r="G34" s="116">
        <f>SAO!G33</f>
        <v>55627</v>
      </c>
      <c r="H34" s="17"/>
      <c r="I34" s="125"/>
      <c r="J34" s="17"/>
      <c r="K34" s="17"/>
      <c r="L34" s="122"/>
      <c r="M34" s="92"/>
      <c r="N34" s="6"/>
    </row>
    <row r="35" spans="2:14" x14ac:dyDescent="0.55000000000000004">
      <c r="B35" s="113"/>
      <c r="C35" s="115"/>
      <c r="D35" s="116" t="s">
        <v>368</v>
      </c>
      <c r="E35" s="123">
        <f t="shared" ref="E35:E37" si="16">F15</f>
        <v>0.55725865387221662</v>
      </c>
      <c r="F35" s="360">
        <f>(E34+E35+E37)*0.1</f>
        <v>8.4050309167420789E-2</v>
      </c>
      <c r="G35" s="116"/>
      <c r="H35" s="17">
        <f>G34*F35</f>
        <v>4675.4665480561162</v>
      </c>
      <c r="I35" s="125">
        <f>Fac!$I$28</f>
        <v>6.6189225887487463E-2</v>
      </c>
      <c r="J35" s="17">
        <f t="shared" ref="J35" si="17">H35*I35</f>
        <v>309.46551147867751</v>
      </c>
      <c r="K35" s="17">
        <f t="shared" ref="K35" si="18">H35-J35</f>
        <v>4366.0010365774388</v>
      </c>
      <c r="L35" s="122"/>
      <c r="M35" s="92"/>
      <c r="N35" s="6"/>
    </row>
    <row r="36" spans="2:14" x14ac:dyDescent="0.55000000000000004">
      <c r="B36" s="113"/>
      <c r="C36" s="115"/>
      <c r="D36" s="116" t="s">
        <v>50</v>
      </c>
      <c r="E36" s="123">
        <f t="shared" si="16"/>
        <v>0.15949690832579227</v>
      </c>
      <c r="F36" s="360">
        <f>(E34+E35+E37)*0.9</f>
        <v>0.75645278250678705</v>
      </c>
      <c r="G36" s="116"/>
      <c r="H36" s="17">
        <f>G34*F36</f>
        <v>42079.198932505045</v>
      </c>
      <c r="I36" s="125">
        <f>Fac!$I$32</f>
        <v>1.3674183703578051E-2</v>
      </c>
      <c r="J36" s="17">
        <f>H36*I36</f>
        <v>575.39869630247938</v>
      </c>
      <c r="K36" s="17">
        <f>H36-J36</f>
        <v>41503.800236202565</v>
      </c>
      <c r="L36" s="122"/>
      <c r="M36" s="92"/>
      <c r="N36" s="6"/>
    </row>
    <row r="37" spans="2:14" x14ac:dyDescent="0.55000000000000004">
      <c r="B37" s="113"/>
      <c r="C37" s="115"/>
      <c r="D37" s="116" t="s">
        <v>49</v>
      </c>
      <c r="E37" s="123">
        <f t="shared" si="16"/>
        <v>0.22132680959396711</v>
      </c>
      <c r="F37" s="360">
        <f>E36</f>
        <v>0.15949690832579227</v>
      </c>
      <c r="G37" s="116"/>
      <c r="H37" s="17">
        <f>G34*F37</f>
        <v>8872.3345194388476</v>
      </c>
      <c r="I37" s="125"/>
      <c r="J37" s="17"/>
      <c r="K37" s="17">
        <f>H37-J37</f>
        <v>8872.3345194388476</v>
      </c>
      <c r="L37" s="122"/>
      <c r="M37" s="92"/>
      <c r="N37" s="6"/>
    </row>
    <row r="38" spans="2:14" ht="15.3" x14ac:dyDescent="0.55000000000000004">
      <c r="B38" s="113"/>
      <c r="C38" s="115" t="s">
        <v>195</v>
      </c>
      <c r="D38" s="116"/>
      <c r="E38" s="116"/>
      <c r="F38" s="359"/>
      <c r="G38" s="116"/>
      <c r="H38" s="17">
        <f>SAO!G35</f>
        <v>48589</v>
      </c>
      <c r="I38" s="125">
        <f>Fac!$I$32</f>
        <v>1.3674183703578051E-2</v>
      </c>
      <c r="J38" s="17">
        <f>H38*I38</f>
        <v>664.41491197315395</v>
      </c>
      <c r="K38" s="17">
        <f>H38-J38</f>
        <v>47924.585088026848</v>
      </c>
      <c r="L38" s="122"/>
      <c r="M38" s="92"/>
      <c r="N38" s="6"/>
    </row>
    <row r="39" spans="2:14" ht="15.3" x14ac:dyDescent="0.55000000000000004">
      <c r="B39" s="113"/>
      <c r="C39" s="115" t="s">
        <v>157</v>
      </c>
      <c r="D39" s="116"/>
      <c r="E39" s="116"/>
      <c r="F39" s="121"/>
      <c r="G39" s="116">
        <f>SAO!G34</f>
        <v>17571</v>
      </c>
      <c r="H39" s="17"/>
      <c r="I39" s="116"/>
      <c r="J39" s="17"/>
      <c r="K39" s="17"/>
      <c r="L39" s="122"/>
      <c r="M39" s="92"/>
      <c r="N39" s="6"/>
    </row>
    <row r="40" spans="2:14" x14ac:dyDescent="0.55000000000000004">
      <c r="B40" s="113"/>
      <c r="C40" s="115"/>
      <c r="D40" s="116" t="s">
        <v>368</v>
      </c>
      <c r="E40" s="116"/>
      <c r="F40" s="123">
        <f>F14</f>
        <v>6.1917628208024073E-2</v>
      </c>
      <c r="G40" s="116"/>
      <c r="H40" s="17">
        <f>G39*F40</f>
        <v>1087.954645243191</v>
      </c>
      <c r="I40" s="125">
        <f>Fac!$I$28</f>
        <v>6.6189225887487463E-2</v>
      </c>
      <c r="J40" s="17">
        <f t="shared" ref="J40:J45" si="19">H40*I40</f>
        <v>72.01087576934286</v>
      </c>
      <c r="K40" s="17">
        <f t="shared" ref="K40:K45" si="20">H40-J40</f>
        <v>1015.9437694738481</v>
      </c>
      <c r="L40" s="122"/>
      <c r="M40" s="92"/>
      <c r="N40" s="6"/>
    </row>
    <row r="41" spans="2:14" x14ac:dyDescent="0.55000000000000004">
      <c r="B41" s="113"/>
      <c r="C41" s="115"/>
      <c r="D41" s="116" t="s">
        <v>50</v>
      </c>
      <c r="E41" s="116"/>
      <c r="F41" s="123">
        <f t="shared" ref="F41:F43" si="21">F15</f>
        <v>0.55725865387221662</v>
      </c>
      <c r="G41" s="116"/>
      <c r="H41" s="17">
        <f>G39*F41</f>
        <v>9791.591807188719</v>
      </c>
      <c r="I41" s="125">
        <f>Fac!$I$32</f>
        <v>1.3674183703578051E-2</v>
      </c>
      <c r="J41" s="17">
        <f t="shared" si="19"/>
        <v>133.89202512194834</v>
      </c>
      <c r="K41" s="17">
        <f t="shared" si="20"/>
        <v>9657.6997820667711</v>
      </c>
      <c r="L41" s="122"/>
      <c r="M41" s="92"/>
      <c r="N41" s="6"/>
    </row>
    <row r="42" spans="2:14" x14ac:dyDescent="0.55000000000000004">
      <c r="B42" s="113"/>
      <c r="C42" s="115"/>
      <c r="D42" s="116" t="s">
        <v>49</v>
      </c>
      <c r="E42" s="116"/>
      <c r="F42" s="123">
        <f t="shared" si="21"/>
        <v>0.15949690832579227</v>
      </c>
      <c r="G42" s="116"/>
      <c r="H42" s="17">
        <f>G39*F42</f>
        <v>2802.5201761924959</v>
      </c>
      <c r="I42" s="116"/>
      <c r="J42" s="17"/>
      <c r="K42" s="17">
        <f t="shared" si="20"/>
        <v>2802.5201761924959</v>
      </c>
      <c r="L42" s="122"/>
      <c r="M42" s="92"/>
      <c r="N42" s="6"/>
    </row>
    <row r="43" spans="2:14" x14ac:dyDescent="0.55000000000000004">
      <c r="B43" s="113"/>
      <c r="C43" s="115"/>
      <c r="D43" s="116" t="s">
        <v>51</v>
      </c>
      <c r="E43" s="116"/>
      <c r="F43" s="123">
        <f t="shared" si="21"/>
        <v>0.22132680959396711</v>
      </c>
      <c r="G43" s="116"/>
      <c r="H43" s="17">
        <f>G39*F43</f>
        <v>3888.9333713755959</v>
      </c>
      <c r="I43" s="125">
        <f>Fac!$I$32</f>
        <v>1.3674183703578051E-2</v>
      </c>
      <c r="J43" s="17">
        <f t="shared" si="19"/>
        <v>53.177989331165023</v>
      </c>
      <c r="K43" s="17">
        <f t="shared" si="20"/>
        <v>3835.7553820444309</v>
      </c>
      <c r="L43" s="122"/>
      <c r="M43" s="103">
        <f>SUM(K40:K43)</f>
        <v>17311.919109777547</v>
      </c>
      <c r="N43" s="6"/>
    </row>
    <row r="44" spans="2:14" x14ac:dyDescent="0.55000000000000004">
      <c r="B44" s="113"/>
      <c r="C44" s="115" t="s">
        <v>172</v>
      </c>
      <c r="D44" s="116"/>
      <c r="E44" s="116"/>
      <c r="F44" s="123"/>
      <c r="G44" s="116"/>
      <c r="H44" s="17">
        <f>SAO!G36</f>
        <v>2625</v>
      </c>
      <c r="I44" s="125">
        <f>Fac!$I$32</f>
        <v>1.3674183703578051E-2</v>
      </c>
      <c r="J44" s="17">
        <f t="shared" si="19"/>
        <v>35.894732221892383</v>
      </c>
      <c r="K44" s="17">
        <f t="shared" si="20"/>
        <v>2589.1052677781076</v>
      </c>
      <c r="L44" s="122"/>
      <c r="M44" s="103"/>
      <c r="N44" s="6"/>
    </row>
    <row r="45" spans="2:14" x14ac:dyDescent="0.55000000000000004">
      <c r="B45" s="113"/>
      <c r="C45" s="115" t="s">
        <v>173</v>
      </c>
      <c r="D45" s="116"/>
      <c r="E45" s="116"/>
      <c r="F45" s="123"/>
      <c r="G45" s="116"/>
      <c r="H45" s="17">
        <f>SAO!G37</f>
        <v>15555</v>
      </c>
      <c r="I45" s="125"/>
      <c r="J45" s="17">
        <f t="shared" si="19"/>
        <v>0</v>
      </c>
      <c r="K45" s="17">
        <f t="shared" si="20"/>
        <v>15555</v>
      </c>
      <c r="L45" s="122"/>
      <c r="M45" s="103"/>
      <c r="N45" s="6"/>
    </row>
    <row r="46" spans="2:14" x14ac:dyDescent="0.55000000000000004">
      <c r="B46" s="113"/>
      <c r="C46" s="115" t="s">
        <v>158</v>
      </c>
      <c r="D46" s="116"/>
      <c r="E46" s="116">
        <v>-29554</v>
      </c>
      <c r="F46" s="116">
        <f>SUM(F47:F49)</f>
        <v>173885</v>
      </c>
      <c r="G46" s="116">
        <f>SAO!G38</f>
        <v>144331</v>
      </c>
      <c r="H46" s="17"/>
      <c r="I46" s="116"/>
      <c r="J46" s="17"/>
      <c r="K46" s="17"/>
      <c r="L46" s="122"/>
      <c r="M46" s="92"/>
      <c r="N46" s="6"/>
    </row>
    <row r="47" spans="2:14" x14ac:dyDescent="0.55000000000000004">
      <c r="B47" s="113"/>
      <c r="C47" s="115"/>
      <c r="D47" s="116" t="s">
        <v>50</v>
      </c>
      <c r="E47" s="360">
        <f>F47/$F$46</f>
        <v>8.0271443770307968E-2</v>
      </c>
      <c r="F47" s="116">
        <f>2669+6040+1500+3749</f>
        <v>13958</v>
      </c>
      <c r="G47" s="17">
        <f>$E$46*E47</f>
        <v>-2372.3422491876818</v>
      </c>
      <c r="H47" s="17">
        <f>F47+G47</f>
        <v>11585.657750812319</v>
      </c>
      <c r="I47" s="125">
        <f>Fac!$I$32</f>
        <v>1.3674183703578051E-2</v>
      </c>
      <c r="J47" s="17">
        <f>H47*I47</f>
        <v>158.42441241139056</v>
      </c>
      <c r="K47" s="17">
        <f>H47-J47</f>
        <v>11427.233338400929</v>
      </c>
      <c r="L47" s="122"/>
      <c r="M47" s="92"/>
      <c r="N47" s="6"/>
    </row>
    <row r="48" spans="2:14" x14ac:dyDescent="0.55000000000000004">
      <c r="B48" s="113"/>
      <c r="C48" s="115"/>
      <c r="D48" s="116" t="s">
        <v>49</v>
      </c>
      <c r="E48" s="360">
        <f t="shared" ref="E48:E49" si="22">F48/$F$46</f>
        <v>0.16188860453748166</v>
      </c>
      <c r="F48" s="116">
        <f>1233+1000+22788+3060+69</f>
        <v>28150</v>
      </c>
      <c r="G48" s="17">
        <f t="shared" ref="G48:G49" si="23">$E$46*E48</f>
        <v>-4784.4558185007327</v>
      </c>
      <c r="H48" s="17">
        <f t="shared" ref="H48:H49" si="24">F48+G48</f>
        <v>23365.544181499266</v>
      </c>
      <c r="I48" s="125"/>
      <c r="J48" s="17">
        <f>H48*I48</f>
        <v>0</v>
      </c>
      <c r="K48" s="17">
        <f>H48-J48</f>
        <v>23365.544181499266</v>
      </c>
      <c r="L48" s="122"/>
      <c r="M48" s="92"/>
      <c r="N48" s="6"/>
    </row>
    <row r="49" spans="2:14" x14ac:dyDescent="0.55000000000000004">
      <c r="B49" s="113"/>
      <c r="C49" s="115"/>
      <c r="D49" s="116" t="s">
        <v>51</v>
      </c>
      <c r="E49" s="360">
        <f t="shared" si="22"/>
        <v>0.75783995169221041</v>
      </c>
      <c r="F49" s="116">
        <f>19478+1221+55901+721+13541+1218+8383+8863+4987+7940+2807+1730+3657+272+354+58+646</f>
        <v>131777</v>
      </c>
      <c r="G49" s="17">
        <f t="shared" si="23"/>
        <v>-22397.201932311586</v>
      </c>
      <c r="H49" s="17">
        <f t="shared" si="24"/>
        <v>109379.79806768842</v>
      </c>
      <c r="I49" s="125">
        <f>Fac!$I$32</f>
        <v>1.3674183703578051E-2</v>
      </c>
      <c r="J49" s="17">
        <f t="shared" ref="J49:J50" si="25">H49*I49</f>
        <v>1495.679452237843</v>
      </c>
      <c r="K49" s="17">
        <f t="shared" ref="K49:K50" si="26">H49-J49</f>
        <v>107884.11861545057</v>
      </c>
      <c r="L49" s="122"/>
      <c r="M49" s="103">
        <f>SUM(K47:K49)</f>
        <v>142676.89613535075</v>
      </c>
      <c r="N49" s="6"/>
    </row>
    <row r="50" spans="2:14" x14ac:dyDescent="0.55000000000000004">
      <c r="B50" s="113"/>
      <c r="C50" s="115" t="s">
        <v>377</v>
      </c>
      <c r="D50" s="116"/>
      <c r="E50" s="360"/>
      <c r="F50" s="116"/>
      <c r="H50" s="17">
        <f>Adj!S26+Adj!S28</f>
        <v>8677.91</v>
      </c>
      <c r="I50" s="125">
        <f>Fac!$I$32</f>
        <v>1.3674183703578051E-2</v>
      </c>
      <c r="J50" s="17">
        <f t="shared" si="25"/>
        <v>118.66333550311701</v>
      </c>
      <c r="K50" s="17">
        <f t="shared" si="26"/>
        <v>8559.2466644968827</v>
      </c>
      <c r="L50" s="122"/>
      <c r="M50" s="103"/>
      <c r="N50" s="6"/>
    </row>
    <row r="51" spans="2:14" x14ac:dyDescent="0.55000000000000004">
      <c r="B51" s="113"/>
      <c r="C51" s="127" t="s">
        <v>379</v>
      </c>
      <c r="D51" s="116"/>
      <c r="E51" s="116"/>
      <c r="G51" s="116"/>
      <c r="H51" s="17">
        <f>SUM(H9:H50)</f>
        <v>3296167.3344226261</v>
      </c>
      <c r="I51" s="116"/>
      <c r="J51" s="17">
        <f>SUM(J9:J50)</f>
        <v>126627.64124702179</v>
      </c>
      <c r="K51" s="17">
        <f>SUM(K9:K50)</f>
        <v>3169539.6931756036</v>
      </c>
      <c r="L51" s="122"/>
      <c r="M51" s="92"/>
      <c r="N51" s="6">
        <f>K51+J51</f>
        <v>3296167.3344226256</v>
      </c>
    </row>
    <row r="52" spans="2:14" x14ac:dyDescent="0.55000000000000004">
      <c r="B52" s="113"/>
      <c r="C52" s="115" t="s">
        <v>33</v>
      </c>
      <c r="D52" s="116"/>
      <c r="E52" s="116"/>
      <c r="F52" s="116"/>
      <c r="G52" s="116">
        <f>SAO!G40</f>
        <v>409457.82463492063</v>
      </c>
      <c r="H52" s="17"/>
      <c r="I52" s="116"/>
      <c r="J52" s="17"/>
      <c r="K52" s="17"/>
      <c r="L52" s="122"/>
      <c r="M52" s="92"/>
      <c r="N52" s="6"/>
    </row>
    <row r="53" spans="2:14" x14ac:dyDescent="0.55000000000000004">
      <c r="B53" s="113"/>
      <c r="C53" s="115"/>
      <c r="D53" s="116" t="s">
        <v>368</v>
      </c>
      <c r="E53" s="116"/>
      <c r="F53" s="116"/>
      <c r="G53" s="116"/>
      <c r="H53" s="17">
        <f>Al_DepW!E43</f>
        <v>31362.733773578475</v>
      </c>
      <c r="I53" s="125">
        <f>Fac!$I$28</f>
        <v>6.6189225887487463E-2</v>
      </c>
      <c r="J53" s="17">
        <f>H53*I53</f>
        <v>2075.8750701885178</v>
      </c>
      <c r="K53" s="17">
        <f>H53-J53</f>
        <v>29286.858703389957</v>
      </c>
      <c r="L53" s="122"/>
      <c r="M53" s="92"/>
      <c r="N53" s="6"/>
    </row>
    <row r="54" spans="2:14" x14ac:dyDescent="0.55000000000000004">
      <c r="B54" s="113"/>
      <c r="C54" s="115"/>
      <c r="D54" s="115" t="s">
        <v>54</v>
      </c>
      <c r="E54" s="116"/>
      <c r="F54" s="115"/>
      <c r="G54" s="115"/>
      <c r="H54" s="17">
        <f>Al_DepW!F43</f>
        <v>230619.7666741829</v>
      </c>
      <c r="I54" s="125">
        <f>Fac!$I$32</f>
        <v>1.3674183703578051E-2</v>
      </c>
      <c r="J54" s="17">
        <f>H54*I54</f>
        <v>3153.5370551790843</v>
      </c>
      <c r="K54" s="17">
        <f>H54-J54</f>
        <v>227466.2296190038</v>
      </c>
      <c r="L54" s="122"/>
      <c r="M54" s="92"/>
      <c r="N54" s="6"/>
    </row>
    <row r="55" spans="2:14" x14ac:dyDescent="0.55000000000000004">
      <c r="B55" s="113"/>
      <c r="C55" s="115"/>
      <c r="D55" s="115" t="s">
        <v>164</v>
      </c>
      <c r="E55" s="116"/>
      <c r="F55" s="115"/>
      <c r="G55" s="115"/>
      <c r="H55" s="17">
        <f>Al_DepW!G43</f>
        <v>27869.878284261002</v>
      </c>
      <c r="I55" s="125">
        <f>Fac!$I$36</f>
        <v>7.8155947644827695E-2</v>
      </c>
      <c r="J55" s="17">
        <f>H55*I55</f>
        <v>2178.1967480524231</v>
      </c>
      <c r="K55" s="17">
        <f>H55-J55</f>
        <v>25691.68153620858</v>
      </c>
      <c r="L55" s="122"/>
      <c r="M55" s="92"/>
      <c r="N55" s="6"/>
    </row>
    <row r="56" spans="2:14" x14ac:dyDescent="0.55000000000000004">
      <c r="B56" s="113"/>
      <c r="C56" s="115"/>
      <c r="D56" s="116" t="s">
        <v>51</v>
      </c>
      <c r="E56" s="116"/>
      <c r="F56" s="116"/>
      <c r="G56" s="116"/>
      <c r="H56" s="17">
        <f>Al_DepW!H43</f>
        <v>12030.778994405784</v>
      </c>
      <c r="I56" s="125">
        <f>Fac!$I$32</f>
        <v>1.3674183703578051E-2</v>
      </c>
      <c r="J56" s="17">
        <f>H56*I56</f>
        <v>164.5110820666527</v>
      </c>
      <c r="K56" s="17">
        <f>H56-J56</f>
        <v>11866.267912339132</v>
      </c>
      <c r="L56" s="122"/>
      <c r="M56" s="92"/>
      <c r="N56" s="6"/>
    </row>
    <row r="57" spans="2:14" x14ac:dyDescent="0.55000000000000004">
      <c r="B57" s="113"/>
      <c r="C57" s="115"/>
      <c r="D57" s="116" t="s">
        <v>40</v>
      </c>
      <c r="E57" s="116"/>
      <c r="F57" s="116"/>
      <c r="G57" s="116"/>
      <c r="H57" s="17">
        <f>Al_DepW!I43</f>
        <v>107573.85690849251</v>
      </c>
      <c r="I57" s="116"/>
      <c r="J57" s="17">
        <f>H57*I57</f>
        <v>0</v>
      </c>
      <c r="K57" s="17">
        <f>H57-J57</f>
        <v>107573.85690849251</v>
      </c>
      <c r="L57" s="122"/>
      <c r="M57" s="103">
        <f>SUM(K53:K57)</f>
        <v>401884.89467943402</v>
      </c>
      <c r="N57" s="6">
        <f>SUM(H53:H57)</f>
        <v>409457.01463492063</v>
      </c>
    </row>
    <row r="58" spans="2:14" x14ac:dyDescent="0.55000000000000004">
      <c r="B58" s="113"/>
      <c r="C58" s="115" t="s">
        <v>55</v>
      </c>
      <c r="D58" s="116"/>
      <c r="E58" s="116"/>
      <c r="F58" s="116"/>
      <c r="G58" s="116">
        <f>Debt!E29</f>
        <v>172858.53599999999</v>
      </c>
      <c r="H58" s="17"/>
      <c r="I58" s="116"/>
      <c r="J58" s="17"/>
      <c r="K58" s="17"/>
      <c r="L58" s="122"/>
      <c r="M58" s="92"/>
      <c r="N58" s="6"/>
    </row>
    <row r="59" spans="2:14" x14ac:dyDescent="0.55000000000000004">
      <c r="B59" s="113"/>
      <c r="C59" s="115"/>
      <c r="D59" s="116" t="s">
        <v>368</v>
      </c>
      <c r="E59" s="116"/>
      <c r="F59" s="116"/>
      <c r="G59" s="116"/>
      <c r="H59" s="17">
        <f>G58*0.12</f>
        <v>20743.024319999997</v>
      </c>
      <c r="I59" s="125">
        <f>Fac!$I$28</f>
        <v>6.6189225887487463E-2</v>
      </c>
      <c r="J59" s="17">
        <f>H59*I59</f>
        <v>1372.9647223061259</v>
      </c>
      <c r="K59" s="17">
        <f>H59-J59</f>
        <v>19370.059597693871</v>
      </c>
      <c r="L59" s="122"/>
      <c r="M59" s="92"/>
      <c r="N59" s="6"/>
    </row>
    <row r="60" spans="2:14" x14ac:dyDescent="0.55000000000000004">
      <c r="B60" s="113"/>
      <c r="C60" s="115"/>
      <c r="D60" s="115" t="s">
        <v>54</v>
      </c>
      <c r="E60" s="116"/>
      <c r="F60" s="116"/>
      <c r="G60" s="116"/>
      <c r="H60" s="17">
        <f>G58-H59</f>
        <v>152115.51168</v>
      </c>
      <c r="I60" s="125">
        <f>Fac!$I$32</f>
        <v>1.3674183703578051E-2</v>
      </c>
      <c r="J60" s="17">
        <f t="shared" ref="J60" si="27">H60*I60</f>
        <v>2080.0554508760924</v>
      </c>
      <c r="K60" s="17">
        <f t="shared" ref="K60" si="28">H60-J60</f>
        <v>150035.4562291239</v>
      </c>
      <c r="L60" s="122"/>
      <c r="M60" s="92"/>
      <c r="N60" s="6"/>
    </row>
    <row r="61" spans="2:14" x14ac:dyDescent="0.55000000000000004">
      <c r="B61" s="113"/>
      <c r="C61" s="115"/>
      <c r="D61" s="115" t="s">
        <v>281</v>
      </c>
      <c r="E61" s="116"/>
      <c r="F61" s="116"/>
      <c r="G61" s="116"/>
      <c r="H61" s="17">
        <f>Debt!F29</f>
        <v>68052</v>
      </c>
      <c r="I61" s="125"/>
      <c r="J61" s="17"/>
      <c r="K61" s="17">
        <f>H61</f>
        <v>68052</v>
      </c>
      <c r="L61" s="122"/>
      <c r="M61" s="92"/>
      <c r="N61" s="6"/>
    </row>
    <row r="62" spans="2:14" x14ac:dyDescent="0.55000000000000004">
      <c r="B62" s="113"/>
      <c r="C62" s="115"/>
      <c r="D62" s="48" t="s">
        <v>411</v>
      </c>
      <c r="E62" s="116"/>
      <c r="F62" s="116"/>
      <c r="G62" s="116"/>
      <c r="H62" s="17">
        <f>SAO!G50</f>
        <v>-25796</v>
      </c>
      <c r="I62" s="125"/>
      <c r="J62" s="17"/>
      <c r="K62" s="17">
        <f>H62</f>
        <v>-25796</v>
      </c>
      <c r="L62" s="122"/>
      <c r="M62" s="92"/>
      <c r="N62" s="6"/>
    </row>
    <row r="63" spans="2:14" ht="18" customHeight="1" x14ac:dyDescent="0.6">
      <c r="B63" s="113"/>
      <c r="C63" s="129" t="s">
        <v>156</v>
      </c>
      <c r="D63" s="394"/>
      <c r="E63" s="394"/>
      <c r="F63" s="394"/>
      <c r="G63" s="129"/>
      <c r="H63" s="396">
        <f>SUM(H53:H62)+H51</f>
        <v>3920738.8850575467</v>
      </c>
      <c r="I63" s="396"/>
      <c r="J63" s="396">
        <f t="shared" ref="J63:K63" si="29">SUM(J53:J62)+J51</f>
        <v>137652.78137569068</v>
      </c>
      <c r="K63" s="396">
        <f t="shared" si="29"/>
        <v>3783086.1036818554</v>
      </c>
      <c r="L63" s="122"/>
      <c r="M63" s="6">
        <f>J63+K63</f>
        <v>3920738.8850575462</v>
      </c>
      <c r="N63" s="6"/>
    </row>
    <row r="64" spans="2:14" ht="18" customHeight="1" x14ac:dyDescent="0.55000000000000004">
      <c r="B64" s="113"/>
      <c r="C64" s="115"/>
      <c r="D64" s="116" t="s">
        <v>56</v>
      </c>
      <c r="E64" s="116"/>
      <c r="F64" s="116"/>
      <c r="G64" s="116"/>
      <c r="I64" s="116"/>
      <c r="J64" s="17">
        <f>Sys!F32</f>
        <v>26134.2</v>
      </c>
      <c r="K64" s="17"/>
      <c r="L64" s="128"/>
      <c r="N64" s="6"/>
    </row>
    <row r="65" spans="2:14" ht="4" customHeight="1" x14ac:dyDescent="0.55000000000000004">
      <c r="B65" s="113"/>
      <c r="C65" s="115"/>
      <c r="D65" s="116"/>
      <c r="E65" s="116"/>
      <c r="F65" s="116"/>
      <c r="G65" s="116"/>
      <c r="I65" s="116"/>
      <c r="J65" s="17"/>
      <c r="K65" s="17"/>
      <c r="L65" s="122"/>
      <c r="N65" s="6"/>
    </row>
    <row r="66" spans="2:14" ht="15.9" thickBot="1" x14ac:dyDescent="0.65">
      <c r="B66" s="113"/>
      <c r="C66" s="129" t="s">
        <v>57</v>
      </c>
      <c r="D66" s="130"/>
      <c r="E66" s="130"/>
      <c r="F66" s="130"/>
      <c r="G66" s="130"/>
      <c r="I66" s="130"/>
      <c r="J66" s="393">
        <f>ROUND(J63/J64,2)</f>
        <v>5.27</v>
      </c>
      <c r="K66" s="17"/>
      <c r="L66" s="131"/>
      <c r="M66" s="91"/>
      <c r="N66" s="93"/>
    </row>
    <row r="67" spans="2:14" ht="8.1" customHeight="1" thickTop="1" x14ac:dyDescent="0.55000000000000004">
      <c r="B67" s="132"/>
      <c r="C67" s="69"/>
      <c r="D67" s="42"/>
      <c r="E67" s="42"/>
      <c r="F67" s="42"/>
      <c r="G67" s="42"/>
      <c r="H67" s="16"/>
      <c r="I67" s="42"/>
      <c r="J67" s="392"/>
      <c r="K67" s="16"/>
      <c r="L67" s="133"/>
      <c r="N67" s="6"/>
    </row>
    <row r="69" spans="2:14" x14ac:dyDescent="0.55000000000000004">
      <c r="H69" s="17"/>
      <c r="L69" s="6"/>
    </row>
    <row r="70" spans="2:14" ht="15.6" x14ac:dyDescent="0.6">
      <c r="D70" s="363" t="s">
        <v>380</v>
      </c>
      <c r="G70" s="362" t="s">
        <v>378</v>
      </c>
      <c r="H70" s="391">
        <f>H63</f>
        <v>3920738.8850575467</v>
      </c>
      <c r="M70" s="91"/>
    </row>
    <row r="77" spans="2:14" ht="10" customHeight="1" x14ac:dyDescent="0.55000000000000004"/>
    <row r="80" spans="2:14" ht="3" customHeight="1" x14ac:dyDescent="0.55000000000000004"/>
  </sheetData>
  <mergeCells count="2">
    <mergeCell ref="C2:K2"/>
    <mergeCell ref="C4:L4"/>
  </mergeCells>
  <printOptions horizontalCentered="1"/>
  <pageMargins left="0.45" right="0.45" top="1" bottom="1.25" header="0.3" footer="0.3"/>
  <pageSetup fitToHeight="2" orientation="portrait" r:id="rId1"/>
  <headerFooter>
    <oddFooter>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51"/>
  <sheetViews>
    <sheetView zoomScale="75" zoomScaleNormal="75" workbookViewId="0">
      <selection activeCell="A3" sqref="A3"/>
    </sheetView>
  </sheetViews>
  <sheetFormatPr defaultColWidth="8.86328125" defaultRowHeight="15" customHeight="1" x14ac:dyDescent="0.7"/>
  <cols>
    <col min="1" max="1" width="8.453125" style="315" customWidth="1"/>
    <col min="2" max="2" width="8.6796875" style="315" customWidth="1"/>
    <col min="3" max="3" width="8" style="315" customWidth="1"/>
    <col min="4" max="10" width="10.54296875" style="315" customWidth="1"/>
    <col min="11" max="11" width="8.86328125" style="315"/>
    <col min="12" max="12" width="10.54296875" style="315" bestFit="1" customWidth="1"/>
    <col min="13" max="13" width="9" style="315" bestFit="1" customWidth="1"/>
    <col min="14" max="14" width="9.2265625" style="315" bestFit="1" customWidth="1"/>
    <col min="15" max="15" width="9.6796875" style="315" customWidth="1"/>
    <col min="16" max="16" width="11.453125" style="315" customWidth="1"/>
    <col min="17" max="17" width="9" style="315" bestFit="1" customWidth="1"/>
    <col min="18" max="16384" width="8.86328125" style="315"/>
  </cols>
  <sheetData>
    <row r="1" spans="1:15" ht="22" customHeight="1" x14ac:dyDescent="0.7">
      <c r="A1" s="433" t="s">
        <v>196</v>
      </c>
      <c r="B1" s="433"/>
      <c r="C1" s="433"/>
      <c r="D1" s="433"/>
      <c r="E1" s="433"/>
      <c r="F1" s="433"/>
      <c r="G1" s="433"/>
      <c r="H1" s="433"/>
      <c r="I1" s="433"/>
      <c r="J1" s="433"/>
    </row>
    <row r="2" spans="1:15" ht="22" customHeight="1" x14ac:dyDescent="0.7">
      <c r="A2" s="434" t="s">
        <v>217</v>
      </c>
      <c r="B2" s="434"/>
      <c r="C2" s="434"/>
      <c r="D2" s="434"/>
      <c r="E2" s="434"/>
      <c r="F2" s="434"/>
      <c r="G2" s="434"/>
      <c r="H2" s="434"/>
      <c r="I2" s="434"/>
      <c r="J2" s="434"/>
    </row>
    <row r="3" spans="1:15" ht="15" customHeight="1" x14ac:dyDescent="0.7">
      <c r="A3" s="318"/>
      <c r="B3" s="318"/>
      <c r="C3" s="318"/>
      <c r="D3" s="318"/>
      <c r="E3" s="318"/>
      <c r="F3" s="318"/>
      <c r="G3" s="318"/>
      <c r="H3" s="318"/>
    </row>
    <row r="4" spans="1:15" ht="15" customHeight="1" x14ac:dyDescent="0.7">
      <c r="A4" s="318"/>
      <c r="B4" s="318"/>
      <c r="D4" s="329" t="s">
        <v>338</v>
      </c>
      <c r="E4" s="1"/>
      <c r="F4" s="1"/>
      <c r="G4" s="1"/>
      <c r="H4" s="1"/>
    </row>
    <row r="5" spans="1:15" ht="15" customHeight="1" x14ac:dyDescent="0.7">
      <c r="A5" s="318"/>
      <c r="B5" s="318"/>
      <c r="D5" s="330"/>
      <c r="E5" s="69"/>
      <c r="F5" s="302" t="s">
        <v>339</v>
      </c>
      <c r="G5" s="302" t="s">
        <v>170</v>
      </c>
      <c r="H5" s="302" t="s">
        <v>165</v>
      </c>
    </row>
    <row r="6" spans="1:15" ht="15" customHeight="1" x14ac:dyDescent="0.7">
      <c r="A6" s="318"/>
      <c r="B6" s="318"/>
      <c r="D6" s="1" t="s">
        <v>340</v>
      </c>
      <c r="E6" s="1"/>
      <c r="F6" s="37">
        <f>C28</f>
        <v>70196</v>
      </c>
      <c r="G6" s="212">
        <f>D28</f>
        <v>248504600</v>
      </c>
      <c r="H6" s="224">
        <f>F37</f>
        <v>3181357.5579999997</v>
      </c>
    </row>
    <row r="7" spans="1:15" ht="15" customHeight="1" x14ac:dyDescent="0.7">
      <c r="A7" s="318"/>
      <c r="B7" s="318"/>
      <c r="D7" s="1" t="s">
        <v>341</v>
      </c>
      <c r="E7" s="1"/>
      <c r="F7" s="37">
        <f>C47</f>
        <v>409</v>
      </c>
      <c r="G7" s="212">
        <f>D47</f>
        <v>9067800</v>
      </c>
      <c r="H7" s="37">
        <f>F56</f>
        <v>89125.479000000007</v>
      </c>
    </row>
    <row r="8" spans="1:15" ht="15" customHeight="1" x14ac:dyDescent="0.7">
      <c r="A8" s="318"/>
      <c r="B8" s="318"/>
      <c r="D8" s="1" t="s">
        <v>350</v>
      </c>
      <c r="E8" s="1"/>
      <c r="F8" s="37">
        <f>C65</f>
        <v>84</v>
      </c>
      <c r="G8" s="212">
        <f>D73</f>
        <v>1629700</v>
      </c>
      <c r="H8" s="37">
        <f>F73</f>
        <v>19904.078000000001</v>
      </c>
    </row>
    <row r="9" spans="1:15" ht="15" customHeight="1" x14ac:dyDescent="0.7">
      <c r="A9" s="318"/>
      <c r="B9" s="318"/>
      <c r="D9" s="1" t="s">
        <v>342</v>
      </c>
      <c r="E9" s="1"/>
      <c r="F9" s="37">
        <f>C82</f>
        <v>416</v>
      </c>
      <c r="G9" s="212">
        <f>D90</f>
        <v>32388800</v>
      </c>
      <c r="H9" s="37">
        <f>F90</f>
        <v>284799.69999999995</v>
      </c>
    </row>
    <row r="10" spans="1:15" ht="15" customHeight="1" x14ac:dyDescent="0.7">
      <c r="A10" s="318"/>
      <c r="B10" s="318"/>
      <c r="D10" s="1" t="s">
        <v>351</v>
      </c>
      <c r="E10" s="1"/>
      <c r="F10" s="37">
        <f>C105</f>
        <v>61</v>
      </c>
      <c r="G10" s="212">
        <f>D105</f>
        <v>3627200</v>
      </c>
      <c r="H10" s="37">
        <f>F105</f>
        <v>35936.656000000003</v>
      </c>
    </row>
    <row r="11" spans="1:15" ht="15" customHeight="1" x14ac:dyDescent="0.85">
      <c r="A11" s="318"/>
      <c r="B11" s="318"/>
      <c r="D11" s="1" t="s">
        <v>352</v>
      </c>
      <c r="E11" s="1"/>
      <c r="F11" s="142">
        <f>C113</f>
        <v>48</v>
      </c>
      <c r="G11" s="331">
        <f>D120</f>
        <v>13033000</v>
      </c>
      <c r="H11" s="142">
        <f>F120</f>
        <v>106057.45600000001</v>
      </c>
    </row>
    <row r="12" spans="1:15" ht="15" customHeight="1" x14ac:dyDescent="0.7">
      <c r="A12" s="318"/>
      <c r="B12" s="318"/>
      <c r="D12" s="1" t="s">
        <v>14</v>
      </c>
      <c r="E12" s="1"/>
      <c r="F12" s="3">
        <f>SUM(F6:F11)</f>
        <v>71214</v>
      </c>
      <c r="G12" s="225">
        <f>SUM(G6:G11)</f>
        <v>308251100</v>
      </c>
      <c r="H12" s="215">
        <f>SUM(H6:H11)</f>
        <v>3717180.9269999992</v>
      </c>
      <c r="O12" s="315">
        <f>G12/1000*0.89</f>
        <v>274343.47899999999</v>
      </c>
    </row>
    <row r="13" spans="1:15" ht="15" customHeight="1" x14ac:dyDescent="0.7">
      <c r="A13" s="318"/>
      <c r="B13" s="318"/>
      <c r="D13" s="1"/>
      <c r="E13" s="1"/>
      <c r="F13" s="3"/>
      <c r="G13" s="225"/>
      <c r="H13" s="215"/>
    </row>
    <row r="14" spans="1:15" ht="15" customHeight="1" x14ac:dyDescent="0.7">
      <c r="A14" s="318"/>
      <c r="B14" s="318"/>
      <c r="D14" s="1"/>
      <c r="E14" s="1"/>
      <c r="F14" s="1"/>
      <c r="G14" s="39" t="s">
        <v>343</v>
      </c>
      <c r="H14" s="313">
        <f>H12</f>
        <v>3717180.9269999992</v>
      </c>
    </row>
    <row r="15" spans="1:15" ht="15" customHeight="1" x14ac:dyDescent="0.7">
      <c r="A15" s="318"/>
      <c r="B15" s="318"/>
      <c r="D15" s="1"/>
      <c r="E15" s="1"/>
      <c r="F15" s="1"/>
      <c r="G15" s="39" t="s">
        <v>344</v>
      </c>
      <c r="H15" s="332">
        <v>2999</v>
      </c>
    </row>
    <row r="16" spans="1:15" ht="15" customHeight="1" x14ac:dyDescent="0.85">
      <c r="A16" s="318"/>
      <c r="B16" s="318"/>
      <c r="D16" s="1"/>
      <c r="E16" s="1"/>
      <c r="F16" s="1"/>
      <c r="G16" s="39" t="s">
        <v>345</v>
      </c>
      <c r="H16" s="333">
        <f>F153</f>
        <v>0</v>
      </c>
    </row>
    <row r="17" spans="1:19" ht="15" customHeight="1" x14ac:dyDescent="0.7">
      <c r="A17" s="318"/>
      <c r="B17" s="318"/>
      <c r="D17" s="1"/>
      <c r="E17" s="1"/>
      <c r="F17" s="1"/>
      <c r="G17" s="334" t="s">
        <v>346</v>
      </c>
      <c r="H17" s="313">
        <f>SUM(H14:H16)</f>
        <v>3720179.9269999992</v>
      </c>
    </row>
    <row r="18" spans="1:19" ht="15" customHeight="1" x14ac:dyDescent="0.7">
      <c r="A18" s="318"/>
      <c r="B18" s="318"/>
      <c r="C18" s="318"/>
      <c r="D18" s="318"/>
      <c r="E18" s="318"/>
      <c r="F18" s="318"/>
      <c r="G18" s="318"/>
      <c r="H18" s="318"/>
    </row>
    <row r="19" spans="1:19" ht="15" customHeight="1" x14ac:dyDescent="0.7">
      <c r="A19" s="318"/>
      <c r="B19" s="318"/>
      <c r="C19" s="318"/>
      <c r="D19" s="318"/>
      <c r="E19" s="318"/>
      <c r="F19" s="318"/>
      <c r="G19" s="318"/>
      <c r="H19" s="318"/>
    </row>
    <row r="20" spans="1:19" s="19" customFormat="1" ht="15.6" x14ac:dyDescent="0.6">
      <c r="A20" s="319" t="s">
        <v>335</v>
      </c>
      <c r="N20" s="216"/>
      <c r="O20" s="216"/>
      <c r="P20" s="216"/>
      <c r="Q20" s="216"/>
      <c r="R20" s="216"/>
      <c r="S20" s="216"/>
    </row>
    <row r="21" spans="1:19" s="19" customFormat="1" ht="15.3" x14ac:dyDescent="0.55000000000000004">
      <c r="E21" s="44" t="s">
        <v>140</v>
      </c>
      <c r="F21" s="44" t="s">
        <v>149</v>
      </c>
      <c r="G21" s="44" t="s">
        <v>149</v>
      </c>
      <c r="H21" s="44" t="s">
        <v>149</v>
      </c>
      <c r="I21" s="44" t="s">
        <v>141</v>
      </c>
      <c r="N21" s="216"/>
      <c r="O21" s="216"/>
      <c r="P21" s="216"/>
      <c r="Q21" s="216"/>
      <c r="R21" s="216"/>
      <c r="S21" s="216"/>
    </row>
    <row r="22" spans="1:19" s="19" customFormat="1" ht="15.3" x14ac:dyDescent="0.55000000000000004">
      <c r="B22" s="320" t="s">
        <v>142</v>
      </c>
      <c r="C22" s="320" t="s">
        <v>143</v>
      </c>
      <c r="D22" s="320" t="s">
        <v>144</v>
      </c>
      <c r="E22" s="336">
        <f>B23</f>
        <v>2000</v>
      </c>
      <c r="F22" s="336">
        <f>B24</f>
        <v>8000</v>
      </c>
      <c r="G22" s="336">
        <f>B25</f>
        <v>10000</v>
      </c>
      <c r="H22" s="336">
        <f>B26</f>
        <v>30000</v>
      </c>
      <c r="I22" s="336">
        <f>B27</f>
        <v>50000</v>
      </c>
      <c r="J22" s="320" t="s">
        <v>145</v>
      </c>
      <c r="N22" s="216"/>
      <c r="O22" s="216"/>
      <c r="P22" s="216"/>
      <c r="Q22" s="216"/>
      <c r="R22" s="216"/>
      <c r="S22" s="216"/>
    </row>
    <row r="23" spans="1:19" s="19" customFormat="1" ht="15.3" x14ac:dyDescent="0.55000000000000004">
      <c r="A23" s="321" t="s">
        <v>140</v>
      </c>
      <c r="B23" s="19">
        <v>2000</v>
      </c>
      <c r="C23" s="322">
        <v>25305</v>
      </c>
      <c r="D23" s="322">
        <v>24990200</v>
      </c>
      <c r="E23" s="322">
        <f>D23</f>
        <v>24990200</v>
      </c>
      <c r="F23" s="322">
        <v>0</v>
      </c>
      <c r="G23" s="322"/>
      <c r="H23" s="322">
        <v>0</v>
      </c>
      <c r="I23" s="322">
        <v>0</v>
      </c>
      <c r="J23" s="322">
        <f>SUM(E23:I23)</f>
        <v>24990200</v>
      </c>
      <c r="N23" s="216"/>
      <c r="O23" s="216"/>
      <c r="P23" s="216"/>
      <c r="Q23" s="216"/>
      <c r="R23" s="216"/>
      <c r="S23" s="216"/>
    </row>
    <row r="24" spans="1:19" s="19" customFormat="1" ht="15.3" x14ac:dyDescent="0.55000000000000004">
      <c r="A24" s="321" t="s">
        <v>149</v>
      </c>
      <c r="B24" s="19">
        <v>8000</v>
      </c>
      <c r="C24" s="322">
        <v>42466</v>
      </c>
      <c r="D24" s="322">
        <v>178988600</v>
      </c>
      <c r="E24" s="322">
        <f>C24*E$22</f>
        <v>84932000</v>
      </c>
      <c r="F24" s="322">
        <f>D24-E24</f>
        <v>94056600</v>
      </c>
      <c r="G24" s="322"/>
      <c r="H24" s="322">
        <v>0</v>
      </c>
      <c r="I24" s="322">
        <v>0</v>
      </c>
      <c r="J24" s="322">
        <f>SUM(E24:I24)</f>
        <v>178988600</v>
      </c>
      <c r="N24" s="216"/>
      <c r="O24" s="216"/>
      <c r="P24" s="216"/>
      <c r="Q24" s="216"/>
      <c r="R24" s="216"/>
      <c r="S24" s="216"/>
    </row>
    <row r="25" spans="1:19" s="19" customFormat="1" ht="15.3" x14ac:dyDescent="0.55000000000000004">
      <c r="A25" s="321" t="s">
        <v>149</v>
      </c>
      <c r="B25" s="19">
        <v>10000</v>
      </c>
      <c r="C25" s="322">
        <v>1898</v>
      </c>
      <c r="D25" s="322">
        <v>24896200</v>
      </c>
      <c r="E25" s="322">
        <f>$C25*E$22</f>
        <v>3796000</v>
      </c>
      <c r="F25" s="322">
        <f>$C25*F$22</f>
        <v>15184000</v>
      </c>
      <c r="G25" s="322">
        <f>D25-E25-F25</f>
        <v>5916200</v>
      </c>
      <c r="H25" s="322"/>
      <c r="I25" s="322"/>
      <c r="J25" s="322">
        <f>SUM(E25:I25)</f>
        <v>24896200</v>
      </c>
      <c r="N25" s="216"/>
      <c r="O25" s="216"/>
      <c r="P25" s="216"/>
      <c r="Q25" s="216"/>
      <c r="R25" s="216"/>
      <c r="S25" s="216"/>
    </row>
    <row r="26" spans="1:19" s="19" customFormat="1" ht="15.3" x14ac:dyDescent="0.55000000000000004">
      <c r="A26" s="321" t="s">
        <v>149</v>
      </c>
      <c r="B26" s="19">
        <v>30000</v>
      </c>
      <c r="C26" s="322">
        <v>441</v>
      </c>
      <c r="D26" s="322">
        <v>12029500</v>
      </c>
      <c r="E26" s="322">
        <f>C26*E$22</f>
        <v>882000</v>
      </c>
      <c r="F26" s="322">
        <f>$C26*F$22</f>
        <v>3528000</v>
      </c>
      <c r="G26" s="322">
        <f>$C26*G$22</f>
        <v>4410000</v>
      </c>
      <c r="H26" s="322">
        <f>D26-(F26+E26+G26)</f>
        <v>3209500</v>
      </c>
      <c r="I26" s="322">
        <v>0</v>
      </c>
      <c r="J26" s="322">
        <f>SUM(E26:I26)</f>
        <v>12029500</v>
      </c>
      <c r="N26" s="216"/>
      <c r="O26" s="216"/>
      <c r="P26" s="216"/>
      <c r="Q26" s="216"/>
      <c r="R26" s="216"/>
      <c r="S26" s="216"/>
    </row>
    <row r="27" spans="1:19" s="19" customFormat="1" ht="15.3" x14ac:dyDescent="0.55000000000000004">
      <c r="A27" s="321" t="s">
        <v>141</v>
      </c>
      <c r="B27" s="16">
        <v>50000</v>
      </c>
      <c r="C27" s="323">
        <v>86</v>
      </c>
      <c r="D27" s="323">
        <v>7600100</v>
      </c>
      <c r="E27" s="323">
        <f>C27*E$22</f>
        <v>172000</v>
      </c>
      <c r="F27" s="323">
        <f>$C27*F$22</f>
        <v>688000</v>
      </c>
      <c r="G27" s="323">
        <f t="shared" ref="G27:H27" si="0">$C27*G$22</f>
        <v>860000</v>
      </c>
      <c r="H27" s="323">
        <f t="shared" si="0"/>
        <v>2580000</v>
      </c>
      <c r="I27" s="323">
        <f>D27-(+H27+G27+F27+E27)</f>
        <v>3300100</v>
      </c>
      <c r="J27" s="323">
        <f>SUM(E27:I27)</f>
        <v>7600100</v>
      </c>
      <c r="N27" s="216"/>
      <c r="O27" s="216"/>
      <c r="P27" s="216"/>
      <c r="Q27" s="216"/>
      <c r="R27" s="216"/>
      <c r="S27" s="216"/>
    </row>
    <row r="28" spans="1:19" s="19" customFormat="1" ht="15.3" x14ac:dyDescent="0.55000000000000004">
      <c r="A28" s="321"/>
      <c r="C28" s="17">
        <f t="shared" ref="C28:J28" si="1">SUM(C23:C27)</f>
        <v>70196</v>
      </c>
      <c r="D28" s="17">
        <f t="shared" si="1"/>
        <v>248504600</v>
      </c>
      <c r="E28" s="17">
        <f t="shared" si="1"/>
        <v>114772200</v>
      </c>
      <c r="F28" s="17">
        <f t="shared" si="1"/>
        <v>113456600</v>
      </c>
      <c r="G28" s="17">
        <f t="shared" si="1"/>
        <v>11186200</v>
      </c>
      <c r="H28" s="17">
        <f t="shared" si="1"/>
        <v>5789500</v>
      </c>
      <c r="I28" s="17">
        <f t="shared" si="1"/>
        <v>3300100</v>
      </c>
      <c r="J28" s="17">
        <f t="shared" si="1"/>
        <v>248504600</v>
      </c>
      <c r="N28" s="216"/>
      <c r="O28" s="216"/>
      <c r="P28" s="216"/>
      <c r="Q28" s="216"/>
      <c r="R28" s="216"/>
      <c r="S28" s="216"/>
    </row>
    <row r="29" spans="1:19" s="19" customFormat="1" ht="15.3" x14ac:dyDescent="0.55000000000000004">
      <c r="A29" s="321"/>
      <c r="N29" s="216"/>
      <c r="O29" s="216"/>
      <c r="P29" s="216"/>
      <c r="Q29" s="216"/>
      <c r="R29" s="216"/>
      <c r="S29" s="216"/>
    </row>
    <row r="30" spans="1:19" s="19" customFormat="1" ht="15.3" x14ac:dyDescent="0.55000000000000004">
      <c r="A30" s="324" t="s">
        <v>146</v>
      </c>
      <c r="B30" s="324"/>
      <c r="N30" s="216"/>
      <c r="O30" s="216"/>
      <c r="P30" s="216"/>
      <c r="Q30" s="216"/>
      <c r="R30" s="216"/>
      <c r="S30" s="216"/>
    </row>
    <row r="31" spans="1:19" s="19" customFormat="1" ht="15.3" x14ac:dyDescent="0.55000000000000004">
      <c r="A31" s="321"/>
      <c r="B31" s="320"/>
      <c r="C31" s="320" t="s">
        <v>143</v>
      </c>
      <c r="D31" s="320" t="s">
        <v>144</v>
      </c>
      <c r="E31" s="320" t="s">
        <v>147</v>
      </c>
      <c r="F31" s="320" t="s">
        <v>148</v>
      </c>
      <c r="N31" s="216"/>
      <c r="O31" s="216"/>
      <c r="P31" s="216"/>
      <c r="Q31" s="216"/>
      <c r="R31" s="216"/>
      <c r="S31" s="216"/>
    </row>
    <row r="32" spans="1:19" s="19" customFormat="1" ht="15.3" x14ac:dyDescent="0.55000000000000004">
      <c r="A32" s="321" t="s">
        <v>140</v>
      </c>
      <c r="B32" s="19">
        <f>B23</f>
        <v>2000</v>
      </c>
      <c r="C32" s="19">
        <f>C28</f>
        <v>70196</v>
      </c>
      <c r="D32" s="322">
        <f>E28</f>
        <v>114772200</v>
      </c>
      <c r="E32" s="161">
        <v>27.09</v>
      </c>
      <c r="F32" s="19">
        <f>E32*C32</f>
        <v>1901609.64</v>
      </c>
      <c r="N32" s="216"/>
      <c r="O32" s="216"/>
      <c r="P32" s="216"/>
      <c r="Q32" s="216"/>
      <c r="R32" s="216"/>
      <c r="S32" s="216"/>
    </row>
    <row r="33" spans="1:19" s="19" customFormat="1" ht="15.3" x14ac:dyDescent="0.55000000000000004">
      <c r="A33" s="321" t="s">
        <v>149</v>
      </c>
      <c r="B33" s="19">
        <f>B24</f>
        <v>8000</v>
      </c>
      <c r="D33" s="322">
        <f>F28</f>
        <v>113456600</v>
      </c>
      <c r="E33" s="161">
        <v>9.73</v>
      </c>
      <c r="F33" s="19">
        <f>E33*(D33/1000)</f>
        <v>1103932.7180000001</v>
      </c>
      <c r="N33" s="216"/>
      <c r="O33" s="216"/>
      <c r="P33" s="216"/>
      <c r="Q33" s="216"/>
      <c r="R33" s="216"/>
      <c r="S33" s="216"/>
    </row>
    <row r="34" spans="1:19" s="19" customFormat="1" ht="15.3" x14ac:dyDescent="0.55000000000000004">
      <c r="A34" s="321" t="s">
        <v>149</v>
      </c>
      <c r="B34" s="19">
        <v>10000</v>
      </c>
      <c r="D34" s="322">
        <f>G28</f>
        <v>11186200</v>
      </c>
      <c r="E34" s="161">
        <v>9.07</v>
      </c>
      <c r="F34" s="19">
        <f>E34*(D34/1000)</f>
        <v>101458.834</v>
      </c>
      <c r="N34" s="216"/>
      <c r="O34" s="216"/>
      <c r="P34" s="216"/>
      <c r="Q34" s="216"/>
      <c r="R34" s="216"/>
      <c r="S34" s="216"/>
    </row>
    <row r="35" spans="1:19" s="19" customFormat="1" ht="15.3" x14ac:dyDescent="0.55000000000000004">
      <c r="A35" s="321" t="s">
        <v>149</v>
      </c>
      <c r="B35" s="19">
        <f>B26</f>
        <v>30000</v>
      </c>
      <c r="D35" s="322">
        <f>H28</f>
        <v>5789500</v>
      </c>
      <c r="E35" s="28">
        <v>8.42</v>
      </c>
      <c r="F35" s="19">
        <f>E35*(D35/1000)</f>
        <v>48747.59</v>
      </c>
      <c r="N35" s="216"/>
      <c r="O35" s="216"/>
      <c r="P35" s="216"/>
      <c r="Q35" s="216"/>
      <c r="R35" s="216"/>
      <c r="S35" s="216"/>
    </row>
    <row r="36" spans="1:19" s="19" customFormat="1" ht="14.4" x14ac:dyDescent="0.55000000000000004">
      <c r="A36" s="321" t="s">
        <v>141</v>
      </c>
      <c r="B36" s="16">
        <f>B27</f>
        <v>50000</v>
      </c>
      <c r="C36" s="16"/>
      <c r="D36" s="323">
        <f>I28</f>
        <v>3300100</v>
      </c>
      <c r="E36" s="335">
        <v>7.76</v>
      </c>
      <c r="F36" s="16">
        <f>E36*(D36/1000)</f>
        <v>25608.775999999998</v>
      </c>
      <c r="Q36" s="19">
        <f>Q29/12</f>
        <v>0</v>
      </c>
    </row>
    <row r="37" spans="1:19" s="19" customFormat="1" ht="14.4" x14ac:dyDescent="0.55000000000000004">
      <c r="A37" s="321"/>
      <c r="B37" s="19" t="s">
        <v>145</v>
      </c>
      <c r="C37" s="19">
        <f>SUM(C32:C36)</f>
        <v>70196</v>
      </c>
      <c r="D37" s="17">
        <f>SUM(D32:D36)</f>
        <v>248504600</v>
      </c>
      <c r="F37" s="19">
        <f>SUM(F32:F36)</f>
        <v>3181357.5579999997</v>
      </c>
    </row>
    <row r="38" spans="1:19" s="19" customFormat="1" ht="14.4" x14ac:dyDescent="0.55000000000000004">
      <c r="A38" s="321"/>
      <c r="D38" s="17"/>
    </row>
    <row r="39" spans="1:19" s="19" customFormat="1" ht="15.6" x14ac:dyDescent="0.6">
      <c r="A39" s="319" t="s">
        <v>336</v>
      </c>
    </row>
    <row r="40" spans="1:19" s="19" customFormat="1" ht="14.4" x14ac:dyDescent="0.55000000000000004">
      <c r="E40" s="44" t="s">
        <v>140</v>
      </c>
      <c r="F40" s="44" t="s">
        <v>149</v>
      </c>
      <c r="G40" s="44" t="s">
        <v>149</v>
      </c>
      <c r="H40" s="44" t="s">
        <v>149</v>
      </c>
      <c r="I40" s="44" t="s">
        <v>141</v>
      </c>
    </row>
    <row r="41" spans="1:19" s="19" customFormat="1" ht="14.4" x14ac:dyDescent="0.55000000000000004">
      <c r="B41" s="320" t="s">
        <v>142</v>
      </c>
      <c r="C41" s="320" t="s">
        <v>143</v>
      </c>
      <c r="D41" s="320" t="s">
        <v>144</v>
      </c>
      <c r="E41" s="336">
        <f>B42</f>
        <v>5000</v>
      </c>
      <c r="F41" s="336">
        <f>B43</f>
        <v>5000</v>
      </c>
      <c r="G41" s="336">
        <f>B44</f>
        <v>10000</v>
      </c>
      <c r="H41" s="336">
        <f>B45</f>
        <v>30000</v>
      </c>
      <c r="I41" s="336">
        <f>B46</f>
        <v>50000</v>
      </c>
      <c r="J41" s="320" t="s">
        <v>145</v>
      </c>
    </row>
    <row r="42" spans="1:19" s="19" customFormat="1" ht="14.4" x14ac:dyDescent="0.55000000000000004">
      <c r="A42" s="321" t="s">
        <v>140</v>
      </c>
      <c r="B42" s="19">
        <v>5000</v>
      </c>
      <c r="C42" s="322">
        <v>246</v>
      </c>
      <c r="D42" s="322">
        <v>315800</v>
      </c>
      <c r="E42" s="322">
        <f>D42</f>
        <v>315800</v>
      </c>
      <c r="F42" s="322">
        <v>0</v>
      </c>
      <c r="G42" s="322"/>
      <c r="H42" s="322">
        <v>0</v>
      </c>
      <c r="I42" s="322">
        <v>0</v>
      </c>
      <c r="J42" s="322">
        <f>SUM(E42:I42)</f>
        <v>315800</v>
      </c>
    </row>
    <row r="43" spans="1:19" s="19" customFormat="1" ht="14.4" x14ac:dyDescent="0.55000000000000004">
      <c r="A43" s="321" t="s">
        <v>149</v>
      </c>
      <c r="B43" s="19">
        <v>5000</v>
      </c>
      <c r="C43" s="322">
        <v>25</v>
      </c>
      <c r="D43" s="322">
        <v>179900</v>
      </c>
      <c r="E43" s="322">
        <f>C43*E41</f>
        <v>125000</v>
      </c>
      <c r="F43" s="322">
        <f>D43-E43</f>
        <v>54900</v>
      </c>
      <c r="G43" s="322"/>
      <c r="H43" s="322">
        <v>0</v>
      </c>
      <c r="I43" s="322">
        <v>0</v>
      </c>
      <c r="J43" s="322">
        <f>SUM(E43:I43)</f>
        <v>179900</v>
      </c>
    </row>
    <row r="44" spans="1:19" s="19" customFormat="1" ht="14.4" x14ac:dyDescent="0.55000000000000004">
      <c r="A44" s="321" t="s">
        <v>149</v>
      </c>
      <c r="B44" s="19">
        <v>10000</v>
      </c>
      <c r="C44" s="322">
        <v>34</v>
      </c>
      <c r="D44" s="322">
        <v>496800</v>
      </c>
      <c r="E44" s="322">
        <f>$C44*E41</f>
        <v>170000</v>
      </c>
      <c r="F44" s="322">
        <f>$C44*F$41</f>
        <v>170000</v>
      </c>
      <c r="G44" s="322">
        <f>D44-E44-F44</f>
        <v>156800</v>
      </c>
      <c r="H44" s="322"/>
      <c r="I44" s="322"/>
      <c r="J44" s="322">
        <f>SUM(E44:I44)</f>
        <v>496800</v>
      </c>
    </row>
    <row r="45" spans="1:19" s="19" customFormat="1" ht="14.4" x14ac:dyDescent="0.55000000000000004">
      <c r="A45" s="321" t="s">
        <v>149</v>
      </c>
      <c r="B45" s="19">
        <v>30000</v>
      </c>
      <c r="C45" s="322">
        <v>48</v>
      </c>
      <c r="D45" s="322">
        <v>1523300</v>
      </c>
      <c r="E45" s="322">
        <f>C45*E$41</f>
        <v>240000</v>
      </c>
      <c r="F45" s="322">
        <f t="shared" ref="F45:H46" si="2">$C45*F$41</f>
        <v>240000</v>
      </c>
      <c r="G45" s="322">
        <f t="shared" si="2"/>
        <v>480000</v>
      </c>
      <c r="H45" s="322">
        <f>D45-(F45+E45+G45)</f>
        <v>563300</v>
      </c>
      <c r="I45" s="322">
        <v>0</v>
      </c>
      <c r="J45" s="322">
        <f>SUM(E45:I45)</f>
        <v>1523300</v>
      </c>
    </row>
    <row r="46" spans="1:19" s="19" customFormat="1" ht="14.4" x14ac:dyDescent="0.55000000000000004">
      <c r="A46" s="321" t="s">
        <v>141</v>
      </c>
      <c r="B46" s="16">
        <v>50000</v>
      </c>
      <c r="C46" s="323">
        <v>56</v>
      </c>
      <c r="D46" s="323">
        <v>6552000</v>
      </c>
      <c r="E46" s="323">
        <f>C46*E$41</f>
        <v>280000</v>
      </c>
      <c r="F46" s="323">
        <f t="shared" si="2"/>
        <v>280000</v>
      </c>
      <c r="G46" s="323">
        <f t="shared" si="2"/>
        <v>560000</v>
      </c>
      <c r="H46" s="323">
        <f t="shared" si="2"/>
        <v>1680000</v>
      </c>
      <c r="I46" s="323">
        <f>D46-(+H46+G46+F46+E46)</f>
        <v>3752000</v>
      </c>
      <c r="J46" s="323">
        <f>SUM(E46:I46)</f>
        <v>6552000</v>
      </c>
    </row>
    <row r="47" spans="1:19" s="19" customFormat="1" ht="14.4" x14ac:dyDescent="0.55000000000000004">
      <c r="A47" s="321"/>
      <c r="C47" s="17">
        <f t="shared" ref="C47:J47" si="3">SUM(C42:C46)</f>
        <v>409</v>
      </c>
      <c r="D47" s="17">
        <f t="shared" si="3"/>
        <v>9067800</v>
      </c>
      <c r="E47" s="17">
        <f t="shared" si="3"/>
        <v>1130800</v>
      </c>
      <c r="F47" s="17">
        <f t="shared" si="3"/>
        <v>744900</v>
      </c>
      <c r="G47" s="17">
        <f t="shared" si="3"/>
        <v>1196800</v>
      </c>
      <c r="H47" s="17">
        <f t="shared" si="3"/>
        <v>2243300</v>
      </c>
      <c r="I47" s="17">
        <f t="shared" si="3"/>
        <v>3752000</v>
      </c>
      <c r="J47" s="17">
        <f t="shared" si="3"/>
        <v>9067800</v>
      </c>
    </row>
    <row r="48" spans="1:19" s="19" customFormat="1" ht="14.4" x14ac:dyDescent="0.55000000000000004">
      <c r="A48" s="321"/>
    </row>
    <row r="49" spans="1:9" s="19" customFormat="1" ht="14.4" x14ac:dyDescent="0.55000000000000004">
      <c r="A49" s="324" t="s">
        <v>146</v>
      </c>
      <c r="B49" s="324"/>
    </row>
    <row r="50" spans="1:9" s="19" customFormat="1" ht="14.4" x14ac:dyDescent="0.55000000000000004">
      <c r="A50" s="321"/>
      <c r="B50" s="320"/>
      <c r="C50" s="320" t="s">
        <v>143</v>
      </c>
      <c r="D50" s="320" t="s">
        <v>144</v>
      </c>
      <c r="E50" s="320" t="s">
        <v>147</v>
      </c>
      <c r="F50" s="320" t="s">
        <v>148</v>
      </c>
    </row>
    <row r="51" spans="1:9" s="19" customFormat="1" ht="14.4" x14ac:dyDescent="0.55000000000000004">
      <c r="A51" s="321" t="s">
        <v>140</v>
      </c>
      <c r="B51" s="19">
        <f>B42</f>
        <v>5000</v>
      </c>
      <c r="C51" s="19">
        <f>C47</f>
        <v>409</v>
      </c>
      <c r="D51" s="322">
        <f>E47</f>
        <v>1130800</v>
      </c>
      <c r="E51" s="161">
        <v>56.28</v>
      </c>
      <c r="F51" s="19">
        <f>E51*C51</f>
        <v>23018.52</v>
      </c>
    </row>
    <row r="52" spans="1:9" s="19" customFormat="1" ht="14.4" x14ac:dyDescent="0.55000000000000004">
      <c r="A52" s="321" t="s">
        <v>149</v>
      </c>
      <c r="B52" s="19">
        <f>B43</f>
        <v>5000</v>
      </c>
      <c r="D52" s="322">
        <f>F47</f>
        <v>744900</v>
      </c>
      <c r="E52" s="161">
        <v>9.73</v>
      </c>
      <c r="F52" s="19">
        <f>E52*(D52/1000)</f>
        <v>7247.8770000000004</v>
      </c>
    </row>
    <row r="53" spans="1:9" s="19" customFormat="1" ht="14.4" x14ac:dyDescent="0.55000000000000004">
      <c r="A53" s="321" t="s">
        <v>149</v>
      </c>
      <c r="B53" s="19">
        <v>10000</v>
      </c>
      <c r="D53" s="322">
        <f>G47</f>
        <v>1196800</v>
      </c>
      <c r="E53" s="161">
        <v>9.07</v>
      </c>
      <c r="F53" s="19">
        <f>E53*(D53/1000)</f>
        <v>10854.976000000001</v>
      </c>
    </row>
    <row r="54" spans="1:9" s="19" customFormat="1" ht="14.4" x14ac:dyDescent="0.55000000000000004">
      <c r="A54" s="321" t="s">
        <v>149</v>
      </c>
      <c r="B54" s="19">
        <f>B45</f>
        <v>30000</v>
      </c>
      <c r="D54" s="322">
        <f>H47</f>
        <v>2243300</v>
      </c>
      <c r="E54" s="28">
        <v>8.42</v>
      </c>
      <c r="F54" s="19">
        <f>E54*(D54/1000)</f>
        <v>18888.586000000003</v>
      </c>
    </row>
    <row r="55" spans="1:9" s="19" customFormat="1" ht="14.4" x14ac:dyDescent="0.55000000000000004">
      <c r="A55" s="321" t="s">
        <v>141</v>
      </c>
      <c r="B55" s="16">
        <f>B46</f>
        <v>50000</v>
      </c>
      <c r="C55" s="16"/>
      <c r="D55" s="323">
        <f>I47</f>
        <v>3752000</v>
      </c>
      <c r="E55" s="335">
        <v>7.76</v>
      </c>
      <c r="F55" s="16">
        <f>E55*(D55/1000)</f>
        <v>29115.52</v>
      </c>
    </row>
    <row r="56" spans="1:9" s="19" customFormat="1" ht="14.4" x14ac:dyDescent="0.55000000000000004">
      <c r="A56" s="321"/>
      <c r="B56" s="19" t="s">
        <v>145</v>
      </c>
      <c r="C56" s="19">
        <f>SUM(C51:C55)</f>
        <v>409</v>
      </c>
      <c r="D56" s="17">
        <f>SUM(D51:D55)</f>
        <v>9067800</v>
      </c>
      <c r="F56" s="19">
        <f>SUM(F51:F55)</f>
        <v>89125.479000000007</v>
      </c>
    </row>
    <row r="57" spans="1:9" s="19" customFormat="1" ht="15.3" x14ac:dyDescent="0.55000000000000004">
      <c r="A57"/>
      <c r="B57"/>
      <c r="C57"/>
      <c r="D57"/>
      <c r="E57"/>
      <c r="F57"/>
      <c r="G57"/>
      <c r="H57"/>
    </row>
    <row r="58" spans="1:9" s="19" customFormat="1" ht="15.6" x14ac:dyDescent="0.6">
      <c r="A58" s="319" t="s">
        <v>347</v>
      </c>
    </row>
    <row r="59" spans="1:9" s="19" customFormat="1" ht="14.4" x14ac:dyDescent="0.55000000000000004">
      <c r="E59" s="44" t="s">
        <v>140</v>
      </c>
      <c r="F59" s="44" t="s">
        <v>149</v>
      </c>
      <c r="G59" s="44" t="s">
        <v>149</v>
      </c>
      <c r="H59" s="44" t="s">
        <v>141</v>
      </c>
    </row>
    <row r="60" spans="1:9" s="19" customFormat="1" ht="14.4" x14ac:dyDescent="0.55000000000000004">
      <c r="B60" s="320" t="s">
        <v>142</v>
      </c>
      <c r="C60" s="320" t="s">
        <v>143</v>
      </c>
      <c r="D60" s="320" t="s">
        <v>144</v>
      </c>
      <c r="E60" s="336">
        <f>B61</f>
        <v>11000</v>
      </c>
      <c r="F60" s="336">
        <f>B62</f>
        <v>9000</v>
      </c>
      <c r="G60" s="336">
        <f>B63</f>
        <v>30000</v>
      </c>
      <c r="H60" s="336">
        <f>B64</f>
        <v>50000</v>
      </c>
      <c r="I60" s="320" t="s">
        <v>145</v>
      </c>
    </row>
    <row r="61" spans="1:9" s="19" customFormat="1" ht="14.4" x14ac:dyDescent="0.55000000000000004">
      <c r="A61" s="321" t="s">
        <v>140</v>
      </c>
      <c r="B61" s="19">
        <v>11000</v>
      </c>
      <c r="C61" s="322">
        <v>65</v>
      </c>
      <c r="D61" s="322">
        <v>138000</v>
      </c>
      <c r="E61" s="322">
        <f>D61</f>
        <v>138000</v>
      </c>
      <c r="F61" s="322">
        <v>0</v>
      </c>
      <c r="G61" s="322">
        <v>0</v>
      </c>
      <c r="H61" s="322">
        <v>0</v>
      </c>
      <c r="I61" s="322">
        <f>SUM(E61:H61)</f>
        <v>138000</v>
      </c>
    </row>
    <row r="62" spans="1:9" s="19" customFormat="1" ht="14.4" x14ac:dyDescent="0.55000000000000004">
      <c r="A62" s="321" t="s">
        <v>149</v>
      </c>
      <c r="B62" s="19">
        <v>9000</v>
      </c>
      <c r="C62" s="322">
        <v>2</v>
      </c>
      <c r="D62" s="322">
        <v>28800</v>
      </c>
      <c r="E62" s="322">
        <f>C62*E60</f>
        <v>22000</v>
      </c>
      <c r="F62" s="322">
        <f>D62-E62</f>
        <v>6800</v>
      </c>
      <c r="G62" s="322">
        <v>0</v>
      </c>
      <c r="H62" s="322">
        <v>0</v>
      </c>
      <c r="I62" s="322">
        <f>SUM(E62:H62)</f>
        <v>28800</v>
      </c>
    </row>
    <row r="63" spans="1:9" s="19" customFormat="1" ht="14.4" x14ac:dyDescent="0.55000000000000004">
      <c r="A63" s="321" t="s">
        <v>149</v>
      </c>
      <c r="B63" s="19">
        <v>30000</v>
      </c>
      <c r="C63" s="322">
        <v>12</v>
      </c>
      <c r="D63" s="322">
        <v>343800</v>
      </c>
      <c r="E63" s="322">
        <f>$C63*E$60</f>
        <v>132000</v>
      </c>
      <c r="F63" s="322">
        <f t="shared" ref="F63:F64" si="4">$C63*F$60</f>
        <v>108000</v>
      </c>
      <c r="G63" s="322">
        <f>D63-(F63+E63)</f>
        <v>103800</v>
      </c>
      <c r="H63" s="322">
        <v>0</v>
      </c>
      <c r="I63" s="322">
        <f>SUM(E63:H63)</f>
        <v>343800</v>
      </c>
    </row>
    <row r="64" spans="1:9" s="19" customFormat="1" ht="14.4" x14ac:dyDescent="0.55000000000000004">
      <c r="A64" s="321" t="s">
        <v>141</v>
      </c>
      <c r="B64" s="16">
        <v>50000</v>
      </c>
      <c r="C64" s="323">
        <v>5</v>
      </c>
      <c r="D64" s="323">
        <v>1119100</v>
      </c>
      <c r="E64" s="323">
        <f>C64*E$60</f>
        <v>55000</v>
      </c>
      <c r="F64" s="323">
        <f t="shared" si="4"/>
        <v>45000</v>
      </c>
      <c r="G64" s="323">
        <f>$C64*G$60</f>
        <v>150000</v>
      </c>
      <c r="H64" s="323">
        <f>D64-(+G64+F64+E64)</f>
        <v>869100</v>
      </c>
      <c r="I64" s="323">
        <f>SUM(E64:H64)</f>
        <v>1119100</v>
      </c>
    </row>
    <row r="65" spans="1:9" s="19" customFormat="1" ht="14.4" x14ac:dyDescent="0.55000000000000004">
      <c r="A65" s="321"/>
      <c r="C65" s="17">
        <f t="shared" ref="C65:I65" si="5">SUM(C61:C64)</f>
        <v>84</v>
      </c>
      <c r="D65" s="17">
        <f t="shared" si="5"/>
        <v>1629700</v>
      </c>
      <c r="E65" s="17">
        <f t="shared" si="5"/>
        <v>347000</v>
      </c>
      <c r="F65" s="17">
        <f t="shared" si="5"/>
        <v>159800</v>
      </c>
      <c r="G65" s="17">
        <f t="shared" si="5"/>
        <v>253800</v>
      </c>
      <c r="H65" s="17">
        <f t="shared" si="5"/>
        <v>869100</v>
      </c>
      <c r="I65" s="17">
        <f t="shared" si="5"/>
        <v>1629700</v>
      </c>
    </row>
    <row r="66" spans="1:9" s="19" customFormat="1" ht="14.4" x14ac:dyDescent="0.55000000000000004">
      <c r="A66" s="321"/>
    </row>
    <row r="67" spans="1:9" s="19" customFormat="1" ht="14.4" x14ac:dyDescent="0.55000000000000004">
      <c r="A67" s="324" t="s">
        <v>146</v>
      </c>
      <c r="B67" s="324"/>
    </row>
    <row r="68" spans="1:9" s="19" customFormat="1" ht="14.4" x14ac:dyDescent="0.55000000000000004">
      <c r="A68" s="321"/>
      <c r="B68" s="320"/>
      <c r="C68" s="320" t="s">
        <v>143</v>
      </c>
      <c r="D68" s="320" t="s">
        <v>144</v>
      </c>
      <c r="E68" s="320" t="s">
        <v>147</v>
      </c>
      <c r="F68" s="320" t="s">
        <v>148</v>
      </c>
    </row>
    <row r="69" spans="1:9" s="19" customFormat="1" ht="14.4" x14ac:dyDescent="0.55000000000000004">
      <c r="A69" s="321" t="s">
        <v>140</v>
      </c>
      <c r="B69" s="19">
        <f>B61</f>
        <v>11000</v>
      </c>
      <c r="C69" s="19">
        <f>C65</f>
        <v>84</v>
      </c>
      <c r="D69" s="322">
        <f>E65</f>
        <v>347000</v>
      </c>
      <c r="E69" s="161">
        <v>113.97</v>
      </c>
      <c r="F69" s="19">
        <f>E69*C69</f>
        <v>9573.48</v>
      </c>
    </row>
    <row r="70" spans="1:9" s="19" customFormat="1" ht="14.4" x14ac:dyDescent="0.55000000000000004">
      <c r="A70" s="321" t="s">
        <v>149</v>
      </c>
      <c r="B70" s="19">
        <f>B62</f>
        <v>9000</v>
      </c>
      <c r="D70" s="322">
        <f>F65</f>
        <v>159800</v>
      </c>
      <c r="E70" s="161">
        <v>9.07</v>
      </c>
      <c r="F70" s="19">
        <f>E70*(D70/1000)</f>
        <v>1449.3860000000002</v>
      </c>
    </row>
    <row r="71" spans="1:9" s="19" customFormat="1" ht="14.4" x14ac:dyDescent="0.55000000000000004">
      <c r="A71" s="321" t="s">
        <v>149</v>
      </c>
      <c r="B71" s="19">
        <f>B63</f>
        <v>30000</v>
      </c>
      <c r="D71" s="322">
        <f>G65</f>
        <v>253800</v>
      </c>
      <c r="E71" s="28">
        <v>8.42</v>
      </c>
      <c r="F71" s="19">
        <f>E71*(D71/1000)</f>
        <v>2136.9960000000001</v>
      </c>
    </row>
    <row r="72" spans="1:9" s="19" customFormat="1" ht="14.4" x14ac:dyDescent="0.55000000000000004">
      <c r="A72" s="321" t="s">
        <v>141</v>
      </c>
      <c r="B72" s="16">
        <f>B64</f>
        <v>50000</v>
      </c>
      <c r="C72" s="16"/>
      <c r="D72" s="323">
        <f>H65</f>
        <v>869100</v>
      </c>
      <c r="E72" s="335">
        <v>7.76</v>
      </c>
      <c r="F72" s="16">
        <f>E72*(D72/1000)</f>
        <v>6744.2160000000003</v>
      </c>
    </row>
    <row r="73" spans="1:9" s="19" customFormat="1" ht="14.4" x14ac:dyDescent="0.55000000000000004">
      <c r="A73" s="321"/>
      <c r="B73" s="19" t="s">
        <v>145</v>
      </c>
      <c r="C73" s="19">
        <f>SUM(C69:C72)</f>
        <v>84</v>
      </c>
      <c r="D73" s="17">
        <f>SUM(D69:D72)</f>
        <v>1629700</v>
      </c>
      <c r="F73" s="19">
        <f>SUM(F69:F72)</f>
        <v>19904.078000000001</v>
      </c>
    </row>
    <row r="74" spans="1:9" s="19" customFormat="1" ht="15.3" x14ac:dyDescent="0.55000000000000004">
      <c r="A74"/>
      <c r="B74"/>
      <c r="C74"/>
      <c r="D74"/>
      <c r="E74"/>
      <c r="F74"/>
      <c r="G74"/>
      <c r="H74"/>
    </row>
    <row r="75" spans="1:9" s="19" customFormat="1" ht="15.6" x14ac:dyDescent="0.6">
      <c r="A75" s="319" t="s">
        <v>337</v>
      </c>
    </row>
    <row r="76" spans="1:9" s="19" customFormat="1" ht="14.4" x14ac:dyDescent="0.55000000000000004">
      <c r="E76" s="44" t="s">
        <v>140</v>
      </c>
      <c r="F76" s="44" t="s">
        <v>149</v>
      </c>
      <c r="G76" s="44" t="s">
        <v>149</v>
      </c>
      <c r="H76" s="44" t="s">
        <v>141</v>
      </c>
    </row>
    <row r="77" spans="1:9" s="19" customFormat="1" ht="14.4" x14ac:dyDescent="0.55000000000000004">
      <c r="B77" s="320" t="s">
        <v>142</v>
      </c>
      <c r="C77" s="320" t="s">
        <v>143</v>
      </c>
      <c r="D77" s="320" t="s">
        <v>144</v>
      </c>
      <c r="E77" s="336">
        <f>B78</f>
        <v>16000</v>
      </c>
      <c r="F77" s="336">
        <f>B79</f>
        <v>4000</v>
      </c>
      <c r="G77" s="336">
        <f>B80</f>
        <v>30000</v>
      </c>
      <c r="H77" s="336">
        <f>B81</f>
        <v>50000</v>
      </c>
      <c r="I77" s="320" t="s">
        <v>145</v>
      </c>
    </row>
    <row r="78" spans="1:9" s="19" customFormat="1" ht="14.4" x14ac:dyDescent="0.55000000000000004">
      <c r="A78" s="321" t="s">
        <v>140</v>
      </c>
      <c r="B78" s="19">
        <v>16000</v>
      </c>
      <c r="C78" s="322">
        <v>165</v>
      </c>
      <c r="D78" s="322">
        <v>877700</v>
      </c>
      <c r="E78" s="322">
        <f>D78</f>
        <v>877700</v>
      </c>
      <c r="F78" s="322">
        <v>0</v>
      </c>
      <c r="G78" s="322">
        <v>0</v>
      </c>
      <c r="H78" s="322">
        <v>0</v>
      </c>
      <c r="I78" s="322">
        <f>SUM(E78:H78)</f>
        <v>877700</v>
      </c>
    </row>
    <row r="79" spans="1:9" s="19" customFormat="1" ht="14.4" x14ac:dyDescent="0.55000000000000004">
      <c r="A79" s="321" t="s">
        <v>149</v>
      </c>
      <c r="B79" s="19">
        <v>4000</v>
      </c>
      <c r="C79" s="322">
        <v>16</v>
      </c>
      <c r="D79" s="322">
        <v>286000</v>
      </c>
      <c r="E79" s="322">
        <f>C79*E77</f>
        <v>256000</v>
      </c>
      <c r="F79" s="322">
        <f>D79-E79</f>
        <v>30000</v>
      </c>
      <c r="G79" s="322">
        <v>0</v>
      </c>
      <c r="H79" s="322">
        <v>0</v>
      </c>
      <c r="I79" s="322">
        <f>SUM(E79:H79)</f>
        <v>286000</v>
      </c>
    </row>
    <row r="80" spans="1:9" s="19" customFormat="1" ht="14.4" x14ac:dyDescent="0.55000000000000004">
      <c r="A80" s="321" t="s">
        <v>149</v>
      </c>
      <c r="B80" s="19">
        <v>30000</v>
      </c>
      <c r="C80" s="322">
        <v>79</v>
      </c>
      <c r="D80" s="322">
        <v>2806400</v>
      </c>
      <c r="E80" s="322">
        <f>$C80*E$77</f>
        <v>1264000</v>
      </c>
      <c r="F80" s="322">
        <f>$C80*F$77</f>
        <v>316000</v>
      </c>
      <c r="G80" s="322">
        <f>D80-(F80+E80)</f>
        <v>1226400</v>
      </c>
      <c r="H80" s="322">
        <v>0</v>
      </c>
      <c r="I80" s="322">
        <f>SUM(E80:H80)</f>
        <v>2806400</v>
      </c>
    </row>
    <row r="81" spans="1:9" s="19" customFormat="1" ht="14.4" x14ac:dyDescent="0.55000000000000004">
      <c r="A81" s="321" t="s">
        <v>141</v>
      </c>
      <c r="B81" s="16">
        <v>50000</v>
      </c>
      <c r="C81" s="323">
        <v>156</v>
      </c>
      <c r="D81" s="323">
        <v>28418700</v>
      </c>
      <c r="E81" s="323">
        <f t="shared" ref="E81:G81" si="6">$C81*E$77</f>
        <v>2496000</v>
      </c>
      <c r="F81" s="323">
        <f t="shared" si="6"/>
        <v>624000</v>
      </c>
      <c r="G81" s="323">
        <f t="shared" si="6"/>
        <v>4680000</v>
      </c>
      <c r="H81" s="323">
        <f>D81-(+G81+F81+E81)</f>
        <v>20618700</v>
      </c>
      <c r="I81" s="323">
        <f>SUM(E81:H81)</f>
        <v>28418700</v>
      </c>
    </row>
    <row r="82" spans="1:9" s="19" customFormat="1" ht="14.4" x14ac:dyDescent="0.55000000000000004">
      <c r="A82" s="321"/>
      <c r="C82" s="17">
        <f t="shared" ref="C82:I82" si="7">SUM(C78:C81)</f>
        <v>416</v>
      </c>
      <c r="D82" s="17">
        <f t="shared" si="7"/>
        <v>32388800</v>
      </c>
      <c r="E82" s="17">
        <f t="shared" si="7"/>
        <v>4893700</v>
      </c>
      <c r="F82" s="17">
        <f t="shared" si="7"/>
        <v>970000</v>
      </c>
      <c r="G82" s="17">
        <f t="shared" si="7"/>
        <v>5906400</v>
      </c>
      <c r="H82" s="17">
        <f t="shared" si="7"/>
        <v>20618700</v>
      </c>
      <c r="I82" s="17">
        <f t="shared" si="7"/>
        <v>32388800</v>
      </c>
    </row>
    <row r="83" spans="1:9" s="19" customFormat="1" ht="14.4" x14ac:dyDescent="0.55000000000000004">
      <c r="A83" s="321"/>
    </row>
    <row r="84" spans="1:9" s="19" customFormat="1" ht="14.4" x14ac:dyDescent="0.55000000000000004">
      <c r="A84" s="324" t="s">
        <v>146</v>
      </c>
      <c r="B84" s="324"/>
    </row>
    <row r="85" spans="1:9" s="19" customFormat="1" ht="14.4" x14ac:dyDescent="0.55000000000000004">
      <c r="A85" s="321"/>
      <c r="B85" s="320"/>
      <c r="C85" s="320" t="s">
        <v>143</v>
      </c>
      <c r="D85" s="320" t="s">
        <v>144</v>
      </c>
      <c r="E85" s="320" t="s">
        <v>147</v>
      </c>
      <c r="F85" s="320" t="s">
        <v>148</v>
      </c>
    </row>
    <row r="86" spans="1:9" s="19" customFormat="1" ht="14.4" x14ac:dyDescent="0.55000000000000004">
      <c r="A86" s="321" t="s">
        <v>140</v>
      </c>
      <c r="B86" s="19">
        <f>B78</f>
        <v>16000</v>
      </c>
      <c r="C86" s="19">
        <f>C82</f>
        <v>416</v>
      </c>
      <c r="D86" s="322">
        <f>E82</f>
        <v>4893700</v>
      </c>
      <c r="E86" s="161">
        <v>159.30000000000001</v>
      </c>
      <c r="F86" s="19">
        <f>E86*C86</f>
        <v>66268.800000000003</v>
      </c>
    </row>
    <row r="87" spans="1:9" s="19" customFormat="1" ht="14.4" x14ac:dyDescent="0.55000000000000004">
      <c r="A87" s="321" t="s">
        <v>149</v>
      </c>
      <c r="B87" s="19">
        <f>B79</f>
        <v>4000</v>
      </c>
      <c r="D87" s="322">
        <f>F82</f>
        <v>970000</v>
      </c>
      <c r="E87" s="161">
        <v>9.07</v>
      </c>
      <c r="F87" s="19">
        <f>E87*(D87/1000)</f>
        <v>8797.9</v>
      </c>
    </row>
    <row r="88" spans="1:9" s="19" customFormat="1" ht="14.4" x14ac:dyDescent="0.55000000000000004">
      <c r="A88" s="321" t="s">
        <v>149</v>
      </c>
      <c r="B88" s="19">
        <f>B80</f>
        <v>30000</v>
      </c>
      <c r="D88" s="322">
        <f>G82</f>
        <v>5906400</v>
      </c>
      <c r="E88" s="28">
        <v>8.42</v>
      </c>
      <c r="F88" s="19">
        <f>E88*(D88/1000)</f>
        <v>49731.887999999999</v>
      </c>
    </row>
    <row r="89" spans="1:9" s="19" customFormat="1" ht="14.4" x14ac:dyDescent="0.55000000000000004">
      <c r="A89" s="321" t="s">
        <v>141</v>
      </c>
      <c r="B89" s="16">
        <f>B81</f>
        <v>50000</v>
      </c>
      <c r="C89" s="16"/>
      <c r="D89" s="323">
        <f>H82</f>
        <v>20618700</v>
      </c>
      <c r="E89" s="335">
        <v>7.76</v>
      </c>
      <c r="F89" s="16">
        <f>E89*(D89/1000)</f>
        <v>160001.11199999999</v>
      </c>
    </row>
    <row r="90" spans="1:9" s="19" customFormat="1" ht="14.4" x14ac:dyDescent="0.55000000000000004">
      <c r="A90" s="321"/>
      <c r="B90" s="19" t="s">
        <v>145</v>
      </c>
      <c r="C90" s="19">
        <f>SUM(C86:C89)</f>
        <v>416</v>
      </c>
      <c r="D90" s="17">
        <f>SUM(D86:D89)</f>
        <v>32388800</v>
      </c>
      <c r="F90" s="19">
        <f>SUM(F86:F89)</f>
        <v>284799.69999999995</v>
      </c>
    </row>
    <row r="91" spans="1:9" s="19" customFormat="1" ht="14.4" x14ac:dyDescent="0.55000000000000004">
      <c r="A91" s="321"/>
      <c r="D91" s="17"/>
    </row>
    <row r="92" spans="1:9" s="19" customFormat="1" ht="15.6" x14ac:dyDescent="0.6">
      <c r="A92" s="319" t="s">
        <v>348</v>
      </c>
    </row>
    <row r="93" spans="1:9" s="19" customFormat="1" ht="14.4" x14ac:dyDescent="0.55000000000000004">
      <c r="E93" s="44" t="s">
        <v>140</v>
      </c>
      <c r="F93" s="44" t="s">
        <v>149</v>
      </c>
      <c r="G93" s="44" t="s">
        <v>141</v>
      </c>
    </row>
    <row r="94" spans="1:9" s="19" customFormat="1" ht="14.4" x14ac:dyDescent="0.55000000000000004">
      <c r="B94" s="320" t="s">
        <v>142</v>
      </c>
      <c r="C94" s="320" t="s">
        <v>143</v>
      </c>
      <c r="D94" s="320" t="s">
        <v>144</v>
      </c>
      <c r="E94" s="336">
        <f>B95</f>
        <v>26000</v>
      </c>
      <c r="F94" s="336">
        <f>B96</f>
        <v>24000</v>
      </c>
      <c r="G94" s="336">
        <f>B97</f>
        <v>50000</v>
      </c>
      <c r="H94" s="320" t="s">
        <v>145</v>
      </c>
    </row>
    <row r="95" spans="1:9" s="19" customFormat="1" ht="14.4" x14ac:dyDescent="0.55000000000000004">
      <c r="A95" s="321" t="s">
        <v>140</v>
      </c>
      <c r="B95" s="19">
        <v>26000</v>
      </c>
      <c r="C95" s="322">
        <v>25</v>
      </c>
      <c r="D95" s="322">
        <v>65200</v>
      </c>
      <c r="E95" s="322">
        <f>D95</f>
        <v>65200</v>
      </c>
      <c r="F95" s="322">
        <v>0</v>
      </c>
      <c r="G95" s="322">
        <v>0</v>
      </c>
      <c r="H95" s="322">
        <f>SUM(E95:G95)</f>
        <v>65200</v>
      </c>
    </row>
    <row r="96" spans="1:9" s="19" customFormat="1" ht="14.4" x14ac:dyDescent="0.55000000000000004">
      <c r="A96" s="321" t="s">
        <v>149</v>
      </c>
      <c r="B96" s="19">
        <v>24000</v>
      </c>
      <c r="C96" s="322">
        <v>2</v>
      </c>
      <c r="D96" s="322">
        <v>69100</v>
      </c>
      <c r="E96" s="322">
        <f>$C96*E$94</f>
        <v>52000</v>
      </c>
      <c r="F96" s="322">
        <f>D96-E96</f>
        <v>17100</v>
      </c>
      <c r="G96" s="322">
        <v>0</v>
      </c>
      <c r="H96" s="322">
        <f>SUM(E96:G96)</f>
        <v>69100</v>
      </c>
    </row>
    <row r="97" spans="1:8" s="19" customFormat="1" ht="14.4" x14ac:dyDescent="0.55000000000000004">
      <c r="A97" s="321" t="s">
        <v>141</v>
      </c>
      <c r="B97" s="16">
        <v>50000</v>
      </c>
      <c r="C97" s="323">
        <v>34</v>
      </c>
      <c r="D97" s="323">
        <v>3492900</v>
      </c>
      <c r="E97" s="323">
        <f t="shared" ref="E97:F97" si="8">$C97*E$94</f>
        <v>884000</v>
      </c>
      <c r="F97" s="323">
        <f t="shared" si="8"/>
        <v>816000</v>
      </c>
      <c r="G97" s="323">
        <f>D97-(+F97+E97)</f>
        <v>1792900</v>
      </c>
      <c r="H97" s="323">
        <f>SUM(E97:G97)</f>
        <v>3492900</v>
      </c>
    </row>
    <row r="98" spans="1:8" s="19" customFormat="1" ht="14.4" x14ac:dyDescent="0.55000000000000004">
      <c r="A98" s="321"/>
      <c r="C98" s="17">
        <f t="shared" ref="C98:H98" si="9">SUM(C95:C97)</f>
        <v>61</v>
      </c>
      <c r="D98" s="17">
        <f t="shared" si="9"/>
        <v>3627200</v>
      </c>
      <c r="E98" s="17">
        <f t="shared" si="9"/>
        <v>1001200</v>
      </c>
      <c r="F98" s="17">
        <f t="shared" si="9"/>
        <v>833100</v>
      </c>
      <c r="G98" s="17">
        <f t="shared" si="9"/>
        <v>1792900</v>
      </c>
      <c r="H98" s="17">
        <f t="shared" si="9"/>
        <v>3627200</v>
      </c>
    </row>
    <row r="99" spans="1:8" s="19" customFormat="1" ht="14.4" x14ac:dyDescent="0.55000000000000004">
      <c r="A99" s="321"/>
    </row>
    <row r="100" spans="1:8" s="19" customFormat="1" ht="14.4" x14ac:dyDescent="0.55000000000000004">
      <c r="A100" s="324" t="s">
        <v>146</v>
      </c>
      <c r="B100" s="324"/>
    </row>
    <row r="101" spans="1:8" s="19" customFormat="1" ht="14.4" x14ac:dyDescent="0.55000000000000004">
      <c r="A101" s="321"/>
      <c r="B101" s="320"/>
      <c r="C101" s="320" t="s">
        <v>143</v>
      </c>
      <c r="D101" s="320" t="s">
        <v>144</v>
      </c>
      <c r="E101" s="320" t="s">
        <v>147</v>
      </c>
      <c r="F101" s="320" t="s">
        <v>148</v>
      </c>
    </row>
    <row r="102" spans="1:8" s="19" customFormat="1" ht="14.4" x14ac:dyDescent="0.55000000000000004">
      <c r="A102" s="321" t="s">
        <v>140</v>
      </c>
      <c r="B102" s="19">
        <f>B95</f>
        <v>26000</v>
      </c>
      <c r="C102" s="19">
        <f>C98</f>
        <v>61</v>
      </c>
      <c r="D102" s="322">
        <f>E98</f>
        <v>1001200</v>
      </c>
      <c r="E102" s="161">
        <v>246.05</v>
      </c>
      <c r="F102" s="19">
        <f>E102*C102</f>
        <v>15009.050000000001</v>
      </c>
    </row>
    <row r="103" spans="1:8" s="19" customFormat="1" ht="14.4" x14ac:dyDescent="0.55000000000000004">
      <c r="A103" s="321" t="s">
        <v>149</v>
      </c>
      <c r="B103" s="19">
        <f>B96</f>
        <v>24000</v>
      </c>
      <c r="D103" s="322">
        <f>F98</f>
        <v>833100</v>
      </c>
      <c r="E103" s="28">
        <v>8.42</v>
      </c>
      <c r="F103" s="19">
        <f>E103*(D103/1000)</f>
        <v>7014.7020000000002</v>
      </c>
    </row>
    <row r="104" spans="1:8" s="19" customFormat="1" ht="14.4" x14ac:dyDescent="0.55000000000000004">
      <c r="A104" s="321" t="s">
        <v>141</v>
      </c>
      <c r="B104" s="16">
        <f>B97</f>
        <v>50000</v>
      </c>
      <c r="C104" s="16"/>
      <c r="D104" s="323">
        <f>G98</f>
        <v>1792900</v>
      </c>
      <c r="E104" s="335">
        <v>7.76</v>
      </c>
      <c r="F104" s="16">
        <f>E104*(D104/1000)</f>
        <v>13912.904</v>
      </c>
    </row>
    <row r="105" spans="1:8" s="19" customFormat="1" ht="14.4" x14ac:dyDescent="0.55000000000000004">
      <c r="A105" s="321"/>
      <c r="B105" s="19" t="s">
        <v>145</v>
      </c>
      <c r="C105" s="19">
        <f>SUM(C102:C104)</f>
        <v>61</v>
      </c>
      <c r="D105" s="17">
        <f>SUM(D102:D104)</f>
        <v>3627200</v>
      </c>
      <c r="F105" s="19">
        <f>SUM(F102:F104)</f>
        <v>35936.656000000003</v>
      </c>
    </row>
    <row r="106" spans="1:8" s="19" customFormat="1" ht="14.4" x14ac:dyDescent="0.55000000000000004">
      <c r="A106" s="321"/>
      <c r="D106" s="17"/>
    </row>
    <row r="107" spans="1:8" s="19" customFormat="1" ht="15.6" x14ac:dyDescent="0.6">
      <c r="A107" s="319" t="s">
        <v>349</v>
      </c>
    </row>
    <row r="108" spans="1:8" s="19" customFormat="1" ht="14.4" x14ac:dyDescent="0.55000000000000004">
      <c r="E108" s="44" t="s">
        <v>140</v>
      </c>
      <c r="F108" s="44" t="s">
        <v>149</v>
      </c>
      <c r="G108" s="44" t="s">
        <v>141</v>
      </c>
    </row>
    <row r="109" spans="1:8" s="19" customFormat="1" ht="14.4" x14ac:dyDescent="0.55000000000000004">
      <c r="B109" s="320" t="s">
        <v>142</v>
      </c>
      <c r="C109" s="320" t="s">
        <v>143</v>
      </c>
      <c r="D109" s="320" t="s">
        <v>144</v>
      </c>
      <c r="E109" s="336">
        <f>B110</f>
        <v>36000</v>
      </c>
      <c r="F109" s="336">
        <f>B111</f>
        <v>14000</v>
      </c>
      <c r="G109" s="336">
        <f>B112</f>
        <v>50000</v>
      </c>
      <c r="H109" s="320" t="s">
        <v>145</v>
      </c>
    </row>
    <row r="110" spans="1:8" s="19" customFormat="1" ht="14.4" x14ac:dyDescent="0.55000000000000004">
      <c r="A110" s="321" t="s">
        <v>140</v>
      </c>
      <c r="B110" s="19">
        <v>36000</v>
      </c>
      <c r="C110" s="322">
        <v>9</v>
      </c>
      <c r="D110" s="322">
        <v>50900</v>
      </c>
      <c r="E110" s="322">
        <f>D110</f>
        <v>50900</v>
      </c>
      <c r="F110" s="322">
        <v>0</v>
      </c>
      <c r="G110" s="322">
        <v>0</v>
      </c>
      <c r="H110" s="322">
        <f>SUM(E110:G110)</f>
        <v>50900</v>
      </c>
    </row>
    <row r="111" spans="1:8" s="19" customFormat="1" ht="14.4" x14ac:dyDescent="0.55000000000000004">
      <c r="A111" s="321" t="s">
        <v>149</v>
      </c>
      <c r="B111" s="19">
        <v>14000</v>
      </c>
      <c r="C111" s="322">
        <v>0</v>
      </c>
      <c r="D111" s="322">
        <v>0</v>
      </c>
      <c r="E111" s="322">
        <f>$C111*E$109</f>
        <v>0</v>
      </c>
      <c r="F111" s="322">
        <f>D111-E111</f>
        <v>0</v>
      </c>
      <c r="G111" s="322">
        <v>0</v>
      </c>
      <c r="H111" s="322">
        <f>SUM(E111:G111)</f>
        <v>0</v>
      </c>
    </row>
    <row r="112" spans="1:8" s="19" customFormat="1" ht="14.4" x14ac:dyDescent="0.55000000000000004">
      <c r="A112" s="321" t="s">
        <v>141</v>
      </c>
      <c r="B112" s="16">
        <v>50000</v>
      </c>
      <c r="C112" s="323">
        <v>39</v>
      </c>
      <c r="D112" s="323">
        <v>12982100</v>
      </c>
      <c r="E112" s="323">
        <f>$C112*E$109</f>
        <v>1404000</v>
      </c>
      <c r="F112" s="323">
        <f>$C112*F$109</f>
        <v>546000</v>
      </c>
      <c r="G112" s="323">
        <f>D112-(+F112+E112)</f>
        <v>11032100</v>
      </c>
      <c r="H112" s="323">
        <f>SUM(E112:G112)</f>
        <v>12982100</v>
      </c>
    </row>
    <row r="113" spans="1:8" s="19" customFormat="1" ht="14.4" x14ac:dyDescent="0.55000000000000004">
      <c r="A113" s="321"/>
      <c r="C113" s="17">
        <f t="shared" ref="C113:H113" si="10">SUM(C110:C112)</f>
        <v>48</v>
      </c>
      <c r="D113" s="17">
        <f t="shared" si="10"/>
        <v>13033000</v>
      </c>
      <c r="E113" s="17">
        <f t="shared" si="10"/>
        <v>1454900</v>
      </c>
      <c r="F113" s="17">
        <f t="shared" si="10"/>
        <v>546000</v>
      </c>
      <c r="G113" s="17">
        <f t="shared" si="10"/>
        <v>11032100</v>
      </c>
      <c r="H113" s="17">
        <f t="shared" si="10"/>
        <v>13033000</v>
      </c>
    </row>
    <row r="114" spans="1:8" s="19" customFormat="1" ht="14.4" x14ac:dyDescent="0.55000000000000004">
      <c r="A114" s="321"/>
    </row>
    <row r="115" spans="1:8" s="19" customFormat="1" ht="14.4" x14ac:dyDescent="0.55000000000000004">
      <c r="A115" s="324" t="s">
        <v>146</v>
      </c>
      <c r="B115" s="324"/>
    </row>
    <row r="116" spans="1:8" s="19" customFormat="1" ht="14.4" x14ac:dyDescent="0.55000000000000004">
      <c r="A116" s="321"/>
      <c r="B116" s="320"/>
      <c r="C116" s="320" t="s">
        <v>143</v>
      </c>
      <c r="D116" s="320" t="s">
        <v>144</v>
      </c>
      <c r="E116" s="320" t="s">
        <v>147</v>
      </c>
      <c r="F116" s="320" t="s">
        <v>148</v>
      </c>
    </row>
    <row r="117" spans="1:8" s="19" customFormat="1" ht="14.4" x14ac:dyDescent="0.55000000000000004">
      <c r="A117" s="321" t="s">
        <v>140</v>
      </c>
      <c r="B117" s="19">
        <f>B110</f>
        <v>36000</v>
      </c>
      <c r="C117" s="19">
        <f>C113</f>
        <v>48</v>
      </c>
      <c r="D117" s="322">
        <f>E113</f>
        <v>1454900</v>
      </c>
      <c r="E117" s="161">
        <v>330.23</v>
      </c>
      <c r="F117" s="19">
        <f>E117*C117</f>
        <v>15851.04</v>
      </c>
    </row>
    <row r="118" spans="1:8" s="19" customFormat="1" ht="14.4" x14ac:dyDescent="0.55000000000000004">
      <c r="A118" s="321" t="s">
        <v>149</v>
      </c>
      <c r="B118" s="19">
        <f>B111</f>
        <v>14000</v>
      </c>
      <c r="D118" s="322">
        <f>F113</f>
        <v>546000</v>
      </c>
      <c r="E118" s="28">
        <v>8.42</v>
      </c>
      <c r="F118" s="19">
        <f>E118*(D118/1000)</f>
        <v>4597.32</v>
      </c>
    </row>
    <row r="119" spans="1:8" s="19" customFormat="1" ht="14.4" x14ac:dyDescent="0.55000000000000004">
      <c r="A119" s="321" t="s">
        <v>141</v>
      </c>
      <c r="B119" s="16">
        <f>B112</f>
        <v>50000</v>
      </c>
      <c r="C119" s="16"/>
      <c r="D119" s="323">
        <f>G113</f>
        <v>11032100</v>
      </c>
      <c r="E119" s="335">
        <v>7.76</v>
      </c>
      <c r="F119" s="16">
        <f>E119*(D119/1000)</f>
        <v>85609.096000000005</v>
      </c>
    </row>
    <row r="120" spans="1:8" s="19" customFormat="1" ht="14.4" x14ac:dyDescent="0.55000000000000004">
      <c r="A120" s="321"/>
      <c r="B120" s="19" t="s">
        <v>145</v>
      </c>
      <c r="C120" s="19">
        <f>SUM(C117:C119)</f>
        <v>48</v>
      </c>
      <c r="D120" s="17">
        <f>SUM(D117:D119)</f>
        <v>13033000</v>
      </c>
      <c r="F120" s="19">
        <f>SUM(F117:F119)</f>
        <v>106057.45600000001</v>
      </c>
    </row>
    <row r="121" spans="1:8" s="19" customFormat="1" ht="14.4" x14ac:dyDescent="0.55000000000000004">
      <c r="A121" s="321"/>
      <c r="D121" s="17"/>
    </row>
    <row r="122" spans="1:8" s="19" customFormat="1" ht="14.4" x14ac:dyDescent="0.55000000000000004">
      <c r="A122" s="321"/>
      <c r="D122" s="17"/>
    </row>
    <row r="123" spans="1:8" s="19" customFormat="1" ht="14.4" x14ac:dyDescent="0.55000000000000004">
      <c r="A123" s="321"/>
      <c r="D123" s="17"/>
    </row>
    <row r="124" spans="1:8" s="19" customFormat="1" ht="14.4" x14ac:dyDescent="0.55000000000000004">
      <c r="A124" s="321"/>
      <c r="D124" s="17"/>
    </row>
    <row r="125" spans="1:8" s="19" customFormat="1" ht="14.4" x14ac:dyDescent="0.55000000000000004">
      <c r="A125" s="321"/>
      <c r="D125" s="17"/>
    </row>
    <row r="126" spans="1:8" s="19" customFormat="1" ht="14.4" x14ac:dyDescent="0.55000000000000004">
      <c r="A126" s="321"/>
      <c r="D126" s="17"/>
    </row>
    <row r="127" spans="1:8" s="19" customFormat="1" ht="14.4" x14ac:dyDescent="0.55000000000000004">
      <c r="A127" s="321"/>
      <c r="D127" s="17"/>
    </row>
    <row r="128" spans="1:8" s="19" customFormat="1" ht="14.4" x14ac:dyDescent="0.55000000000000004">
      <c r="A128" s="321"/>
      <c r="D128" s="17"/>
    </row>
    <row r="129" spans="1:11" s="19" customFormat="1" ht="14.4" x14ac:dyDescent="0.55000000000000004">
      <c r="A129" s="321"/>
      <c r="D129" s="17"/>
    </row>
    <row r="130" spans="1:11" s="19" customFormat="1" ht="14.4" x14ac:dyDescent="0.55000000000000004">
      <c r="A130" s="321"/>
      <c r="D130" s="17"/>
    </row>
    <row r="131" spans="1:11" s="19" customFormat="1" ht="14.4" x14ac:dyDescent="0.55000000000000004">
      <c r="A131" s="321"/>
      <c r="D131" s="17"/>
    </row>
    <row r="132" spans="1:11" s="19" customFormat="1" ht="15.6" x14ac:dyDescent="0.6">
      <c r="A132" s="319"/>
    </row>
    <row r="133" spans="1:11" s="19" customFormat="1" ht="15.3" x14ac:dyDescent="0.55000000000000004">
      <c r="A133"/>
      <c r="B133"/>
      <c r="C133"/>
      <c r="D133"/>
      <c r="E133"/>
      <c r="F133"/>
      <c r="G133"/>
      <c r="H133"/>
    </row>
    <row r="134" spans="1:11" s="19" customFormat="1" ht="15.3" x14ac:dyDescent="0.55000000000000004">
      <c r="A134"/>
      <c r="B134"/>
      <c r="C134"/>
      <c r="D134"/>
      <c r="E134"/>
      <c r="F134"/>
      <c r="G134"/>
      <c r="H134"/>
    </row>
    <row r="135" spans="1:11" s="19" customFormat="1" ht="15.3" x14ac:dyDescent="0.55000000000000004">
      <c r="A135"/>
      <c r="B135"/>
      <c r="C135"/>
      <c r="D135"/>
      <c r="E135"/>
      <c r="F135"/>
      <c r="G135"/>
      <c r="H135"/>
      <c r="K135" s="325"/>
    </row>
    <row r="136" spans="1:11" s="19" customFormat="1" ht="15.3" x14ac:dyDescent="0.55000000000000004">
      <c r="A136"/>
      <c r="B136"/>
      <c r="C136"/>
      <c r="D136"/>
      <c r="E136"/>
      <c r="F136"/>
      <c r="G136"/>
      <c r="H136"/>
      <c r="K136" s="44"/>
    </row>
    <row r="137" spans="1:11" s="19" customFormat="1" ht="15.3" x14ac:dyDescent="0.55000000000000004">
      <c r="A137"/>
      <c r="B137"/>
      <c r="C137"/>
      <c r="D137"/>
      <c r="E137"/>
      <c r="F137"/>
      <c r="G137"/>
      <c r="H137"/>
    </row>
    <row r="138" spans="1:11" s="19" customFormat="1" ht="15.3" x14ac:dyDescent="0.55000000000000004">
      <c r="A138"/>
      <c r="B138"/>
      <c r="C138"/>
      <c r="D138"/>
      <c r="E138"/>
      <c r="F138"/>
      <c r="G138"/>
      <c r="H138"/>
    </row>
    <row r="139" spans="1:11" s="19" customFormat="1" ht="15.3" x14ac:dyDescent="0.55000000000000004">
      <c r="A139"/>
      <c r="B139"/>
      <c r="C139"/>
      <c r="D139"/>
      <c r="E139"/>
      <c r="F139"/>
      <c r="G139"/>
      <c r="H139"/>
    </row>
    <row r="140" spans="1:11" s="19" customFormat="1" ht="15.3" x14ac:dyDescent="0.55000000000000004">
      <c r="A140"/>
      <c r="B140"/>
      <c r="C140"/>
      <c r="D140"/>
      <c r="E140"/>
      <c r="F140"/>
      <c r="G140"/>
      <c r="H140"/>
    </row>
    <row r="141" spans="1:11" s="19" customFormat="1" ht="15.3" x14ac:dyDescent="0.55000000000000004">
      <c r="A141"/>
      <c r="B141"/>
      <c r="C141"/>
      <c r="D141"/>
      <c r="E141"/>
      <c r="F141"/>
      <c r="G141"/>
      <c r="H141"/>
    </row>
    <row r="142" spans="1:11" s="19" customFormat="1" ht="15.3" x14ac:dyDescent="0.55000000000000004">
      <c r="A142"/>
      <c r="B142"/>
      <c r="C142"/>
      <c r="D142"/>
      <c r="E142"/>
      <c r="F142"/>
      <c r="G142"/>
      <c r="H142"/>
    </row>
    <row r="143" spans="1:11" s="19" customFormat="1" ht="15.3" x14ac:dyDescent="0.55000000000000004">
      <c r="A143"/>
      <c r="B143"/>
      <c r="C143"/>
      <c r="D143"/>
      <c r="E143"/>
      <c r="F143"/>
      <c r="G143"/>
      <c r="H143"/>
    </row>
    <row r="144" spans="1:11" ht="15" customHeight="1" x14ac:dyDescent="0.7">
      <c r="A144"/>
      <c r="B144"/>
      <c r="C144"/>
      <c r="D144"/>
      <c r="E144"/>
      <c r="F144"/>
      <c r="G144"/>
      <c r="H144"/>
    </row>
    <row r="145" spans="1:13" ht="15" customHeight="1" x14ac:dyDescent="0.7">
      <c r="A145" s="318"/>
      <c r="B145" s="318"/>
      <c r="C145" s="318"/>
      <c r="D145" s="318"/>
      <c r="E145" s="318"/>
      <c r="F145" s="318"/>
      <c r="G145" s="318"/>
      <c r="H145" s="318"/>
    </row>
    <row r="146" spans="1:13" ht="15" customHeight="1" x14ac:dyDescent="0.7">
      <c r="A146" s="318"/>
      <c r="B146" s="318"/>
      <c r="C146" s="318"/>
      <c r="D146" s="318"/>
      <c r="E146" s="318"/>
      <c r="F146" s="318"/>
      <c r="G146" s="318"/>
      <c r="H146" s="318"/>
    </row>
    <row r="147" spans="1:13" ht="15" customHeight="1" x14ac:dyDescent="1.1499999999999999">
      <c r="A147" s="326"/>
      <c r="M147" s="316"/>
    </row>
    <row r="149" spans="1:13" ht="15" customHeight="1" x14ac:dyDescent="0.7">
      <c r="A149" s="327" t="s">
        <v>188</v>
      </c>
    </row>
    <row r="150" spans="1:13" ht="15" customHeight="1" x14ac:dyDescent="0.7">
      <c r="B150" s="328" t="s">
        <v>144</v>
      </c>
      <c r="C150" s="328" t="s">
        <v>147</v>
      </c>
      <c r="D150" s="328" t="s">
        <v>145</v>
      </c>
    </row>
    <row r="151" spans="1:13" ht="15" customHeight="1" x14ac:dyDescent="0.7">
      <c r="A151" s="326" t="s">
        <v>189</v>
      </c>
      <c r="B151" s="315">
        <f>Resale!B17</f>
        <v>17184900</v>
      </c>
      <c r="C151" s="315">
        <v>3.13</v>
      </c>
      <c r="D151" s="315">
        <f>(B151/1000)*C151</f>
        <v>53788.737000000001</v>
      </c>
      <c r="I151" s="315">
        <f>B151/12</f>
        <v>1432075</v>
      </c>
    </row>
  </sheetData>
  <mergeCells count="2">
    <mergeCell ref="A1:J1"/>
    <mergeCell ref="A2:J2"/>
  </mergeCells>
  <printOptions horizontalCentered="1"/>
  <pageMargins left="0.7" right="0.7" top="1" bottom="0.75" header="0.3" footer="0.3"/>
  <pageSetup scale="85" fitToHeight="2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68"/>
  <sheetViews>
    <sheetView topLeftCell="A17" zoomScale="75" zoomScaleNormal="75" workbookViewId="0">
      <selection activeCell="I46" sqref="I46"/>
    </sheetView>
  </sheetViews>
  <sheetFormatPr defaultRowHeight="15" x14ac:dyDescent="0.5"/>
  <cols>
    <col min="1" max="1" width="2.6796875" customWidth="1"/>
    <col min="2" max="2" width="11.08984375" customWidth="1"/>
    <col min="3" max="3" width="10.6796875" customWidth="1"/>
    <col min="4" max="5" width="9.54296875" customWidth="1"/>
    <col min="6" max="6" width="10.76953125" customWidth="1"/>
    <col min="7" max="7" width="10.31640625" customWidth="1"/>
    <col min="8" max="8" width="9.6328125" customWidth="1"/>
    <col min="9" max="9" width="11.1796875" bestFit="1" customWidth="1"/>
    <col min="10" max="10" width="8.31640625" customWidth="1"/>
    <col min="11" max="11" width="8.453125" customWidth="1"/>
    <col min="12" max="16" width="9.54296875" customWidth="1"/>
    <col min="17" max="17" width="3.76953125" customWidth="1"/>
    <col min="18" max="18" width="13.31640625" customWidth="1"/>
  </cols>
  <sheetData>
    <row r="1" spans="1:23" ht="18.3" x14ac:dyDescent="0.55000000000000004">
      <c r="A1" s="1"/>
      <c r="B1" s="138" t="s">
        <v>217</v>
      </c>
      <c r="C1" s="1"/>
      <c r="D1" s="1"/>
      <c r="E1" s="139"/>
      <c r="F1" s="139"/>
      <c r="G1" s="13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3" ht="15.3" x14ac:dyDescent="0.55000000000000004">
      <c r="A2" s="1"/>
      <c r="B2" s="1"/>
      <c r="C2" s="1"/>
      <c r="D2" s="140"/>
      <c r="E2" s="139"/>
      <c r="F2" s="139"/>
      <c r="G2" s="13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3" ht="15.3" x14ac:dyDescent="0.55000000000000004">
      <c r="A3" s="37"/>
      <c r="B3" s="141" t="s">
        <v>111</v>
      </c>
      <c r="C3" s="6"/>
      <c r="D3" s="6"/>
      <c r="E3" s="6"/>
      <c r="F3" s="6"/>
      <c r="G3" s="1"/>
      <c r="H3" s="1"/>
      <c r="I3" s="141" t="s">
        <v>238</v>
      </c>
      <c r="J3" s="1"/>
      <c r="K3" s="1"/>
      <c r="L3" s="1"/>
      <c r="M3" s="1"/>
      <c r="N3" s="1"/>
      <c r="O3" s="1"/>
      <c r="P3" s="1"/>
      <c r="Q3" s="1"/>
      <c r="R3" s="141" t="s">
        <v>124</v>
      </c>
      <c r="S3" s="1"/>
      <c r="T3" s="1"/>
      <c r="U3" s="1"/>
    </row>
    <row r="4" spans="1:23" ht="15.3" x14ac:dyDescent="0.55000000000000004">
      <c r="A4" s="37"/>
      <c r="B4" s="6" t="s">
        <v>112</v>
      </c>
      <c r="C4" s="6"/>
      <c r="D4" s="19">
        <v>426810</v>
      </c>
      <c r="E4" s="6"/>
      <c r="G4" s="1"/>
      <c r="H4" s="1"/>
      <c r="I4" s="1"/>
      <c r="J4" s="1"/>
      <c r="K4" s="1"/>
      <c r="L4" s="1"/>
      <c r="M4" s="1"/>
      <c r="N4" s="1"/>
      <c r="O4" s="1"/>
      <c r="P4" s="64" t="s">
        <v>13</v>
      </c>
      <c r="Q4" s="1"/>
      <c r="R4" s="35"/>
      <c r="S4" s="1"/>
      <c r="T4" s="1"/>
      <c r="U4" s="1"/>
    </row>
    <row r="5" spans="1:23" ht="17.100000000000001" x14ac:dyDescent="0.85">
      <c r="A5" s="37"/>
      <c r="B5" s="6" t="s">
        <v>113</v>
      </c>
      <c r="C5" s="6"/>
      <c r="D5" s="19">
        <v>334394</v>
      </c>
      <c r="E5" s="6"/>
      <c r="G5" s="1"/>
      <c r="H5" s="1"/>
      <c r="I5" s="1"/>
      <c r="J5" s="1"/>
      <c r="K5" s="301" t="s">
        <v>272</v>
      </c>
      <c r="L5" s="301" t="s">
        <v>272</v>
      </c>
      <c r="M5" s="64" t="s">
        <v>168</v>
      </c>
      <c r="N5" s="64" t="s">
        <v>239</v>
      </c>
      <c r="O5" s="64" t="s">
        <v>239</v>
      </c>
      <c r="P5" s="64" t="s">
        <v>239</v>
      </c>
      <c r="Q5" s="1"/>
      <c r="R5" s="35"/>
      <c r="S5" s="1"/>
      <c r="T5" s="281" t="s">
        <v>134</v>
      </c>
      <c r="U5" s="281" t="s">
        <v>295</v>
      </c>
      <c r="V5" s="281" t="s">
        <v>13</v>
      </c>
    </row>
    <row r="6" spans="1:23" ht="15.3" x14ac:dyDescent="0.55000000000000004">
      <c r="A6" s="37"/>
      <c r="B6" s="6" t="s">
        <v>114</v>
      </c>
      <c r="C6" s="6"/>
      <c r="D6" s="19"/>
      <c r="E6" s="6"/>
      <c r="G6" s="1"/>
      <c r="H6" s="1"/>
      <c r="I6" s="406" t="s">
        <v>240</v>
      </c>
      <c r="J6" s="406"/>
      <c r="K6" s="65" t="s">
        <v>241</v>
      </c>
      <c r="L6" s="65" t="s">
        <v>242</v>
      </c>
      <c r="M6" s="65" t="s">
        <v>243</v>
      </c>
      <c r="N6" s="65" t="s">
        <v>191</v>
      </c>
      <c r="O6" s="402" t="s">
        <v>417</v>
      </c>
      <c r="P6" s="65" t="s">
        <v>190</v>
      </c>
      <c r="Q6" s="1"/>
      <c r="R6" s="1" t="s">
        <v>296</v>
      </c>
      <c r="S6" s="1"/>
      <c r="T6" s="37">
        <v>35</v>
      </c>
      <c r="U6" s="37">
        <v>570</v>
      </c>
      <c r="V6" s="37">
        <f>U6*T6</f>
        <v>19950</v>
      </c>
    </row>
    <row r="7" spans="1:23" ht="15.3" x14ac:dyDescent="0.55000000000000004">
      <c r="A7" s="37"/>
      <c r="B7" s="1" t="s">
        <v>222</v>
      </c>
      <c r="C7" s="19">
        <v>2612</v>
      </c>
      <c r="D7" s="19"/>
      <c r="E7" s="6"/>
      <c r="G7" s="1"/>
      <c r="H7" s="66"/>
      <c r="I7" s="297" t="s">
        <v>223</v>
      </c>
      <c r="J7" s="1"/>
      <c r="K7" s="278">
        <v>2161</v>
      </c>
      <c r="L7" s="280">
        <v>167.5</v>
      </c>
      <c r="M7" s="105">
        <v>21.27</v>
      </c>
      <c r="N7" s="37">
        <f t="shared" ref="N7:N20" si="0">K7*M7</f>
        <v>45964.47</v>
      </c>
      <c r="O7" s="37">
        <f t="shared" ref="O7:O20" si="1">L7*M7*1.5</f>
        <v>5344.0874999999996</v>
      </c>
      <c r="P7" s="37">
        <f t="shared" ref="P7:P20" si="2">N7+O7</f>
        <v>51308.557500000003</v>
      </c>
      <c r="Q7" s="1"/>
      <c r="R7" s="1" t="s">
        <v>297</v>
      </c>
      <c r="S7" s="1"/>
      <c r="T7" s="37">
        <v>1</v>
      </c>
      <c r="U7" s="37">
        <v>1500</v>
      </c>
      <c r="V7" s="37">
        <f>U7*T7</f>
        <v>1500</v>
      </c>
      <c r="W7" s="63" t="s">
        <v>302</v>
      </c>
    </row>
    <row r="8" spans="1:23" ht="17.100000000000001" x14ac:dyDescent="0.85">
      <c r="A8" s="37"/>
      <c r="B8" s="6" t="s">
        <v>115</v>
      </c>
      <c r="C8" s="19">
        <v>12407</v>
      </c>
      <c r="D8" s="19"/>
      <c r="E8" s="6"/>
      <c r="G8" s="1"/>
      <c r="H8" s="66"/>
      <c r="I8" s="298" t="s">
        <v>235</v>
      </c>
      <c r="J8" s="1"/>
      <c r="K8" s="278">
        <v>2159</v>
      </c>
      <c r="L8" s="280">
        <v>159.25</v>
      </c>
      <c r="M8" s="105">
        <v>19.170000000000002</v>
      </c>
      <c r="N8" s="37">
        <f t="shared" si="0"/>
        <v>41388.030000000006</v>
      </c>
      <c r="O8" s="37">
        <f t="shared" si="1"/>
        <v>4579.2337500000003</v>
      </c>
      <c r="P8" s="37">
        <f t="shared" si="2"/>
        <v>45967.263750000006</v>
      </c>
      <c r="Q8" s="1"/>
      <c r="R8" s="1" t="s">
        <v>301</v>
      </c>
      <c r="S8" s="1"/>
      <c r="T8" s="37">
        <v>1</v>
      </c>
      <c r="U8" s="37">
        <v>3000</v>
      </c>
      <c r="V8" s="142">
        <f>U8*T8</f>
        <v>3000</v>
      </c>
      <c r="W8" s="63" t="s">
        <v>302</v>
      </c>
    </row>
    <row r="9" spans="1:23" ht="15.3" x14ac:dyDescent="0.55000000000000004">
      <c r="A9" s="37"/>
      <c r="B9" s="6" t="s">
        <v>116</v>
      </c>
      <c r="C9" s="19">
        <v>688</v>
      </c>
      <c r="D9" s="19"/>
      <c r="E9" s="6"/>
      <c r="G9" s="1"/>
      <c r="H9" s="66"/>
      <c r="I9" s="298" t="s">
        <v>224</v>
      </c>
      <c r="J9" s="1"/>
      <c r="K9" s="278">
        <v>2080</v>
      </c>
      <c r="L9" s="280">
        <v>40.5</v>
      </c>
      <c r="M9" s="105">
        <v>19.170000000000002</v>
      </c>
      <c r="N9" s="37">
        <f t="shared" si="0"/>
        <v>39873.600000000006</v>
      </c>
      <c r="O9" s="37">
        <f t="shared" si="1"/>
        <v>1164.5775000000001</v>
      </c>
      <c r="P9" s="37">
        <f t="shared" si="2"/>
        <v>41038.177500000005</v>
      </c>
      <c r="Q9" s="1"/>
      <c r="R9" s="1" t="s">
        <v>298</v>
      </c>
      <c r="S9" s="36"/>
      <c r="T9" s="37"/>
      <c r="U9" s="37"/>
      <c r="V9" s="37">
        <f>SUM(V6:V8)</f>
        <v>24450</v>
      </c>
    </row>
    <row r="10" spans="1:23" ht="17.100000000000001" x14ac:dyDescent="0.85">
      <c r="A10" s="37"/>
      <c r="B10" s="6" t="s">
        <v>117</v>
      </c>
      <c r="C10" s="72">
        <v>0</v>
      </c>
      <c r="D10" s="19"/>
      <c r="E10" s="6"/>
      <c r="G10" s="1"/>
      <c r="H10" s="66"/>
      <c r="I10" s="298" t="s">
        <v>225</v>
      </c>
      <c r="J10" s="1"/>
      <c r="K10" s="278">
        <v>2083</v>
      </c>
      <c r="L10" s="280">
        <v>42.25</v>
      </c>
      <c r="M10" s="105">
        <v>19.95</v>
      </c>
      <c r="N10" s="37">
        <f t="shared" si="0"/>
        <v>41555.85</v>
      </c>
      <c r="O10" s="37">
        <f t="shared" si="1"/>
        <v>1264.33125</v>
      </c>
      <c r="P10" s="37">
        <f t="shared" si="2"/>
        <v>42820.181250000001</v>
      </c>
      <c r="Q10" s="1"/>
      <c r="R10" s="1"/>
      <c r="S10" s="36"/>
      <c r="T10" s="37"/>
      <c r="U10" s="37"/>
      <c r="V10" s="37"/>
    </row>
    <row r="11" spans="1:23" ht="15.3" x14ac:dyDescent="0.55000000000000004">
      <c r="A11" s="37"/>
      <c r="B11" s="6"/>
      <c r="C11" s="6"/>
      <c r="D11" s="19">
        <f>SUM(C7:C10)</f>
        <v>15707</v>
      </c>
      <c r="E11" s="6"/>
      <c r="G11" s="1"/>
      <c r="H11" s="66"/>
      <c r="I11" s="298" t="s">
        <v>226</v>
      </c>
      <c r="J11" s="1"/>
      <c r="K11" s="278">
        <v>101.75</v>
      </c>
      <c r="L11" s="280">
        <v>0</v>
      </c>
      <c r="M11" s="105">
        <v>13.79</v>
      </c>
      <c r="N11" s="37">
        <f t="shared" si="0"/>
        <v>1403.1324999999999</v>
      </c>
      <c r="O11" s="37">
        <f t="shared" si="1"/>
        <v>0</v>
      </c>
      <c r="P11" s="37">
        <f t="shared" si="2"/>
        <v>1403.1324999999999</v>
      </c>
      <c r="Q11" s="1"/>
      <c r="R11" s="1"/>
      <c r="S11" s="1"/>
      <c r="T11" s="37" t="s">
        <v>299</v>
      </c>
      <c r="U11" s="37"/>
      <c r="V11" s="37">
        <f>0.3*V9</f>
        <v>7335</v>
      </c>
    </row>
    <row r="12" spans="1:23" ht="17.100000000000001" x14ac:dyDescent="0.85">
      <c r="A12" s="37"/>
      <c r="B12" s="6" t="s">
        <v>179</v>
      </c>
      <c r="C12" s="6">
        <v>0</v>
      </c>
      <c r="D12" s="19"/>
      <c r="E12" s="6"/>
      <c r="G12" s="1"/>
      <c r="H12" s="66"/>
      <c r="I12" s="298" t="s">
        <v>227</v>
      </c>
      <c r="J12" s="1"/>
      <c r="K12" s="278">
        <v>2120</v>
      </c>
      <c r="L12" s="280">
        <v>430</v>
      </c>
      <c r="M12" s="105">
        <v>19.170000000000002</v>
      </c>
      <c r="N12" s="37">
        <f t="shared" si="0"/>
        <v>40640.400000000001</v>
      </c>
      <c r="O12" s="37">
        <f t="shared" si="1"/>
        <v>12364.650000000001</v>
      </c>
      <c r="P12" s="37">
        <f t="shared" si="2"/>
        <v>53005.05</v>
      </c>
      <c r="Q12" s="1"/>
      <c r="R12" s="1"/>
      <c r="S12" s="1"/>
      <c r="T12" s="37" t="s">
        <v>300</v>
      </c>
      <c r="U12" s="37"/>
      <c r="V12" s="142">
        <f>0.7*V9</f>
        <v>17115</v>
      </c>
    </row>
    <row r="13" spans="1:23" ht="15.3" x14ac:dyDescent="0.55000000000000004">
      <c r="A13" s="37"/>
      <c r="B13" s="6" t="s">
        <v>118</v>
      </c>
      <c r="C13" s="6">
        <v>6486</v>
      </c>
      <c r="D13" s="19"/>
      <c r="E13" s="6"/>
      <c r="G13" s="1"/>
      <c r="H13" s="66"/>
      <c r="I13" s="298" t="s">
        <v>228</v>
      </c>
      <c r="J13" s="1"/>
      <c r="K13" s="278">
        <v>2080</v>
      </c>
      <c r="L13" s="280">
        <v>311.5</v>
      </c>
      <c r="M13" s="105">
        <v>20.57</v>
      </c>
      <c r="N13" s="37">
        <f t="shared" si="0"/>
        <v>42785.599999999999</v>
      </c>
      <c r="O13" s="37">
        <f t="shared" si="1"/>
        <v>9611.3325000000004</v>
      </c>
      <c r="P13" s="37">
        <f t="shared" si="2"/>
        <v>52396.932499999995</v>
      </c>
      <c r="Q13" s="1"/>
      <c r="R13" s="1"/>
      <c r="S13" s="1"/>
      <c r="T13" s="36"/>
      <c r="U13" s="1"/>
      <c r="V13" s="3">
        <f>V11+V12</f>
        <v>24450</v>
      </c>
    </row>
    <row r="14" spans="1:23" ht="15.3" x14ac:dyDescent="0.55000000000000004">
      <c r="A14" s="37"/>
      <c r="B14" s="6" t="s">
        <v>119</v>
      </c>
      <c r="C14" s="42">
        <v>70223</v>
      </c>
      <c r="D14" s="19"/>
      <c r="E14" s="6"/>
      <c r="G14" s="1"/>
      <c r="H14" s="66"/>
      <c r="I14" s="298" t="s">
        <v>229</v>
      </c>
      <c r="J14" s="1"/>
      <c r="K14" s="278">
        <v>2080</v>
      </c>
      <c r="L14" s="280">
        <v>232.5</v>
      </c>
      <c r="M14" s="105">
        <v>19.96</v>
      </c>
      <c r="N14" s="37">
        <f t="shared" si="0"/>
        <v>41516.800000000003</v>
      </c>
      <c r="O14" s="37">
        <f t="shared" si="1"/>
        <v>6961.0499999999993</v>
      </c>
      <c r="P14" s="37">
        <f t="shared" si="2"/>
        <v>48477.850000000006</v>
      </c>
      <c r="Q14" s="36"/>
      <c r="R14" s="1"/>
      <c r="S14" s="1"/>
      <c r="T14" s="1"/>
      <c r="U14" s="1"/>
      <c r="V14" s="1"/>
    </row>
    <row r="15" spans="1:23" ht="15.3" x14ac:dyDescent="0.55000000000000004">
      <c r="A15" s="37"/>
      <c r="B15" s="6"/>
      <c r="C15" s="6"/>
      <c r="D15" s="19">
        <f>SUM(C12:C14)</f>
        <v>76709</v>
      </c>
      <c r="E15" s="38">
        <f>D15/D4</f>
        <v>0.17972634193200721</v>
      </c>
      <c r="F15" s="6" t="s">
        <v>120</v>
      </c>
      <c r="G15" s="1"/>
      <c r="H15" s="66"/>
      <c r="I15" s="298" t="s">
        <v>230</v>
      </c>
      <c r="J15" s="1"/>
      <c r="K15" s="278">
        <v>2080</v>
      </c>
      <c r="L15" s="280">
        <v>227</v>
      </c>
      <c r="M15" s="105">
        <v>20.03</v>
      </c>
      <c r="N15" s="37">
        <f t="shared" si="0"/>
        <v>41662.400000000001</v>
      </c>
      <c r="O15" s="37">
        <f t="shared" si="1"/>
        <v>6820.2150000000001</v>
      </c>
      <c r="P15" s="37">
        <f t="shared" si="2"/>
        <v>48482.615000000005</v>
      </c>
      <c r="Q15" s="36"/>
      <c r="R15" s="36"/>
      <c r="S15" s="36"/>
      <c r="T15" s="36"/>
      <c r="U15" s="36"/>
    </row>
    <row r="16" spans="1:23" ht="15.3" x14ac:dyDescent="0.55000000000000004">
      <c r="A16" s="37"/>
      <c r="B16" s="39" t="s">
        <v>121</v>
      </c>
      <c r="C16" s="6">
        <f>SUM(D5:D15)</f>
        <v>426810</v>
      </c>
      <c r="D16" s="1"/>
      <c r="E16" s="143">
        <v>0.15</v>
      </c>
      <c r="F16" s="6" t="s">
        <v>122</v>
      </c>
      <c r="G16" s="1"/>
      <c r="H16" s="66"/>
      <c r="I16" s="298" t="s">
        <v>231</v>
      </c>
      <c r="J16" s="1"/>
      <c r="K16" s="278">
        <v>2041.5</v>
      </c>
      <c r="L16" s="280">
        <v>237.5</v>
      </c>
      <c r="M16" s="105">
        <v>21.98</v>
      </c>
      <c r="N16" s="37">
        <f t="shared" si="0"/>
        <v>44872.17</v>
      </c>
      <c r="O16" s="37">
        <f t="shared" si="1"/>
        <v>7830.375</v>
      </c>
      <c r="P16" s="37">
        <f t="shared" si="2"/>
        <v>52702.544999999998</v>
      </c>
      <c r="Q16" s="36"/>
      <c r="R16" s="36"/>
      <c r="S16" s="36"/>
      <c r="T16" s="36"/>
      <c r="U16" s="36"/>
    </row>
    <row r="17" spans="1:21" ht="15.3" x14ac:dyDescent="0.55000000000000004">
      <c r="A17" s="37"/>
      <c r="B17" s="40"/>
      <c r="C17" s="6"/>
      <c r="D17" s="6"/>
      <c r="E17" s="284">
        <f>E15-E16</f>
        <v>2.9726341932007211E-2</v>
      </c>
      <c r="F17" s="285" t="s">
        <v>123</v>
      </c>
      <c r="G17" s="1"/>
      <c r="H17" s="66"/>
      <c r="I17" s="298" t="s">
        <v>232</v>
      </c>
      <c r="J17" s="1"/>
      <c r="K17" s="278">
        <v>2120</v>
      </c>
      <c r="L17" s="280">
        <v>269.5</v>
      </c>
      <c r="M17" s="105">
        <v>19.170000000000002</v>
      </c>
      <c r="N17" s="37">
        <f t="shared" si="0"/>
        <v>40640.400000000001</v>
      </c>
      <c r="O17" s="37">
        <f t="shared" si="1"/>
        <v>7749.4725000000008</v>
      </c>
      <c r="P17" s="37">
        <f t="shared" si="2"/>
        <v>48389.872500000005</v>
      </c>
      <c r="Q17" s="36"/>
      <c r="R17" s="36"/>
      <c r="S17" s="36"/>
      <c r="T17" s="36"/>
      <c r="U17" s="36"/>
    </row>
    <row r="18" spans="1:21" ht="15.3" x14ac:dyDescent="0.55000000000000004">
      <c r="A18" s="37"/>
      <c r="B18" s="40"/>
      <c r="C18" s="6"/>
      <c r="D18" s="6"/>
      <c r="E18" s="284"/>
      <c r="F18" s="285"/>
      <c r="G18" s="1"/>
      <c r="H18" s="66"/>
      <c r="I18" s="298" t="s">
        <v>233</v>
      </c>
      <c r="J18" s="1"/>
      <c r="K18" s="278">
        <v>2347</v>
      </c>
      <c r="L18" s="280">
        <v>0</v>
      </c>
      <c r="M18" s="105">
        <v>27.33</v>
      </c>
      <c r="N18" s="37">
        <f t="shared" si="0"/>
        <v>64143.509999999995</v>
      </c>
      <c r="O18" s="37">
        <f t="shared" si="1"/>
        <v>0</v>
      </c>
      <c r="P18" s="37">
        <f t="shared" si="2"/>
        <v>64143.509999999995</v>
      </c>
      <c r="Q18" s="36"/>
      <c r="R18" s="36"/>
      <c r="S18" s="36"/>
      <c r="T18" s="36"/>
      <c r="U18" s="36"/>
    </row>
    <row r="19" spans="1:21" ht="15.3" x14ac:dyDescent="0.55000000000000004">
      <c r="A19" s="37"/>
      <c r="B19" s="141" t="s">
        <v>353</v>
      </c>
      <c r="C19" s="6"/>
      <c r="D19" s="6"/>
      <c r="E19" s="284"/>
      <c r="F19" s="285"/>
      <c r="G19" s="1"/>
      <c r="H19" s="66"/>
      <c r="I19" s="298" t="s">
        <v>234</v>
      </c>
      <c r="J19" s="1"/>
      <c r="K19" s="278">
        <v>2340</v>
      </c>
      <c r="L19" s="280">
        <v>0</v>
      </c>
      <c r="M19" s="105">
        <v>26.8</v>
      </c>
      <c r="N19" s="37">
        <f t="shared" si="0"/>
        <v>62712</v>
      </c>
      <c r="O19" s="37">
        <f t="shared" si="1"/>
        <v>0</v>
      </c>
      <c r="P19" s="37">
        <f t="shared" si="2"/>
        <v>62712</v>
      </c>
      <c r="Q19" s="36"/>
      <c r="R19" s="36"/>
      <c r="S19" s="36"/>
      <c r="T19" s="36"/>
      <c r="U19" s="36"/>
    </row>
    <row r="20" spans="1:21" ht="17.100000000000001" x14ac:dyDescent="0.85">
      <c r="A20" s="37"/>
      <c r="B20" s="141"/>
      <c r="C20" s="6"/>
      <c r="D20" s="6"/>
      <c r="E20" s="284"/>
      <c r="F20" s="285"/>
      <c r="G20" s="1"/>
      <c r="H20" s="66"/>
      <c r="I20" s="299" t="s">
        <v>236</v>
      </c>
      <c r="J20" s="1"/>
      <c r="K20" s="279">
        <v>2212</v>
      </c>
      <c r="L20" s="280">
        <v>0</v>
      </c>
      <c r="M20" s="105">
        <v>30.64</v>
      </c>
      <c r="N20" s="37">
        <f t="shared" si="0"/>
        <v>67775.680000000008</v>
      </c>
      <c r="O20" s="37">
        <f t="shared" si="1"/>
        <v>0</v>
      </c>
      <c r="P20" s="142">
        <f t="shared" si="2"/>
        <v>67775.680000000008</v>
      </c>
      <c r="Q20" s="36"/>
      <c r="R20" s="36"/>
      <c r="S20" s="36"/>
      <c r="T20" s="36"/>
      <c r="U20" s="36"/>
    </row>
    <row r="21" spans="1:21" ht="16.2" x14ac:dyDescent="0.55000000000000004">
      <c r="A21" s="37"/>
      <c r="B21" s="225"/>
      <c r="C21" s="381" t="s">
        <v>354</v>
      </c>
      <c r="D21" s="6"/>
      <c r="E21" s="6"/>
      <c r="F21" s="284"/>
      <c r="G21" s="285"/>
      <c r="H21" s="1"/>
      <c r="I21" s="1"/>
      <c r="J21" s="1"/>
      <c r="K21" s="37"/>
      <c r="L21" s="37"/>
      <c r="M21" s="36"/>
      <c r="N21" s="37"/>
      <c r="O21" s="212" t="s">
        <v>244</v>
      </c>
      <c r="P21" s="37">
        <f>SUM(P7:P20)</f>
        <v>680623.36750000005</v>
      </c>
      <c r="Q21" s="36"/>
      <c r="R21" s="36"/>
      <c r="S21" s="36"/>
      <c r="T21" s="36"/>
      <c r="U21" s="36"/>
    </row>
    <row r="22" spans="1:21" ht="17.100000000000001" x14ac:dyDescent="0.85">
      <c r="A22" s="37"/>
      <c r="B22" s="37" t="s">
        <v>397</v>
      </c>
      <c r="C22" s="28">
        <v>3.31</v>
      </c>
      <c r="D22" s="6">
        <f>(D4-700)</f>
        <v>426110</v>
      </c>
      <c r="E22" s="6">
        <f>D22*C22</f>
        <v>1410424.1</v>
      </c>
      <c r="F22" s="38" t="s">
        <v>400</v>
      </c>
      <c r="G22" s="285"/>
      <c r="H22" s="1"/>
      <c r="J22" s="1"/>
      <c r="K22" s="37"/>
      <c r="L22" s="37"/>
      <c r="M22" s="1"/>
      <c r="N22" s="1"/>
      <c r="O22" s="66" t="s">
        <v>245</v>
      </c>
      <c r="P22" s="142">
        <f>(13*150*4)+(650+(550*4)+(400*8))</f>
        <v>13850</v>
      </c>
      <c r="Q22" s="36"/>
      <c r="R22" s="36"/>
      <c r="S22" s="36"/>
      <c r="T22" s="36"/>
      <c r="U22" s="36"/>
    </row>
    <row r="23" spans="1:21" ht="15.3" x14ac:dyDescent="0.55000000000000004">
      <c r="A23" s="37"/>
      <c r="B23" s="37" t="s">
        <v>401</v>
      </c>
      <c r="C23" s="28">
        <v>5.87</v>
      </c>
      <c r="D23" s="6">
        <v>700</v>
      </c>
      <c r="E23" s="6">
        <f>D23*C23</f>
        <v>4109</v>
      </c>
      <c r="G23" s="285"/>
      <c r="H23" s="1"/>
      <c r="I23" s="37"/>
      <c r="J23" s="1"/>
      <c r="K23" s="37"/>
      <c r="L23" s="37"/>
      <c r="M23" s="1"/>
      <c r="N23" s="1"/>
      <c r="O23" s="66" t="s">
        <v>247</v>
      </c>
      <c r="P23" s="286">
        <f>P22+P21</f>
        <v>694473.36750000005</v>
      </c>
      <c r="Q23" s="36"/>
      <c r="T23" s="36"/>
      <c r="U23" s="36"/>
    </row>
    <row r="24" spans="1:21" ht="15.3" x14ac:dyDescent="0.55000000000000004">
      <c r="A24" s="37"/>
      <c r="E24" s="382">
        <f>-SAO!D24</f>
        <v>-1155507</v>
      </c>
      <c r="F24" s="38" t="s">
        <v>399</v>
      </c>
      <c r="G24" s="285"/>
      <c r="H24" s="1"/>
      <c r="I24" s="66"/>
      <c r="J24" s="37"/>
      <c r="K24" s="1"/>
      <c r="L24" s="37"/>
      <c r="M24" s="37"/>
      <c r="N24" s="1"/>
      <c r="O24" s="1"/>
      <c r="P24" s="1"/>
      <c r="Q24" s="287"/>
      <c r="T24" s="36"/>
      <c r="U24" s="36"/>
    </row>
    <row r="25" spans="1:21" ht="15.3" x14ac:dyDescent="0.55000000000000004">
      <c r="A25" s="37"/>
      <c r="B25" s="37" t="s">
        <v>398</v>
      </c>
      <c r="C25" s="28">
        <v>2.63</v>
      </c>
      <c r="E25" s="6">
        <f>SUM(E22:E24)</f>
        <v>259026.10000000009</v>
      </c>
      <c r="F25" s="362" t="s">
        <v>402</v>
      </c>
      <c r="G25" s="1"/>
      <c r="H25" s="1"/>
      <c r="I25" s="37"/>
      <c r="J25" s="1"/>
      <c r="K25" s="37"/>
      <c r="L25" s="37"/>
      <c r="M25" s="1"/>
      <c r="N25" s="1"/>
      <c r="O25" s="1"/>
      <c r="P25" s="287" t="s">
        <v>100</v>
      </c>
      <c r="Q25" s="36"/>
      <c r="R25" s="289" t="s">
        <v>255</v>
      </c>
      <c r="S25" s="36"/>
      <c r="T25" s="36"/>
      <c r="U25" s="36"/>
    </row>
    <row r="26" spans="1:21" ht="15.3" x14ac:dyDescent="0.55000000000000004">
      <c r="A26" s="37"/>
      <c r="B26" s="37"/>
      <c r="C26" s="28"/>
      <c r="E26" s="6"/>
      <c r="F26" s="362"/>
      <c r="G26" s="1"/>
      <c r="H26" s="1"/>
      <c r="I26" s="37"/>
      <c r="J26" s="1"/>
      <c r="K26" s="37"/>
      <c r="L26" s="37"/>
      <c r="M26" s="1" t="s">
        <v>254</v>
      </c>
      <c r="N26" s="1"/>
      <c r="O26" s="1"/>
      <c r="P26" s="288">
        <f>P23</f>
        <v>694473.36750000005</v>
      </c>
      <c r="Q26" s="36"/>
      <c r="R26" s="36" t="s">
        <v>269</v>
      </c>
      <c r="S26" s="36">
        <v>7819.32</v>
      </c>
      <c r="T26" s="36"/>
      <c r="U26" s="36"/>
    </row>
    <row r="27" spans="1:21" ht="17.100000000000001" x14ac:dyDescent="0.85">
      <c r="A27" s="37"/>
      <c r="B27" s="1"/>
      <c r="C27" s="1"/>
      <c r="D27" s="1"/>
      <c r="E27" s="1"/>
      <c r="F27" s="1"/>
      <c r="G27" s="1"/>
      <c r="H27" s="66"/>
      <c r="J27" s="1"/>
      <c r="K27" s="37"/>
      <c r="L27" s="37"/>
      <c r="M27" s="1" t="s">
        <v>256</v>
      </c>
      <c r="N27" s="1"/>
      <c r="O27" s="1"/>
      <c r="P27" s="142">
        <f>-SAO!D19</f>
        <v>-773569</v>
      </c>
      <c r="Q27" s="36"/>
      <c r="R27" s="36" t="s">
        <v>270</v>
      </c>
      <c r="S27" s="36">
        <v>61544.28</v>
      </c>
      <c r="T27" s="36"/>
      <c r="U27" s="36"/>
    </row>
    <row r="28" spans="1:21" ht="17.399999999999999" thickBot="1" x14ac:dyDescent="0.9">
      <c r="A28" s="1"/>
      <c r="B28" s="141" t="s">
        <v>246</v>
      </c>
      <c r="C28" s="36"/>
      <c r="D28" s="36"/>
      <c r="E28" s="37"/>
      <c r="F28" s="1"/>
      <c r="G28" s="1"/>
      <c r="I28" s="37"/>
      <c r="J28" s="1"/>
      <c r="K28" s="37"/>
      <c r="L28" s="37"/>
      <c r="M28" s="292" t="s">
        <v>257</v>
      </c>
      <c r="N28" s="292"/>
      <c r="O28" s="292"/>
      <c r="P28" s="293">
        <f>P26+P27</f>
        <v>-79095.632499999949</v>
      </c>
      <c r="Q28" s="36"/>
      <c r="R28" s="36" t="s">
        <v>271</v>
      </c>
      <c r="S28" s="291">
        <v>858.59</v>
      </c>
      <c r="T28" s="36"/>
      <c r="U28" s="36"/>
    </row>
    <row r="29" spans="1:21" ht="17.399999999999999" thickTop="1" x14ac:dyDescent="0.85">
      <c r="A29" s="1"/>
      <c r="B29" s="6"/>
      <c r="C29" s="36"/>
      <c r="D29" s="36"/>
      <c r="E29" s="37"/>
      <c r="F29" s="1"/>
      <c r="G29" s="1"/>
      <c r="H29" s="37"/>
      <c r="I29" s="142"/>
      <c r="J29" s="1"/>
      <c r="K29" s="37"/>
      <c r="L29" s="37"/>
      <c r="M29" s="1"/>
      <c r="N29" s="1"/>
      <c r="O29" s="1"/>
      <c r="P29" s="1" t="s">
        <v>259</v>
      </c>
      <c r="Q29" s="36"/>
      <c r="R29" s="36"/>
      <c r="S29" s="36">
        <f>SUM(S26:S28)</f>
        <v>70222.19</v>
      </c>
      <c r="T29" s="36"/>
      <c r="U29" s="36"/>
    </row>
    <row r="30" spans="1:21" ht="17.100000000000001" x14ac:dyDescent="0.85">
      <c r="A30" s="1"/>
      <c r="B30" s="407" t="s">
        <v>248</v>
      </c>
      <c r="C30" s="407"/>
      <c r="D30" s="281" t="s">
        <v>249</v>
      </c>
      <c r="E30" s="281" t="s">
        <v>250</v>
      </c>
      <c r="F30" s="281" t="s">
        <v>239</v>
      </c>
      <c r="G30" s="1"/>
      <c r="H30" s="37"/>
      <c r="I30" s="37"/>
      <c r="J30" s="1"/>
      <c r="K30" s="37"/>
      <c r="L30" s="37"/>
      <c r="M30" s="1" t="s">
        <v>260</v>
      </c>
      <c r="N30" s="1"/>
      <c r="O30" s="1"/>
      <c r="P30" s="224">
        <f>P23</f>
        <v>694473.36750000005</v>
      </c>
      <c r="Q30" s="36"/>
      <c r="R30" s="1"/>
      <c r="S30" s="36"/>
      <c r="T30" s="36"/>
      <c r="U30" s="36"/>
    </row>
    <row r="31" spans="1:21" ht="17.100000000000001" x14ac:dyDescent="0.85">
      <c r="A31" s="1"/>
      <c r="B31" s="1"/>
      <c r="C31" s="281" t="s">
        <v>251</v>
      </c>
      <c r="D31" s="281" t="s">
        <v>252</v>
      </c>
      <c r="E31" s="281" t="s">
        <v>253</v>
      </c>
      <c r="F31" s="281" t="s">
        <v>248</v>
      </c>
      <c r="G31" s="1"/>
      <c r="H31" s="37"/>
      <c r="I31" s="37"/>
      <c r="J31" s="1"/>
      <c r="K31" s="37"/>
      <c r="L31" s="37"/>
      <c r="M31" s="1" t="s">
        <v>261</v>
      </c>
      <c r="N31" s="1"/>
      <c r="O31" s="1"/>
      <c r="P31" s="294">
        <v>7.6499999999999999E-2</v>
      </c>
      <c r="Q31" s="36"/>
      <c r="R31" s="289" t="s">
        <v>304</v>
      </c>
      <c r="S31" s="291"/>
      <c r="T31" s="36"/>
      <c r="U31" s="36"/>
    </row>
    <row r="32" spans="1:21" ht="15.3" x14ac:dyDescent="0.55000000000000004">
      <c r="A32" s="1"/>
      <c r="B32" s="6" t="s">
        <v>318</v>
      </c>
      <c r="C32" s="36">
        <v>1808.52</v>
      </c>
      <c r="D32" s="290">
        <v>0.21</v>
      </c>
      <c r="E32" s="36">
        <f>C32*D32</f>
        <v>379.78919999999999</v>
      </c>
      <c r="F32" s="36">
        <f>C32-E32</f>
        <v>1428.7308</v>
      </c>
      <c r="G32" s="1"/>
      <c r="H32" s="37"/>
      <c r="I32" s="37"/>
      <c r="J32" s="1"/>
      <c r="K32" s="37"/>
      <c r="L32" s="37"/>
      <c r="M32" s="1" t="s">
        <v>263</v>
      </c>
      <c r="N32" s="1"/>
      <c r="O32" s="1"/>
      <c r="P32" s="37">
        <f>+P30*P31</f>
        <v>53127.212613750002</v>
      </c>
      <c r="Q32" s="36"/>
      <c r="R32" s="19" t="s">
        <v>305</v>
      </c>
      <c r="S32" s="19">
        <v>336376</v>
      </c>
      <c r="T32" s="19"/>
      <c r="U32" s="36"/>
    </row>
    <row r="33" spans="1:25" ht="17.100000000000001" x14ac:dyDescent="0.85">
      <c r="A33" s="1"/>
      <c r="B33" s="6" t="s">
        <v>319</v>
      </c>
      <c r="C33" s="291">
        <f>27037.36-2622.35</f>
        <v>24415.010000000002</v>
      </c>
      <c r="D33" s="290">
        <v>0.38</v>
      </c>
      <c r="E33" s="36">
        <f>C33*D33</f>
        <v>9277.7038000000011</v>
      </c>
      <c r="F33" s="291">
        <f>C33-E33</f>
        <v>15137.306200000001</v>
      </c>
      <c r="G33" s="1"/>
      <c r="H33" s="37"/>
      <c r="I33" s="37"/>
      <c r="J33" s="1"/>
      <c r="K33" s="37"/>
      <c r="L33" s="37"/>
      <c r="M33" s="1" t="s">
        <v>264</v>
      </c>
      <c r="N33" s="1"/>
      <c r="O33" s="1"/>
      <c r="P33" s="296">
        <f>-S27</f>
        <v>-61544.28</v>
      </c>
      <c r="Q33" s="36"/>
      <c r="R33" s="19" t="s">
        <v>306</v>
      </c>
      <c r="S33" s="19">
        <v>412110</v>
      </c>
      <c r="T33" s="19"/>
      <c r="U33" s="36"/>
    </row>
    <row r="34" spans="1:25" ht="17.399999999999999" thickBot="1" x14ac:dyDescent="0.9">
      <c r="A34" s="1"/>
      <c r="B34" s="6"/>
      <c r="C34" s="36">
        <f>C32+C33</f>
        <v>26223.530000000002</v>
      </c>
      <c r="D34" s="1"/>
      <c r="E34" s="282" t="s">
        <v>258</v>
      </c>
      <c r="F34" s="36">
        <f>SUM(F32:F33)</f>
        <v>16566.037</v>
      </c>
      <c r="G34" s="1"/>
      <c r="H34" s="395">
        <f>C34-F34</f>
        <v>9657.4930000000022</v>
      </c>
      <c r="I34" s="37"/>
      <c r="J34" s="1"/>
      <c r="K34" s="37"/>
      <c r="L34" s="37"/>
      <c r="M34" s="292" t="s">
        <v>265</v>
      </c>
      <c r="N34" s="292"/>
      <c r="O34" s="292"/>
      <c r="P34" s="293">
        <f>+P32+P33</f>
        <v>-8417.0673862499971</v>
      </c>
      <c r="Q34" s="36"/>
      <c r="R34" s="19" t="s">
        <v>328</v>
      </c>
      <c r="S34" s="72">
        <v>82</v>
      </c>
      <c r="T34" s="19"/>
      <c r="U34" s="36"/>
    </row>
    <row r="35" spans="1:25" ht="15.6" thickTop="1" x14ac:dyDescent="0.55000000000000004">
      <c r="A35" s="1"/>
      <c r="B35" s="6"/>
      <c r="C35" s="36"/>
      <c r="D35" s="1"/>
      <c r="E35" s="282"/>
      <c r="F35" s="36"/>
      <c r="G35" s="37"/>
      <c r="H35" s="37">
        <f>H34*12</f>
        <v>115889.91600000003</v>
      </c>
      <c r="I35" s="37"/>
      <c r="J35" s="1"/>
      <c r="K35" s="37"/>
      <c r="L35" s="37"/>
      <c r="M35" s="1"/>
      <c r="N35" s="1"/>
      <c r="O35" s="1"/>
      <c r="P35" s="1"/>
      <c r="Q35" s="36"/>
      <c r="R35" s="19"/>
      <c r="S35" s="19">
        <f>SUM(S32:S34)</f>
        <v>748568</v>
      </c>
      <c r="T35" s="19"/>
      <c r="U35" s="36"/>
    </row>
    <row r="36" spans="1:25" ht="15.3" x14ac:dyDescent="0.55000000000000004">
      <c r="A36" s="1"/>
      <c r="B36" s="6"/>
      <c r="C36" s="36"/>
      <c r="D36" s="1"/>
      <c r="E36" s="282" t="s">
        <v>320</v>
      </c>
      <c r="F36" s="36">
        <f>F34*12</f>
        <v>198792.44400000002</v>
      </c>
      <c r="G36" s="37">
        <f>C34*12</f>
        <v>314682.36000000004</v>
      </c>
      <c r="H36" s="37"/>
      <c r="I36" s="37"/>
      <c r="J36" s="1"/>
      <c r="K36" s="37"/>
      <c r="L36" s="37"/>
      <c r="M36" s="1" t="s">
        <v>418</v>
      </c>
      <c r="N36" s="1"/>
      <c r="O36" s="1"/>
      <c r="P36" s="224">
        <f>P21</f>
        <v>680623.36750000005</v>
      </c>
      <c r="Q36" s="36"/>
      <c r="R36" s="19"/>
      <c r="S36" s="19"/>
      <c r="T36" s="19"/>
      <c r="U36" s="36"/>
    </row>
    <row r="37" spans="1:25" ht="17.100000000000001" x14ac:dyDescent="0.85">
      <c r="A37" s="1"/>
      <c r="B37" s="6"/>
      <c r="C37" s="36"/>
      <c r="D37" s="1"/>
      <c r="E37" s="282" t="s">
        <v>321</v>
      </c>
      <c r="F37" s="291">
        <f>946.91*12</f>
        <v>11362.92</v>
      </c>
      <c r="G37" s="291">
        <f>946.91*12</f>
        <v>11362.92</v>
      </c>
      <c r="H37" s="37"/>
      <c r="I37" s="37"/>
      <c r="J37" s="1"/>
      <c r="K37" s="310">
        <v>0.26950000000000002</v>
      </c>
      <c r="L37" s="36" t="s">
        <v>303</v>
      </c>
      <c r="M37" s="1" t="s">
        <v>266</v>
      </c>
      <c r="N37" s="1"/>
      <c r="O37" s="1"/>
      <c r="P37" s="294">
        <v>0.26950000000000002</v>
      </c>
      <c r="Q37" s="36"/>
      <c r="R37" s="289" t="s">
        <v>307</v>
      </c>
      <c r="S37" s="19"/>
      <c r="T37" s="19"/>
      <c r="U37" s="36"/>
      <c r="V37" s="1"/>
      <c r="W37" s="1"/>
      <c r="X37" s="1"/>
      <c r="Y37" s="1"/>
    </row>
    <row r="38" spans="1:25" ht="15.3" x14ac:dyDescent="0.55000000000000004">
      <c r="A38" s="1"/>
      <c r="B38" s="6"/>
      <c r="C38" s="36"/>
      <c r="D38" s="1"/>
      <c r="E38" s="282"/>
      <c r="F38" s="36">
        <f>F36+F37</f>
        <v>210155.36400000003</v>
      </c>
      <c r="G38" s="36">
        <f>G36+G37</f>
        <v>326045.28000000003</v>
      </c>
      <c r="H38" s="37"/>
      <c r="I38" s="37"/>
      <c r="J38" s="1"/>
      <c r="K38" s="294">
        <v>0.24060000000000001</v>
      </c>
      <c r="M38" s="1" t="s">
        <v>267</v>
      </c>
      <c r="N38" s="1"/>
      <c r="O38" s="1"/>
      <c r="P38" s="37">
        <f>+P36*P37</f>
        <v>183427.99754125002</v>
      </c>
      <c r="Q38" s="36"/>
      <c r="R38" s="19" t="s">
        <v>308</v>
      </c>
      <c r="S38" s="19">
        <f>164042-32</f>
        <v>164010</v>
      </c>
      <c r="T38" s="19"/>
      <c r="U38" s="36"/>
      <c r="V38" s="1"/>
      <c r="W38" s="1"/>
      <c r="X38" s="1"/>
      <c r="Y38" s="1"/>
    </row>
    <row r="39" spans="1:25" ht="15.3" x14ac:dyDescent="0.55000000000000004">
      <c r="A39" s="1"/>
      <c r="B39" s="6"/>
      <c r="C39" s="36"/>
      <c r="D39" s="1"/>
      <c r="E39" s="282" t="s">
        <v>322</v>
      </c>
      <c r="F39" s="36">
        <f>1116.09*12</f>
        <v>13393.079999999998</v>
      </c>
      <c r="G39" s="36">
        <f>1116.09*12</f>
        <v>13393.079999999998</v>
      </c>
      <c r="H39" s="37"/>
      <c r="I39" s="37"/>
      <c r="J39" s="1"/>
      <c r="K39" s="37"/>
      <c r="L39" s="37"/>
      <c r="M39" s="1" t="s">
        <v>268</v>
      </c>
      <c r="N39" s="1"/>
      <c r="O39" s="1"/>
      <c r="P39" s="68">
        <f>-S38</f>
        <v>-164010</v>
      </c>
      <c r="Q39" s="36"/>
      <c r="R39" s="19" t="s">
        <v>310</v>
      </c>
      <c r="S39" s="19">
        <v>37538</v>
      </c>
      <c r="T39" s="19"/>
      <c r="U39" s="36"/>
      <c r="V39" s="1"/>
      <c r="W39" s="1"/>
      <c r="X39" s="1"/>
      <c r="Y39" s="1"/>
    </row>
    <row r="40" spans="1:25" ht="17.399999999999999" thickBot="1" x14ac:dyDescent="0.9">
      <c r="A40" s="1"/>
      <c r="B40" s="6"/>
      <c r="C40" s="36"/>
      <c r="D40" s="1"/>
      <c r="E40" s="282" t="s">
        <v>323</v>
      </c>
      <c r="F40" s="36">
        <f>77*12+7000*8</f>
        <v>56924</v>
      </c>
      <c r="G40" s="36">
        <f>77*12+7000*8</f>
        <v>56924</v>
      </c>
      <c r="H40" s="37"/>
      <c r="I40" s="37"/>
      <c r="J40" s="1"/>
      <c r="K40" s="37"/>
      <c r="L40" s="37"/>
      <c r="M40" s="1" t="s">
        <v>329</v>
      </c>
      <c r="N40" s="362"/>
      <c r="O40" s="362"/>
      <c r="P40" s="380">
        <f>+P38+P39</f>
        <v>19417.997541250021</v>
      </c>
      <c r="Q40" s="36"/>
      <c r="R40" s="19" t="s">
        <v>309</v>
      </c>
      <c r="S40" s="72">
        <v>210562</v>
      </c>
      <c r="T40" s="19"/>
      <c r="U40" s="36"/>
      <c r="V40" s="1"/>
      <c r="W40" s="1"/>
      <c r="X40" s="1"/>
      <c r="Y40" s="1"/>
    </row>
    <row r="41" spans="1:25" ht="15.6" thickTop="1" x14ac:dyDescent="0.55000000000000004">
      <c r="A41" s="1"/>
      <c r="B41" s="6"/>
      <c r="C41" s="36"/>
      <c r="D41" s="1"/>
      <c r="E41" s="282" t="s">
        <v>324</v>
      </c>
      <c r="F41" s="36">
        <v>720</v>
      </c>
      <c r="G41" s="36">
        <v>720</v>
      </c>
      <c r="H41" s="37"/>
      <c r="I41" s="1"/>
      <c r="J41" s="1"/>
      <c r="K41" s="1"/>
      <c r="L41" s="1"/>
      <c r="M41" s="1"/>
      <c r="N41" s="1"/>
      <c r="O41" s="1"/>
      <c r="P41" s="1"/>
      <c r="Q41" s="36"/>
      <c r="R41" s="19"/>
      <c r="S41" s="19">
        <f>SUM(S38:S40)</f>
        <v>412110</v>
      </c>
      <c r="T41" s="19"/>
      <c r="U41" s="36"/>
      <c r="V41" s="1"/>
      <c r="W41" s="1"/>
      <c r="X41" s="1"/>
      <c r="Y41" s="1"/>
    </row>
    <row r="42" spans="1:25" ht="17.100000000000001" x14ac:dyDescent="0.85">
      <c r="B42" s="6"/>
      <c r="C42" s="36"/>
      <c r="D42" s="1"/>
      <c r="E42" s="282" t="s">
        <v>325</v>
      </c>
      <c r="F42" s="291">
        <v>952</v>
      </c>
      <c r="G42" s="291">
        <v>952</v>
      </c>
      <c r="H42" s="37"/>
      <c r="I42" s="1"/>
      <c r="J42" s="1"/>
      <c r="K42" s="1"/>
      <c r="L42" s="1"/>
      <c r="M42" s="28" t="s">
        <v>329</v>
      </c>
      <c r="N42" s="1"/>
      <c r="O42" s="1"/>
      <c r="P42" s="313">
        <f>P40</f>
        <v>19417.997541250021</v>
      </c>
      <c r="Q42" s="36"/>
      <c r="R42" s="1"/>
      <c r="S42" s="1"/>
      <c r="T42" s="1"/>
      <c r="U42" s="36"/>
      <c r="V42" s="1"/>
      <c r="W42" s="1"/>
      <c r="X42" s="1"/>
      <c r="Y42" s="1"/>
    </row>
    <row r="43" spans="1:25" ht="15.3" x14ac:dyDescent="0.55000000000000004">
      <c r="B43" s="6"/>
      <c r="C43" s="36"/>
      <c r="D43" s="1"/>
      <c r="E43" s="282" t="s">
        <v>326</v>
      </c>
      <c r="F43" s="36">
        <f>SUM(F38:F42)</f>
        <v>282144.44400000002</v>
      </c>
      <c r="G43" s="36">
        <f>SUM(G38:G42)</f>
        <v>398034.36000000004</v>
      </c>
      <c r="H43" s="37"/>
      <c r="J43" s="1"/>
      <c r="K43" s="1"/>
      <c r="L43" s="1"/>
      <c r="M43" s="19" t="s">
        <v>309</v>
      </c>
      <c r="N43" s="1"/>
      <c r="O43" s="1"/>
      <c r="P43" s="3">
        <f>-S40</f>
        <v>-210562</v>
      </c>
      <c r="Q43" s="36"/>
      <c r="R43" s="1"/>
      <c r="S43" s="1"/>
      <c r="T43" s="1"/>
      <c r="U43" s="1"/>
      <c r="V43" s="1"/>
      <c r="W43" s="1"/>
      <c r="X43" s="1"/>
      <c r="Y43" s="1"/>
    </row>
    <row r="44" spans="1:25" ht="17.100000000000001" x14ac:dyDescent="0.85">
      <c r="B44" s="6"/>
      <c r="C44" s="36"/>
      <c r="D44" s="1"/>
      <c r="E44" s="282" t="s">
        <v>327</v>
      </c>
      <c r="F44" s="291">
        <f>-H_ins!I61</f>
        <v>-336376.32999999996</v>
      </c>
      <c r="G44" s="291">
        <f>F44</f>
        <v>-336376.32999999996</v>
      </c>
      <c r="H44" s="37"/>
      <c r="I44" s="1"/>
      <c r="J44" s="1"/>
      <c r="K44" s="1"/>
      <c r="L44" s="1"/>
      <c r="M44" s="19" t="s">
        <v>328</v>
      </c>
      <c r="N44" s="1"/>
      <c r="O44" s="1"/>
      <c r="P44" s="3">
        <f>-S34</f>
        <v>-82</v>
      </c>
      <c r="Q44" s="1"/>
      <c r="R44" s="1"/>
      <c r="S44" s="1"/>
      <c r="T44" s="1"/>
      <c r="U44" s="1"/>
      <c r="V44" s="1"/>
      <c r="W44" s="1"/>
      <c r="X44" s="1"/>
      <c r="Y44" s="1"/>
    </row>
    <row r="45" spans="1:25" ht="17.100000000000001" x14ac:dyDescent="0.85">
      <c r="B45" s="6"/>
      <c r="C45" s="36"/>
      <c r="D45" s="283"/>
      <c r="E45" s="295" t="s">
        <v>262</v>
      </c>
      <c r="F45" s="283">
        <f>F43+F44</f>
        <v>-54231.88599999994</v>
      </c>
      <c r="G45" s="283">
        <f>G43+G44</f>
        <v>61658.030000000086</v>
      </c>
      <c r="H45" s="37">
        <f>G45-F45</f>
        <v>115889.91600000003</v>
      </c>
      <c r="I45" s="277"/>
      <c r="J45" s="1"/>
      <c r="K45" s="1"/>
      <c r="L45" s="1"/>
      <c r="M45" s="19" t="s">
        <v>310</v>
      </c>
      <c r="N45" s="1"/>
      <c r="O45" s="1"/>
      <c r="P45" s="211">
        <f>-S39</f>
        <v>-37538</v>
      </c>
      <c r="Q45" s="1"/>
      <c r="R45" s="1"/>
      <c r="S45" s="1"/>
      <c r="T45" s="1"/>
      <c r="U45" s="1"/>
      <c r="V45" s="1"/>
      <c r="W45" s="1"/>
      <c r="X45" s="1"/>
      <c r="Y45" s="1"/>
    </row>
    <row r="46" spans="1:25" ht="15.3" x14ac:dyDescent="0.55000000000000004">
      <c r="B46" s="6"/>
      <c r="C46" s="36"/>
      <c r="D46" s="36"/>
      <c r="E46" s="36"/>
      <c r="F46" s="36"/>
      <c r="G46" s="37"/>
      <c r="H46" s="1"/>
      <c r="L46" s="1"/>
      <c r="M46" s="1"/>
      <c r="N46" s="1"/>
      <c r="O46" s="314" t="s">
        <v>330</v>
      </c>
      <c r="P46" s="313">
        <f>SUM(P42:P45)</f>
        <v>-228764.00245874998</v>
      </c>
      <c r="Q46" s="1"/>
      <c r="R46" s="1"/>
      <c r="S46" s="1"/>
      <c r="T46" s="1"/>
      <c r="U46" s="1"/>
      <c r="V46" s="1"/>
      <c r="W46" s="1"/>
      <c r="X46" s="1"/>
      <c r="Y46" s="1"/>
    </row>
    <row r="47" spans="1:25" ht="15.3" x14ac:dyDescent="0.55000000000000004">
      <c r="A47" s="1"/>
      <c r="B47" s="6"/>
      <c r="C47" s="36" t="s">
        <v>317</v>
      </c>
      <c r="D47" s="36"/>
      <c r="E47" s="36"/>
      <c r="F47" s="36"/>
      <c r="G47" s="3">
        <f>-F44+F45</f>
        <v>282144.44400000002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3" x14ac:dyDescent="0.55000000000000004">
      <c r="A48" s="1"/>
      <c r="B48" s="6"/>
      <c r="C48" s="36"/>
      <c r="D48" s="36"/>
      <c r="E48" s="36"/>
      <c r="F48" s="36"/>
      <c r="G48" s="3">
        <f>G43-G47</f>
        <v>115889.91600000003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2:25" ht="15.3" x14ac:dyDescent="0.55000000000000004">
      <c r="B49" s="6"/>
      <c r="C49" s="36"/>
      <c r="D49" s="37"/>
      <c r="E49" s="37"/>
      <c r="F49" s="37"/>
      <c r="G49" s="37"/>
      <c r="H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2:25" ht="15.3" x14ac:dyDescent="0.55000000000000004">
      <c r="B50" s="6"/>
      <c r="C50" s="36"/>
      <c r="D50" s="37"/>
      <c r="E50" s="37"/>
      <c r="F50" s="37"/>
      <c r="G50" s="37"/>
      <c r="H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2:25" ht="15.3" x14ac:dyDescent="0.55000000000000004">
      <c r="B51" s="6"/>
      <c r="C51" s="36"/>
      <c r="D51" s="37"/>
      <c r="E51" s="37"/>
      <c r="F51" s="37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2:25" ht="15.3" x14ac:dyDescent="0.55000000000000004">
      <c r="B52" s="37"/>
      <c r="C52" s="36"/>
      <c r="D52" s="37"/>
      <c r="E52" s="37"/>
      <c r="F52" s="37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2:25" ht="15.3" x14ac:dyDescent="0.55000000000000004">
      <c r="B53" s="37"/>
      <c r="C53" s="36"/>
      <c r="D53" s="37"/>
      <c r="E53" s="37"/>
      <c r="F53" s="37"/>
      <c r="Q53" s="1"/>
      <c r="R53" s="1"/>
      <c r="S53" s="1"/>
      <c r="T53" s="1"/>
      <c r="U53" s="1"/>
      <c r="V53" s="1"/>
      <c r="W53" s="1"/>
      <c r="X53" s="1"/>
      <c r="Y53" s="1"/>
    </row>
    <row r="54" spans="2:25" ht="17.100000000000001" x14ac:dyDescent="0.85">
      <c r="B54" s="37"/>
      <c r="C54" s="36"/>
      <c r="D54" s="37"/>
      <c r="E54" s="37"/>
      <c r="F54" s="144"/>
      <c r="Q54" s="1"/>
      <c r="R54" s="1"/>
      <c r="S54" s="1"/>
      <c r="T54" s="1"/>
      <c r="U54" s="1"/>
      <c r="V54" s="1"/>
      <c r="W54" s="1"/>
      <c r="X54" s="1"/>
      <c r="Y54" s="1"/>
    </row>
    <row r="55" spans="2:25" ht="15.3" x14ac:dyDescent="0.55000000000000004">
      <c r="B55" s="37"/>
      <c r="C55" s="36"/>
      <c r="D55" s="37"/>
      <c r="E55" s="37"/>
      <c r="F55" s="37"/>
      <c r="Q55" s="1"/>
      <c r="R55" s="1"/>
      <c r="S55" s="1"/>
      <c r="T55" s="1"/>
      <c r="U55" s="1"/>
      <c r="V55" s="1"/>
      <c r="W55" s="1"/>
      <c r="X55" s="1"/>
      <c r="Y55" s="1"/>
    </row>
    <row r="56" spans="2:25" ht="15.3" x14ac:dyDescent="0.55000000000000004">
      <c r="B56" s="37"/>
      <c r="C56" s="36"/>
      <c r="D56" s="37"/>
      <c r="E56" s="37"/>
      <c r="F56" s="37"/>
      <c r="Q56" s="1"/>
      <c r="R56" s="1"/>
      <c r="S56" s="1"/>
      <c r="T56" s="1"/>
      <c r="U56" s="1"/>
      <c r="V56" s="1"/>
      <c r="W56" s="1"/>
      <c r="X56" s="1"/>
      <c r="Y56" s="1"/>
    </row>
    <row r="57" spans="2:25" ht="15.3" x14ac:dyDescent="0.55000000000000004">
      <c r="B57" s="37"/>
      <c r="D57" s="37"/>
      <c r="E57" s="37"/>
      <c r="F57" s="37"/>
      <c r="Q57" s="1"/>
      <c r="R57" s="1"/>
      <c r="S57" s="1"/>
      <c r="T57" s="1"/>
      <c r="U57" s="1"/>
      <c r="V57" s="1"/>
      <c r="W57" s="1"/>
      <c r="X57" s="1"/>
      <c r="Y57" s="1"/>
    </row>
    <row r="58" spans="2:25" ht="17.100000000000001" x14ac:dyDescent="0.85">
      <c r="B58" s="37"/>
      <c r="C58" s="36"/>
      <c r="D58" s="37"/>
      <c r="E58" s="37"/>
      <c r="F58" s="142"/>
    </row>
    <row r="59" spans="2:25" ht="15.3" x14ac:dyDescent="0.55000000000000004">
      <c r="B59" s="37"/>
      <c r="C59" s="37"/>
    </row>
    <row r="60" spans="2:25" ht="15.3" x14ac:dyDescent="0.55000000000000004">
      <c r="B60" s="37"/>
      <c r="C60" s="37"/>
    </row>
    <row r="61" spans="2:25" ht="15.3" x14ac:dyDescent="0.55000000000000004">
      <c r="B61" s="37"/>
      <c r="C61" s="37"/>
    </row>
    <row r="62" spans="2:25" ht="15.3" x14ac:dyDescent="0.55000000000000004">
      <c r="C62" s="37"/>
    </row>
    <row r="63" spans="2:25" ht="15.3" x14ac:dyDescent="0.55000000000000004">
      <c r="C63" s="37"/>
    </row>
    <row r="64" spans="2:25" ht="15.3" x14ac:dyDescent="0.55000000000000004">
      <c r="C64" s="37"/>
    </row>
    <row r="65" spans="3:3" ht="15.3" x14ac:dyDescent="0.55000000000000004">
      <c r="C65" s="37"/>
    </row>
    <row r="66" spans="3:3" ht="15.3" x14ac:dyDescent="0.55000000000000004">
      <c r="C66" s="37"/>
    </row>
    <row r="67" spans="3:3" ht="15.3" x14ac:dyDescent="0.55000000000000004">
      <c r="C67" s="37"/>
    </row>
    <row r="68" spans="3:3" ht="15.3" x14ac:dyDescent="0.55000000000000004">
      <c r="C68" s="37"/>
    </row>
  </sheetData>
  <mergeCells count="2">
    <mergeCell ref="I6:J6"/>
    <mergeCell ref="B30:C30"/>
  </mergeCells>
  <printOptions horizontalCentered="1"/>
  <pageMargins left="0.2" right="0.2" top="0.75" bottom="0.75" header="0.3" footer="0.3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I63"/>
  <sheetViews>
    <sheetView topLeftCell="A2" workbookViewId="0">
      <pane xSplit="2" ySplit="2" topLeftCell="C4" activePane="bottomRight" state="frozen"/>
      <selection activeCell="A2" sqref="A2"/>
      <selection pane="topRight" activeCell="C2" sqref="C2"/>
      <selection pane="bottomLeft" activeCell="A4" sqref="A4"/>
      <selection pane="bottomRight" activeCell="D11" sqref="D11"/>
    </sheetView>
  </sheetViews>
  <sheetFormatPr defaultColWidth="8.76953125" defaultRowHeight="14.4" x14ac:dyDescent="0.55000000000000004"/>
  <cols>
    <col min="1" max="1" width="8.76953125" style="28"/>
    <col min="2" max="2" width="9.31640625" style="311" bestFit="1" customWidth="1"/>
    <col min="3" max="3" width="11" style="28" customWidth="1"/>
    <col min="4" max="4" width="9.31640625" style="28" bestFit="1" customWidth="1"/>
    <col min="5" max="7" width="8.76953125" style="28"/>
    <col min="8" max="8" width="9" style="28" bestFit="1" customWidth="1"/>
    <col min="9" max="9" width="10" style="28" customWidth="1"/>
    <col min="10" max="16384" width="8.76953125" style="28"/>
  </cols>
  <sheetData>
    <row r="3" spans="2:8" ht="16.2" x14ac:dyDescent="0.85">
      <c r="C3" s="312" t="s">
        <v>312</v>
      </c>
      <c r="D3" s="312" t="s">
        <v>313</v>
      </c>
      <c r="E3" s="312" t="s">
        <v>314</v>
      </c>
      <c r="F3" s="312" t="s">
        <v>315</v>
      </c>
      <c r="G3" s="312" t="s">
        <v>316</v>
      </c>
      <c r="H3" s="312" t="s">
        <v>311</v>
      </c>
    </row>
    <row r="4" spans="2:8" x14ac:dyDescent="0.55000000000000004">
      <c r="B4" s="311">
        <v>19562.240000000002</v>
      </c>
      <c r="C4" s="28">
        <f>B4</f>
        <v>19562.240000000002</v>
      </c>
    </row>
    <row r="5" spans="2:8" x14ac:dyDescent="0.55000000000000004">
      <c r="B5" s="311">
        <v>0</v>
      </c>
      <c r="H5" s="28">
        <v>-39124.480000000003</v>
      </c>
    </row>
    <row r="6" spans="2:8" x14ac:dyDescent="0.55000000000000004">
      <c r="B6" s="311">
        <v>19072.96</v>
      </c>
      <c r="C6" s="28">
        <f>B6</f>
        <v>19072.96</v>
      </c>
    </row>
    <row r="7" spans="2:8" x14ac:dyDescent="0.55000000000000004">
      <c r="B7" s="311">
        <v>2870.16</v>
      </c>
      <c r="C7" s="28">
        <f>B7</f>
        <v>2870.16</v>
      </c>
    </row>
    <row r="8" spans="2:8" x14ac:dyDescent="0.55000000000000004">
      <c r="B8" s="311">
        <v>77</v>
      </c>
      <c r="D8" s="28">
        <f>B8</f>
        <v>77</v>
      </c>
    </row>
    <row r="9" spans="2:8" x14ac:dyDescent="0.55000000000000004">
      <c r="B9" s="311">
        <v>1116.0899999999999</v>
      </c>
      <c r="F9" s="28">
        <f>B9</f>
        <v>1116.0899999999999</v>
      </c>
    </row>
    <row r="10" spans="2:8" x14ac:dyDescent="0.55000000000000004">
      <c r="B10" s="311">
        <v>3883.17</v>
      </c>
      <c r="E10" s="28">
        <f>B10</f>
        <v>3883.17</v>
      </c>
    </row>
    <row r="11" spans="2:8" x14ac:dyDescent="0.55000000000000004">
      <c r="B11" s="311">
        <v>5000</v>
      </c>
      <c r="D11" s="28">
        <f>B11</f>
        <v>5000</v>
      </c>
    </row>
    <row r="12" spans="2:8" x14ac:dyDescent="0.55000000000000004">
      <c r="B12" s="311">
        <v>24653.89</v>
      </c>
      <c r="C12" s="28">
        <f>B12</f>
        <v>24653.89</v>
      </c>
    </row>
    <row r="13" spans="2:8" x14ac:dyDescent="0.55000000000000004">
      <c r="B13" s="311">
        <v>77</v>
      </c>
      <c r="D13" s="28">
        <f>B13</f>
        <v>77</v>
      </c>
    </row>
    <row r="14" spans="2:8" x14ac:dyDescent="0.55000000000000004">
      <c r="B14" s="311">
        <v>1116.0899999999999</v>
      </c>
      <c r="F14" s="28">
        <f>B14</f>
        <v>1116.0899999999999</v>
      </c>
    </row>
    <row r="15" spans="2:8" x14ac:dyDescent="0.55000000000000004">
      <c r="B15" s="311">
        <v>3883.17</v>
      </c>
      <c r="E15" s="28">
        <f>B15</f>
        <v>3883.17</v>
      </c>
    </row>
    <row r="16" spans="2:8" x14ac:dyDescent="0.55000000000000004">
      <c r="B16" s="311">
        <v>21889.99</v>
      </c>
      <c r="C16" s="28">
        <f>B16</f>
        <v>21889.99</v>
      </c>
    </row>
    <row r="17" spans="2:6" x14ac:dyDescent="0.55000000000000004">
      <c r="B17" s="311">
        <v>77</v>
      </c>
      <c r="D17" s="28">
        <f>B17</f>
        <v>77</v>
      </c>
    </row>
    <row r="18" spans="2:6" x14ac:dyDescent="0.55000000000000004">
      <c r="B18" s="311">
        <v>3883.17</v>
      </c>
      <c r="E18" s="28">
        <f>B18</f>
        <v>3883.17</v>
      </c>
    </row>
    <row r="19" spans="2:6" x14ac:dyDescent="0.55000000000000004">
      <c r="B19" s="311">
        <v>1004.77</v>
      </c>
      <c r="F19" s="28">
        <f>B19</f>
        <v>1004.77</v>
      </c>
    </row>
    <row r="20" spans="2:6" x14ac:dyDescent="0.55000000000000004">
      <c r="B20" s="311">
        <v>5000</v>
      </c>
      <c r="D20" s="28">
        <f>B20</f>
        <v>5000</v>
      </c>
    </row>
    <row r="21" spans="2:6" x14ac:dyDescent="0.55000000000000004">
      <c r="B21" s="311">
        <v>21889.99</v>
      </c>
      <c r="C21" s="28">
        <f>B21</f>
        <v>21889.99</v>
      </c>
    </row>
    <row r="22" spans="2:6" x14ac:dyDescent="0.55000000000000004">
      <c r="B22" s="311">
        <v>77</v>
      </c>
      <c r="D22" s="28">
        <f>B22</f>
        <v>77</v>
      </c>
    </row>
    <row r="23" spans="2:6" x14ac:dyDescent="0.55000000000000004">
      <c r="B23" s="311">
        <v>1116.0899999999999</v>
      </c>
      <c r="F23" s="28">
        <f>B23</f>
        <v>1116.0899999999999</v>
      </c>
    </row>
    <row r="24" spans="2:6" x14ac:dyDescent="0.55000000000000004">
      <c r="B24" s="311">
        <v>3883.17</v>
      </c>
      <c r="E24" s="28">
        <f>B24</f>
        <v>3883.17</v>
      </c>
    </row>
    <row r="25" spans="2:6" x14ac:dyDescent="0.55000000000000004">
      <c r="B25" s="311">
        <v>21899.99</v>
      </c>
      <c r="C25" s="28">
        <f>B25</f>
        <v>21899.99</v>
      </c>
    </row>
    <row r="26" spans="2:6" x14ac:dyDescent="0.55000000000000004">
      <c r="B26" s="311">
        <v>77</v>
      </c>
      <c r="D26" s="28">
        <f>B26</f>
        <v>77</v>
      </c>
    </row>
    <row r="27" spans="2:6" x14ac:dyDescent="0.55000000000000004">
      <c r="B27" s="311">
        <v>1116.0899999999999</v>
      </c>
      <c r="F27" s="28">
        <f>B27</f>
        <v>1116.0899999999999</v>
      </c>
    </row>
    <row r="28" spans="2:6" x14ac:dyDescent="0.55000000000000004">
      <c r="B28" s="311">
        <v>3883.17</v>
      </c>
      <c r="E28" s="28">
        <f>B28</f>
        <v>3883.17</v>
      </c>
    </row>
    <row r="29" spans="2:6" x14ac:dyDescent="0.55000000000000004">
      <c r="B29" s="311">
        <v>21879.99</v>
      </c>
      <c r="C29" s="28">
        <f>B29</f>
        <v>21879.99</v>
      </c>
    </row>
    <row r="30" spans="2:6" x14ac:dyDescent="0.55000000000000004">
      <c r="B30" s="311">
        <v>5000</v>
      </c>
      <c r="D30" s="28">
        <f>B30</f>
        <v>5000</v>
      </c>
    </row>
    <row r="31" spans="2:6" x14ac:dyDescent="0.55000000000000004">
      <c r="B31" s="311">
        <v>77</v>
      </c>
      <c r="D31" s="28">
        <f>B31</f>
        <v>77</v>
      </c>
    </row>
    <row r="32" spans="2:6" x14ac:dyDescent="0.55000000000000004">
      <c r="B32" s="311">
        <v>3883.17</v>
      </c>
      <c r="E32" s="28">
        <f>B32</f>
        <v>3883.17</v>
      </c>
    </row>
    <row r="33" spans="2:7" x14ac:dyDescent="0.55000000000000004">
      <c r="B33" s="311">
        <v>720</v>
      </c>
      <c r="G33" s="28">
        <f>B33</f>
        <v>720</v>
      </c>
    </row>
    <row r="34" spans="2:7" x14ac:dyDescent="0.55000000000000004">
      <c r="B34" s="311">
        <v>1116.0899999999999</v>
      </c>
      <c r="F34" s="28">
        <f>B34</f>
        <v>1116.0899999999999</v>
      </c>
    </row>
    <row r="35" spans="2:7" x14ac:dyDescent="0.55000000000000004">
      <c r="B35" s="311">
        <v>21889.99</v>
      </c>
      <c r="C35" s="28">
        <f>B35</f>
        <v>21889.99</v>
      </c>
    </row>
    <row r="36" spans="2:7" x14ac:dyDescent="0.55000000000000004">
      <c r="B36" s="311">
        <v>77</v>
      </c>
      <c r="D36" s="28">
        <f>B36</f>
        <v>77</v>
      </c>
    </row>
    <row r="37" spans="2:7" x14ac:dyDescent="0.55000000000000004">
      <c r="B37" s="311">
        <v>1116.0899999999999</v>
      </c>
      <c r="F37" s="28">
        <f>B37</f>
        <v>1116.0899999999999</v>
      </c>
    </row>
    <row r="38" spans="2:7" x14ac:dyDescent="0.55000000000000004">
      <c r="B38" s="311">
        <v>3883.17</v>
      </c>
      <c r="E38" s="28">
        <f>B38</f>
        <v>3883.17</v>
      </c>
    </row>
    <row r="39" spans="2:7" x14ac:dyDescent="0.55000000000000004">
      <c r="B39" s="311">
        <v>21889.99</v>
      </c>
      <c r="C39" s="28">
        <f>B39</f>
        <v>21889.99</v>
      </c>
    </row>
    <row r="40" spans="2:7" x14ac:dyDescent="0.55000000000000004">
      <c r="B40" s="311">
        <v>1388.43</v>
      </c>
      <c r="C40" s="28">
        <f>B40</f>
        <v>1388.43</v>
      </c>
    </row>
    <row r="41" spans="2:7" x14ac:dyDescent="0.55000000000000004">
      <c r="B41" s="311">
        <v>77</v>
      </c>
      <c r="D41" s="28">
        <f>B41</f>
        <v>77</v>
      </c>
    </row>
    <row r="42" spans="2:7" x14ac:dyDescent="0.55000000000000004">
      <c r="B42" s="311">
        <v>23597.71</v>
      </c>
      <c r="C42" s="28">
        <f>B42</f>
        <v>23597.71</v>
      </c>
    </row>
    <row r="43" spans="2:7" x14ac:dyDescent="0.55000000000000004">
      <c r="B43" s="311">
        <v>3883.17</v>
      </c>
      <c r="E43" s="28">
        <f>B43</f>
        <v>3883.17</v>
      </c>
    </row>
    <row r="44" spans="2:7" x14ac:dyDescent="0.55000000000000004">
      <c r="B44" s="311">
        <v>1116.0899999999999</v>
      </c>
      <c r="F44" s="28">
        <f>B44</f>
        <v>1116.0899999999999</v>
      </c>
    </row>
    <row r="45" spans="2:7" x14ac:dyDescent="0.55000000000000004">
      <c r="B45" s="311">
        <v>77</v>
      </c>
      <c r="D45" s="28">
        <f>B45</f>
        <v>77</v>
      </c>
    </row>
    <row r="46" spans="2:7" x14ac:dyDescent="0.55000000000000004">
      <c r="B46" s="311">
        <v>1116.0899999999999</v>
      </c>
      <c r="F46" s="28">
        <f>B46</f>
        <v>1116.0899999999999</v>
      </c>
    </row>
    <row r="47" spans="2:7" x14ac:dyDescent="0.55000000000000004">
      <c r="B47" s="311">
        <v>3883.17</v>
      </c>
      <c r="E47" s="28">
        <f>B47</f>
        <v>3883.17</v>
      </c>
    </row>
    <row r="48" spans="2:7" x14ac:dyDescent="0.55000000000000004">
      <c r="B48" s="311">
        <v>77</v>
      </c>
      <c r="D48" s="28">
        <f>B48</f>
        <v>77</v>
      </c>
    </row>
    <row r="49" spans="2:9" x14ac:dyDescent="0.55000000000000004">
      <c r="B49" s="311">
        <v>1116.0899999999999</v>
      </c>
      <c r="F49" s="28">
        <f>B49</f>
        <v>1116.0899999999999</v>
      </c>
    </row>
    <row r="50" spans="2:9" x14ac:dyDescent="0.55000000000000004">
      <c r="B50" s="311">
        <v>4090.15</v>
      </c>
      <c r="E50" s="28">
        <f>B50</f>
        <v>4090.15</v>
      </c>
    </row>
    <row r="51" spans="2:9" x14ac:dyDescent="0.55000000000000004">
      <c r="B51" s="311">
        <v>5000</v>
      </c>
      <c r="D51" s="28">
        <f>B51</f>
        <v>5000</v>
      </c>
    </row>
    <row r="52" spans="2:9" x14ac:dyDescent="0.55000000000000004">
      <c r="B52" s="311">
        <v>77</v>
      </c>
      <c r="D52" s="28">
        <f>B52</f>
        <v>77</v>
      </c>
    </row>
    <row r="53" spans="2:9" x14ac:dyDescent="0.55000000000000004">
      <c r="B53" s="311">
        <v>1116.0899999999999</v>
      </c>
      <c r="F53" s="28">
        <f>B53</f>
        <v>1116.0899999999999</v>
      </c>
    </row>
    <row r="54" spans="2:9" x14ac:dyDescent="0.55000000000000004">
      <c r="B54" s="311">
        <v>3986.66</v>
      </c>
      <c r="E54" s="28">
        <f>B54</f>
        <v>3986.66</v>
      </c>
    </row>
    <row r="55" spans="2:9" x14ac:dyDescent="0.55000000000000004">
      <c r="B55" s="311">
        <v>77</v>
      </c>
      <c r="D55" s="28">
        <f>B55</f>
        <v>77</v>
      </c>
    </row>
    <row r="56" spans="2:9" x14ac:dyDescent="0.55000000000000004">
      <c r="B56" s="311">
        <v>5000</v>
      </c>
      <c r="D56" s="28">
        <f>B56</f>
        <v>5000</v>
      </c>
    </row>
    <row r="57" spans="2:9" x14ac:dyDescent="0.55000000000000004">
      <c r="B57" s="311">
        <v>1116.0899999999999</v>
      </c>
      <c r="F57" s="28">
        <f>B57</f>
        <v>1116.0899999999999</v>
      </c>
    </row>
    <row r="58" spans="2:9" x14ac:dyDescent="0.55000000000000004">
      <c r="B58" s="311">
        <v>25362.23</v>
      </c>
      <c r="H58" s="28">
        <f>B58</f>
        <v>25362.23</v>
      </c>
    </row>
    <row r="59" spans="2:9" x14ac:dyDescent="0.55000000000000004">
      <c r="B59" s="311">
        <v>22222.32</v>
      </c>
      <c r="C59" s="28">
        <f>B59</f>
        <v>22222.32</v>
      </c>
    </row>
    <row r="60" spans="2:9" x14ac:dyDescent="0.55000000000000004">
      <c r="B60" s="311">
        <v>22479.83</v>
      </c>
      <c r="C60" s="28">
        <f>B60</f>
        <v>22479.83</v>
      </c>
    </row>
    <row r="61" spans="2:9" x14ac:dyDescent="0.55000000000000004">
      <c r="B61" s="311">
        <f>SUM(B4:B60)</f>
        <v>375500.81000000011</v>
      </c>
      <c r="C61" s="311">
        <f t="shared" ref="C61:H61" si="0">SUM(C4:C60)</f>
        <v>267187.48</v>
      </c>
      <c r="D61" s="311">
        <f t="shared" si="0"/>
        <v>25924</v>
      </c>
      <c r="E61" s="311">
        <f t="shared" si="0"/>
        <v>43025.34</v>
      </c>
      <c r="F61" s="311">
        <f t="shared" si="0"/>
        <v>13281.76</v>
      </c>
      <c r="G61" s="311">
        <f t="shared" si="0"/>
        <v>720</v>
      </c>
      <c r="H61" s="311">
        <f t="shared" si="0"/>
        <v>-13762.250000000004</v>
      </c>
      <c r="I61" s="28">
        <f>SUM(C61:H61)</f>
        <v>336376.32999999996</v>
      </c>
    </row>
    <row r="63" spans="2:9" x14ac:dyDescent="0.55000000000000004">
      <c r="B63" s="2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J29"/>
  <sheetViews>
    <sheetView workbookViewId="0">
      <selection activeCell="F34" sqref="F34"/>
    </sheetView>
  </sheetViews>
  <sheetFormatPr defaultColWidth="8.86328125" defaultRowHeight="14.4" x14ac:dyDescent="0.55000000000000004"/>
  <cols>
    <col min="1" max="1" width="8.86328125" style="19"/>
    <col min="2" max="6" width="11.54296875" style="19" customWidth="1"/>
    <col min="7" max="7" width="9.86328125" style="19" bestFit="1" customWidth="1"/>
    <col min="8" max="8" width="10.76953125" style="19" bestFit="1" customWidth="1"/>
    <col min="9" max="16384" width="8.86328125" style="19"/>
  </cols>
  <sheetData>
    <row r="2" spans="1:9" x14ac:dyDescent="0.55000000000000004">
      <c r="B2" s="408" t="s">
        <v>218</v>
      </c>
      <c r="C2" s="408"/>
      <c r="D2" s="43"/>
      <c r="E2" s="408" t="s">
        <v>219</v>
      </c>
      <c r="F2" s="408"/>
    </row>
    <row r="3" spans="1:9" ht="16.2" x14ac:dyDescent="0.85">
      <c r="B3" s="104" t="s">
        <v>15</v>
      </c>
      <c r="C3" s="104" t="s">
        <v>165</v>
      </c>
      <c r="D3" s="104"/>
      <c r="E3" s="104" t="s">
        <v>15</v>
      </c>
      <c r="F3" s="104" t="s">
        <v>165</v>
      </c>
    </row>
    <row r="4" spans="1:9" x14ac:dyDescent="0.55000000000000004">
      <c r="A4" s="44" t="s">
        <v>22</v>
      </c>
      <c r="B4" s="145">
        <v>1289000</v>
      </c>
      <c r="C4" s="19">
        <v>7405</v>
      </c>
      <c r="D4" s="28">
        <f>C4/(B4/1000)</f>
        <v>5.7447633824670286</v>
      </c>
      <c r="E4" s="19">
        <v>477000</v>
      </c>
      <c r="F4" s="19">
        <v>2737</v>
      </c>
      <c r="G4" s="28">
        <f>F4/(E4/1000)</f>
        <v>5.7379454926624742</v>
      </c>
      <c r="H4" s="145"/>
    </row>
    <row r="5" spans="1:9" x14ac:dyDescent="0.55000000000000004">
      <c r="A5" s="44" t="s">
        <v>23</v>
      </c>
      <c r="B5" s="145">
        <v>1669300</v>
      </c>
      <c r="C5" s="19">
        <v>8786</v>
      </c>
      <c r="D5" s="28">
        <f t="shared" ref="D5:D17" si="0">C5/(B5/1000)</f>
        <v>5.2632840112622059</v>
      </c>
      <c r="E5" s="19">
        <v>585800</v>
      </c>
      <c r="F5" s="19">
        <v>3857</v>
      </c>
      <c r="G5" s="28">
        <f t="shared" ref="G5:G15" si="1">F5/(E5/1000)</f>
        <v>6.5841584158415847</v>
      </c>
      <c r="H5" s="145"/>
    </row>
    <row r="6" spans="1:9" ht="14.5" customHeight="1" x14ac:dyDescent="0.55000000000000004">
      <c r="A6" s="44" t="s">
        <v>24</v>
      </c>
      <c r="B6" s="145">
        <v>1673800</v>
      </c>
      <c r="C6" s="19">
        <v>7969</v>
      </c>
      <c r="D6" s="28">
        <f t="shared" si="0"/>
        <v>4.7610228223204683</v>
      </c>
      <c r="E6" s="19">
        <v>949300</v>
      </c>
      <c r="F6" s="19">
        <v>3235</v>
      </c>
      <c r="G6" s="28">
        <f t="shared" si="1"/>
        <v>3.4077741493732225</v>
      </c>
    </row>
    <row r="7" spans="1:9" x14ac:dyDescent="0.55000000000000004">
      <c r="A7" s="44" t="s">
        <v>25</v>
      </c>
      <c r="B7" s="145">
        <v>1697900</v>
      </c>
      <c r="C7" s="19">
        <v>9586</v>
      </c>
      <c r="D7" s="28">
        <f t="shared" si="0"/>
        <v>5.6457977501619645</v>
      </c>
      <c r="E7" s="19">
        <v>1096900</v>
      </c>
      <c r="F7" s="19">
        <v>3364</v>
      </c>
      <c r="G7" s="28">
        <f t="shared" si="1"/>
        <v>3.0668246877564043</v>
      </c>
      <c r="H7" s="341"/>
      <c r="I7" s="342"/>
    </row>
    <row r="8" spans="1:9" x14ac:dyDescent="0.55000000000000004">
      <c r="A8" s="44" t="s">
        <v>26</v>
      </c>
      <c r="B8" s="145">
        <v>1273000</v>
      </c>
      <c r="C8" s="19">
        <v>9611</v>
      </c>
      <c r="D8" s="28">
        <f t="shared" si="0"/>
        <v>7.5498821681068344</v>
      </c>
      <c r="E8" s="19">
        <v>820000</v>
      </c>
      <c r="F8" s="19">
        <v>5451</v>
      </c>
      <c r="G8" s="28">
        <f t="shared" si="1"/>
        <v>6.647560975609756</v>
      </c>
      <c r="H8" s="145"/>
    </row>
    <row r="9" spans="1:9" x14ac:dyDescent="0.55000000000000004">
      <c r="A9" s="44" t="s">
        <v>27</v>
      </c>
      <c r="B9" s="145">
        <v>1585200</v>
      </c>
      <c r="C9" s="19">
        <v>9750</v>
      </c>
      <c r="D9" s="28">
        <f t="shared" si="0"/>
        <v>6.1506434519303559</v>
      </c>
      <c r="E9" s="19">
        <v>807400</v>
      </c>
      <c r="F9" s="19">
        <v>6298</v>
      </c>
      <c r="G9" s="28">
        <f t="shared" si="1"/>
        <v>7.8003467921724052</v>
      </c>
      <c r="H9" s="145"/>
    </row>
    <row r="10" spans="1:9" x14ac:dyDescent="0.55000000000000004">
      <c r="A10" s="44" t="s">
        <v>16</v>
      </c>
      <c r="B10" s="145">
        <v>1679500</v>
      </c>
      <c r="C10" s="19">
        <v>10756</v>
      </c>
      <c r="D10" s="28">
        <f t="shared" si="0"/>
        <v>6.4042869901756472</v>
      </c>
      <c r="E10" s="19">
        <v>1104600</v>
      </c>
      <c r="F10" s="19">
        <v>4150</v>
      </c>
      <c r="G10" s="28">
        <f t="shared" si="1"/>
        <v>3.7570161144305634</v>
      </c>
      <c r="H10" s="145"/>
    </row>
    <row r="11" spans="1:9" x14ac:dyDescent="0.55000000000000004">
      <c r="A11" s="44" t="s">
        <v>17</v>
      </c>
      <c r="B11" s="145">
        <v>1582400</v>
      </c>
      <c r="C11" s="19">
        <v>9103</v>
      </c>
      <c r="D11" s="28">
        <f t="shared" si="0"/>
        <v>5.7526541961577351</v>
      </c>
      <c r="E11" s="19">
        <v>735900</v>
      </c>
      <c r="F11" s="19">
        <v>4004</v>
      </c>
      <c r="G11" s="28">
        <f t="shared" si="1"/>
        <v>5.4409566517189836</v>
      </c>
      <c r="H11" s="145"/>
    </row>
    <row r="12" spans="1:9" x14ac:dyDescent="0.55000000000000004">
      <c r="A12" s="44" t="s">
        <v>18</v>
      </c>
      <c r="B12" s="145">
        <v>1326000</v>
      </c>
      <c r="C12" s="19">
        <v>9730</v>
      </c>
      <c r="D12" s="28">
        <f t="shared" si="0"/>
        <v>7.3378582202111611</v>
      </c>
      <c r="E12" s="19">
        <v>601000</v>
      </c>
      <c r="F12" s="19">
        <v>5826</v>
      </c>
      <c r="G12" s="28">
        <f t="shared" si="1"/>
        <v>9.6938435940099836</v>
      </c>
      <c r="H12" s="145"/>
    </row>
    <row r="13" spans="1:9" x14ac:dyDescent="0.55000000000000004">
      <c r="A13" s="44" t="s">
        <v>19</v>
      </c>
      <c r="B13" s="145">
        <v>1060000</v>
      </c>
      <c r="C13" s="19">
        <v>9087</v>
      </c>
      <c r="D13" s="28">
        <f t="shared" si="0"/>
        <v>8.5726415094339625</v>
      </c>
      <c r="E13" s="19">
        <v>567000</v>
      </c>
      <c r="F13" s="19">
        <v>3755</v>
      </c>
      <c r="G13" s="28">
        <f t="shared" si="1"/>
        <v>6.6225749559082896</v>
      </c>
      <c r="H13" s="145"/>
    </row>
    <row r="14" spans="1:9" x14ac:dyDescent="0.55000000000000004">
      <c r="A14" s="44" t="s">
        <v>20</v>
      </c>
      <c r="B14" s="145">
        <v>1165000</v>
      </c>
      <c r="C14" s="19">
        <v>7615</v>
      </c>
      <c r="D14" s="28">
        <f t="shared" si="0"/>
        <v>6.5364806866952794</v>
      </c>
      <c r="E14" s="19">
        <v>779000</v>
      </c>
      <c r="F14" s="19">
        <v>2792</v>
      </c>
      <c r="G14" s="28">
        <f t="shared" si="1"/>
        <v>3.5840821566110397</v>
      </c>
      <c r="H14" s="145"/>
    </row>
    <row r="15" spans="1:9" x14ac:dyDescent="0.55000000000000004">
      <c r="A15" s="44" t="s">
        <v>21</v>
      </c>
      <c r="B15" s="145">
        <v>1183800</v>
      </c>
      <c r="C15" s="19">
        <v>6089</v>
      </c>
      <c r="D15" s="28">
        <f t="shared" si="0"/>
        <v>5.1436053387396523</v>
      </c>
      <c r="E15" s="19">
        <v>642200</v>
      </c>
      <c r="F15" s="19">
        <v>2561</v>
      </c>
      <c r="G15" s="28">
        <f t="shared" si="1"/>
        <v>3.9878542510121453</v>
      </c>
      <c r="H15" s="145"/>
    </row>
    <row r="17" spans="1:10" x14ac:dyDescent="0.55000000000000004">
      <c r="A17" s="19" t="s">
        <v>14</v>
      </c>
      <c r="B17" s="19">
        <f>SUM(B4:B16)</f>
        <v>17184900</v>
      </c>
      <c r="C17" s="19">
        <f t="shared" ref="C17:F17" si="2">SUM(C4:C16)</f>
        <v>105487</v>
      </c>
      <c r="D17" s="28">
        <f t="shared" si="0"/>
        <v>6.1383540200990403</v>
      </c>
      <c r="E17" s="19">
        <f t="shared" si="2"/>
        <v>9166100</v>
      </c>
      <c r="F17" s="19">
        <f t="shared" si="2"/>
        <v>48030</v>
      </c>
      <c r="G17" s="28">
        <f t="shared" ref="G17" si="3">F17/(E17/1000)</f>
        <v>5.2399602884541947</v>
      </c>
    </row>
    <row r="19" spans="1:10" x14ac:dyDescent="0.55000000000000004">
      <c r="B19" s="275" t="s">
        <v>220</v>
      </c>
      <c r="C19" s="276">
        <v>5.74</v>
      </c>
    </row>
    <row r="20" spans="1:10" ht="15.3" x14ac:dyDescent="0.55000000000000004">
      <c r="B20" s="275" t="s">
        <v>221</v>
      </c>
      <c r="C20" s="276">
        <v>6.63</v>
      </c>
      <c r="E20" s="343" t="s">
        <v>359</v>
      </c>
      <c r="G20"/>
      <c r="H20"/>
      <c r="I20"/>
    </row>
    <row r="21" spans="1:10" ht="15.3" x14ac:dyDescent="0.55000000000000004">
      <c r="F21"/>
      <c r="G21"/>
      <c r="H21"/>
      <c r="I21"/>
    </row>
    <row r="22" spans="1:10" x14ac:dyDescent="0.55000000000000004">
      <c r="A22" s="20"/>
      <c r="B22" s="21"/>
      <c r="C22" s="21"/>
      <c r="D22" s="21"/>
      <c r="E22" s="21"/>
      <c r="F22" s="21"/>
      <c r="G22" s="22"/>
    </row>
    <row r="23" spans="1:10" x14ac:dyDescent="0.55000000000000004">
      <c r="A23" s="373" t="s">
        <v>357</v>
      </c>
      <c r="B23" s="16"/>
      <c r="C23" s="16"/>
      <c r="D23" s="17"/>
      <c r="E23" s="17"/>
      <c r="F23" s="17"/>
      <c r="G23" s="24"/>
    </row>
    <row r="24" spans="1:10" x14ac:dyDescent="0.55000000000000004">
      <c r="A24" s="23"/>
      <c r="B24" s="17">
        <v>17770400</v>
      </c>
      <c r="C24" s="374">
        <v>117818</v>
      </c>
      <c r="D24" s="375">
        <f>C24/(B24/1000)</f>
        <v>6.6300139557916529</v>
      </c>
      <c r="E24" s="17">
        <v>8363800</v>
      </c>
      <c r="F24" s="374">
        <v>55452</v>
      </c>
      <c r="G24" s="376">
        <f>F24/(E24/1000)</f>
        <v>6.6300007173772695</v>
      </c>
      <c r="J24" s="28">
        <v>6.63</v>
      </c>
    </row>
    <row r="25" spans="1:10" x14ac:dyDescent="0.55000000000000004">
      <c r="A25" s="23"/>
      <c r="B25" s="17"/>
      <c r="C25" s="17"/>
      <c r="D25" s="17"/>
      <c r="E25" s="17"/>
      <c r="F25" s="17"/>
      <c r="G25" s="24"/>
      <c r="J25" s="28">
        <v>5.27</v>
      </c>
    </row>
    <row r="26" spans="1:10" x14ac:dyDescent="0.55000000000000004">
      <c r="A26" s="26"/>
      <c r="B26" s="16"/>
      <c r="C26" s="16"/>
      <c r="D26" s="16"/>
      <c r="E26" s="16"/>
      <c r="F26" s="16"/>
      <c r="G26" s="27"/>
      <c r="J26" s="28">
        <f>J24-J25</f>
        <v>1.3600000000000003</v>
      </c>
    </row>
    <row r="29" spans="1:10" x14ac:dyDescent="0.55000000000000004">
      <c r="B29" s="19">
        <f>(B24/1000)*1.36</f>
        <v>24167.744000000002</v>
      </c>
      <c r="E29" s="19">
        <f>(E24/1000)*1.36</f>
        <v>11374.768</v>
      </c>
    </row>
  </sheetData>
  <mergeCells count="2">
    <mergeCell ref="B2:C2"/>
    <mergeCell ref="E2:F2"/>
  </mergeCells>
  <printOptions horizontalCentered="1"/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V38"/>
  <sheetViews>
    <sheetView workbookViewId="0"/>
  </sheetViews>
  <sheetFormatPr defaultRowHeight="15" x14ac:dyDescent="0.5"/>
  <cols>
    <col min="1" max="1" width="3.453125" customWidth="1"/>
    <col min="2" max="2" width="27.6796875" customWidth="1"/>
    <col min="3" max="3" width="8" customWidth="1"/>
    <col min="4" max="4" width="10.08984375" customWidth="1"/>
    <col min="5" max="5" width="5.76953125" customWidth="1"/>
    <col min="6" max="6" width="8.76953125" customWidth="1"/>
    <col min="7" max="7" width="5.76953125" customWidth="1"/>
    <col min="8" max="8" width="8.76953125" customWidth="1"/>
    <col min="9" max="9" width="10.2265625" customWidth="1"/>
    <col min="10" max="10" width="0.86328125" customWidth="1"/>
    <col min="14" max="14" width="9.6796875" customWidth="1"/>
  </cols>
  <sheetData>
    <row r="2" spans="1:22" ht="6" customHeight="1" x14ac:dyDescent="0.5">
      <c r="A2" s="8"/>
      <c r="B2" s="9"/>
      <c r="C2" s="9"/>
      <c r="D2" s="9"/>
      <c r="E2" s="9"/>
      <c r="F2" s="9"/>
      <c r="G2" s="9"/>
      <c r="H2" s="9"/>
      <c r="I2" s="9"/>
      <c r="J2" s="10"/>
    </row>
    <row r="3" spans="1:22" ht="18.3" x14ac:dyDescent="0.7">
      <c r="A3" s="412" t="s">
        <v>97</v>
      </c>
      <c r="B3" s="413"/>
      <c r="C3" s="413"/>
      <c r="D3" s="413"/>
      <c r="E3" s="413"/>
      <c r="F3" s="413"/>
      <c r="G3" s="413"/>
      <c r="H3" s="413"/>
      <c r="I3" s="413"/>
      <c r="J3" s="414"/>
    </row>
    <row r="4" spans="1:22" ht="18.3" x14ac:dyDescent="0.7">
      <c r="A4" s="415" t="s">
        <v>128</v>
      </c>
      <c r="B4" s="416"/>
      <c r="C4" s="416"/>
      <c r="D4" s="416"/>
      <c r="E4" s="416"/>
      <c r="F4" s="416"/>
      <c r="G4" s="416"/>
      <c r="H4" s="416"/>
      <c r="I4" s="416"/>
      <c r="J4" s="417"/>
    </row>
    <row r="5" spans="1:22" ht="6" customHeight="1" x14ac:dyDescent="0.7">
      <c r="A5" s="78"/>
      <c r="B5" s="77"/>
      <c r="C5" s="77"/>
      <c r="D5" s="77"/>
      <c r="E5" s="77"/>
      <c r="F5" s="77"/>
      <c r="G5" s="77"/>
      <c r="H5" s="77"/>
      <c r="I5" s="77"/>
      <c r="J5" s="79"/>
    </row>
    <row r="6" spans="1:22" ht="15.3" x14ac:dyDescent="0.55000000000000004">
      <c r="A6" s="62"/>
      <c r="B6" s="70"/>
      <c r="C6" s="70"/>
      <c r="D6" s="70"/>
      <c r="E6" s="76"/>
      <c r="F6" s="70"/>
      <c r="G6" s="76"/>
      <c r="H6" s="80"/>
      <c r="I6" s="73" t="s">
        <v>129</v>
      </c>
      <c r="J6" s="11"/>
    </row>
    <row r="7" spans="1:22" ht="17.100000000000001" x14ac:dyDescent="0.85">
      <c r="A7" s="409" t="s">
        <v>130</v>
      </c>
      <c r="B7" s="410"/>
      <c r="C7" s="74" t="s">
        <v>131</v>
      </c>
      <c r="D7" s="74" t="s">
        <v>132</v>
      </c>
      <c r="E7" s="411" t="s">
        <v>153</v>
      </c>
      <c r="F7" s="411"/>
      <c r="G7" s="81" t="s">
        <v>102</v>
      </c>
      <c r="H7" s="75"/>
      <c r="I7" s="73" t="s">
        <v>133</v>
      </c>
      <c r="J7" s="11"/>
    </row>
    <row r="8" spans="1:22" ht="15.3" x14ac:dyDescent="0.55000000000000004">
      <c r="A8" s="82" t="s">
        <v>134</v>
      </c>
      <c r="B8" s="73" t="s">
        <v>135</v>
      </c>
      <c r="C8" s="73" t="s">
        <v>136</v>
      </c>
      <c r="D8" s="73" t="s">
        <v>137</v>
      </c>
      <c r="E8" s="83" t="s">
        <v>138</v>
      </c>
      <c r="F8" s="73" t="s">
        <v>139</v>
      </c>
      <c r="G8" s="83" t="s">
        <v>138</v>
      </c>
      <c r="H8" s="73" t="s">
        <v>139</v>
      </c>
      <c r="I8" s="73" t="s">
        <v>125</v>
      </c>
      <c r="J8" s="11"/>
    </row>
    <row r="9" spans="1:22" ht="6" customHeight="1" x14ac:dyDescent="0.55000000000000004">
      <c r="A9" s="82"/>
      <c r="B9" s="73"/>
      <c r="C9" s="73"/>
      <c r="D9" s="73"/>
      <c r="E9" s="83"/>
      <c r="F9" s="73"/>
      <c r="G9" s="83"/>
      <c r="H9" s="73"/>
      <c r="I9" s="73"/>
      <c r="J9" s="11"/>
    </row>
    <row r="10" spans="1:22" ht="15.3" x14ac:dyDescent="0.55000000000000004">
      <c r="A10" s="84" t="s">
        <v>293</v>
      </c>
      <c r="B10" s="80"/>
      <c r="C10" s="85"/>
      <c r="D10" s="80"/>
      <c r="E10" s="86"/>
      <c r="F10" s="80"/>
      <c r="G10" s="86"/>
      <c r="H10" s="80"/>
      <c r="I10" s="80"/>
      <c r="J10" s="11"/>
      <c r="M10" s="1"/>
      <c r="N10" s="1"/>
      <c r="O10" s="1"/>
      <c r="P10" s="1"/>
      <c r="Q10" s="1"/>
      <c r="R10" s="1"/>
      <c r="S10" s="1"/>
      <c r="T10" s="1"/>
      <c r="U10" s="1"/>
    </row>
    <row r="11" spans="1:22" ht="15.3" x14ac:dyDescent="0.55000000000000004">
      <c r="A11" s="87"/>
      <c r="B11" s="80" t="s">
        <v>273</v>
      </c>
      <c r="C11" s="85" t="s">
        <v>177</v>
      </c>
      <c r="D11" s="80">
        <v>494064.65</v>
      </c>
      <c r="E11" s="86" t="s">
        <v>178</v>
      </c>
      <c r="F11" s="80">
        <v>11692.72</v>
      </c>
      <c r="G11" s="86">
        <v>37.5</v>
      </c>
      <c r="H11" s="80">
        <f>D11/G11</f>
        <v>13175.057333333334</v>
      </c>
      <c r="I11" s="80">
        <f>H11-F11</f>
        <v>1482.3373333333348</v>
      </c>
      <c r="J11" s="11"/>
      <c r="M11" s="19"/>
      <c r="N11" s="19"/>
      <c r="O11" s="19"/>
      <c r="P11" s="19"/>
      <c r="Q11" s="19"/>
      <c r="R11" s="19"/>
      <c r="S11" s="19"/>
      <c r="T11" s="19"/>
      <c r="U11" s="19"/>
      <c r="V11" s="216"/>
    </row>
    <row r="12" spans="1:22" ht="15.3" x14ac:dyDescent="0.55000000000000004">
      <c r="A12" s="87"/>
      <c r="B12" s="80" t="s">
        <v>292</v>
      </c>
      <c r="C12" s="85" t="s">
        <v>177</v>
      </c>
      <c r="D12" s="80">
        <v>80905</v>
      </c>
      <c r="E12" s="86" t="s">
        <v>178</v>
      </c>
      <c r="F12" s="80">
        <v>2530.85</v>
      </c>
      <c r="G12" s="86">
        <v>22.5</v>
      </c>
      <c r="H12" s="80">
        <f>D12/G12</f>
        <v>3595.7777777777778</v>
      </c>
      <c r="I12" s="80">
        <f>H12-F12</f>
        <v>1064.9277777777779</v>
      </c>
      <c r="J12" s="11"/>
      <c r="M12" s="19"/>
      <c r="N12" s="19"/>
      <c r="O12" s="19"/>
      <c r="P12" s="19"/>
      <c r="Q12" s="19"/>
      <c r="R12" s="19"/>
      <c r="S12" s="19"/>
      <c r="T12" s="19"/>
      <c r="U12" s="19"/>
      <c r="V12" s="216"/>
    </row>
    <row r="13" spans="1:22" ht="15.3" x14ac:dyDescent="0.55000000000000004">
      <c r="A13" s="304" t="s">
        <v>274</v>
      </c>
      <c r="B13" s="80"/>
      <c r="C13" s="85"/>
      <c r="D13" s="80"/>
      <c r="E13" s="86"/>
      <c r="F13" s="80"/>
      <c r="G13" s="86"/>
      <c r="H13" s="80"/>
      <c r="I13" s="80"/>
      <c r="J13" s="11"/>
      <c r="M13" s="19"/>
      <c r="N13" s="19"/>
      <c r="O13" s="19"/>
      <c r="P13" s="19"/>
      <c r="Q13" s="19"/>
      <c r="R13" s="19"/>
      <c r="S13" s="19"/>
      <c r="T13" s="19"/>
      <c r="U13" s="19"/>
      <c r="V13" s="216"/>
    </row>
    <row r="14" spans="1:22" ht="15.3" x14ac:dyDescent="0.55000000000000004">
      <c r="A14" s="304"/>
      <c r="B14" s="80" t="s">
        <v>275</v>
      </c>
      <c r="C14" s="213" t="s">
        <v>276</v>
      </c>
      <c r="D14" s="80">
        <f>414367+656682</f>
        <v>1071049</v>
      </c>
      <c r="E14" s="86">
        <v>25</v>
      </c>
      <c r="F14" s="80">
        <f>16575+26267</f>
        <v>42842</v>
      </c>
      <c r="G14" s="86">
        <v>37.5</v>
      </c>
      <c r="H14" s="80">
        <f>D14/G14</f>
        <v>28561.306666666667</v>
      </c>
      <c r="I14" s="80">
        <f>H14-F14</f>
        <v>-14280.693333333333</v>
      </c>
      <c r="J14" s="11"/>
      <c r="M14" s="19"/>
      <c r="N14" s="19"/>
      <c r="O14" s="19"/>
      <c r="P14" s="19"/>
      <c r="Q14" s="19"/>
      <c r="R14" s="19"/>
      <c r="S14" s="19"/>
      <c r="T14" s="19"/>
      <c r="U14" s="19"/>
      <c r="V14" s="216"/>
    </row>
    <row r="15" spans="1:22" ht="15.3" x14ac:dyDescent="0.55000000000000004">
      <c r="A15" s="87"/>
      <c r="B15" s="80" t="s">
        <v>182</v>
      </c>
      <c r="C15" s="85" t="s">
        <v>177</v>
      </c>
      <c r="D15" s="80">
        <f>173424+242+11852+1200+15972</f>
        <v>202690</v>
      </c>
      <c r="E15" s="86" t="s">
        <v>178</v>
      </c>
      <c r="F15" s="80">
        <f>3468+1.62+237+171+1141</f>
        <v>5018.62</v>
      </c>
      <c r="G15" s="86">
        <v>20</v>
      </c>
      <c r="H15" s="80">
        <f>D15/G15</f>
        <v>10134.5</v>
      </c>
      <c r="I15" s="80">
        <f>H15-F15</f>
        <v>5115.88</v>
      </c>
      <c r="J15" s="11"/>
      <c r="M15" s="19"/>
      <c r="N15" s="305"/>
      <c r="O15" s="306"/>
      <c r="P15" s="306"/>
      <c r="Q15" s="17"/>
      <c r="R15" s="17"/>
      <c r="S15" s="17"/>
      <c r="T15" s="19"/>
      <c r="U15" s="19"/>
      <c r="V15" s="216"/>
    </row>
    <row r="16" spans="1:22" ht="15.3" x14ac:dyDescent="0.55000000000000004">
      <c r="A16" s="84" t="s">
        <v>277</v>
      </c>
      <c r="B16" s="80"/>
      <c r="C16" s="85"/>
      <c r="D16" s="80"/>
      <c r="E16" s="86"/>
      <c r="F16" s="80"/>
      <c r="G16" s="86"/>
      <c r="H16" s="80"/>
      <c r="I16" s="80"/>
      <c r="J16" s="11"/>
      <c r="M16" s="19"/>
      <c r="N16" s="307"/>
      <c r="O16" s="307"/>
      <c r="P16" s="307"/>
      <c r="Q16" s="31"/>
      <c r="R16" s="31"/>
      <c r="S16" s="31"/>
      <c r="T16" s="19"/>
      <c r="U16" s="19"/>
      <c r="V16" s="216"/>
    </row>
    <row r="17" spans="1:22" ht="15.3" x14ac:dyDescent="0.55000000000000004">
      <c r="A17" s="84"/>
      <c r="B17" s="80" t="s">
        <v>278</v>
      </c>
      <c r="C17" s="85" t="s">
        <v>177</v>
      </c>
      <c r="D17" s="80">
        <f>103069+13200+33075+176800+584324</f>
        <v>910468</v>
      </c>
      <c r="E17" s="86" t="s">
        <v>178</v>
      </c>
      <c r="F17" s="80">
        <f>2290+330+827+3536+12985</f>
        <v>19968</v>
      </c>
      <c r="G17" s="86">
        <v>45</v>
      </c>
      <c r="H17" s="80">
        <f>D17/G17</f>
        <v>20232.62222222222</v>
      </c>
      <c r="I17" s="80">
        <f>H17-F17</f>
        <v>264.62222222222044</v>
      </c>
      <c r="J17" s="11"/>
      <c r="M17" s="19"/>
      <c r="N17" s="307"/>
      <c r="O17" s="307"/>
      <c r="P17" s="307"/>
      <c r="Q17" s="31"/>
      <c r="R17" s="31"/>
      <c r="S17" s="31"/>
      <c r="T17" s="19"/>
      <c r="U17" s="19"/>
      <c r="V17" s="216"/>
    </row>
    <row r="18" spans="1:22" ht="15.3" x14ac:dyDescent="0.55000000000000004">
      <c r="A18" s="87"/>
      <c r="B18" s="80" t="s">
        <v>279</v>
      </c>
      <c r="C18" s="85" t="s">
        <v>177</v>
      </c>
      <c r="D18" s="80">
        <f>590105+10248953+11612-(448+267155+268569+10805)-D17</f>
        <v>9393225</v>
      </c>
      <c r="E18" s="86" t="s">
        <v>178</v>
      </c>
      <c r="F18" s="80">
        <f>12022+208663+232-F17</f>
        <v>200949</v>
      </c>
      <c r="G18" s="86">
        <v>62.5</v>
      </c>
      <c r="H18" s="80">
        <f>D18/G18</f>
        <v>150291.6</v>
      </c>
      <c r="I18" s="80">
        <f>H18-F18</f>
        <v>-50657.399999999994</v>
      </c>
      <c r="J18" s="11"/>
      <c r="M18" s="19"/>
      <c r="N18" s="17"/>
      <c r="O18" s="31"/>
      <c r="P18" s="31"/>
      <c r="Q18" s="308"/>
      <c r="R18" s="31"/>
      <c r="S18" s="31"/>
      <c r="T18" s="19"/>
      <c r="U18" s="19"/>
      <c r="V18" s="216"/>
    </row>
    <row r="19" spans="1:22" ht="15.3" x14ac:dyDescent="0.55000000000000004">
      <c r="A19" s="84" t="s">
        <v>280</v>
      </c>
      <c r="B19" s="80"/>
      <c r="C19" s="85"/>
      <c r="D19" s="80"/>
      <c r="E19" s="86"/>
      <c r="F19" s="80"/>
      <c r="G19" s="86"/>
      <c r="H19" s="80"/>
      <c r="I19" s="80"/>
      <c r="J19" s="11"/>
      <c r="M19" s="19"/>
      <c r="N19" s="17"/>
      <c r="O19" s="17"/>
      <c r="P19" s="17"/>
      <c r="Q19" s="17"/>
      <c r="R19" s="309"/>
      <c r="S19" s="17"/>
      <c r="T19" s="19"/>
      <c r="U19" s="19"/>
      <c r="V19" s="216"/>
    </row>
    <row r="20" spans="1:22" ht="15.3" x14ac:dyDescent="0.55000000000000004">
      <c r="A20" s="87"/>
      <c r="B20" s="80" t="s">
        <v>281</v>
      </c>
      <c r="C20" s="85" t="s">
        <v>177</v>
      </c>
      <c r="D20" s="80">
        <f>1247000+31720</f>
        <v>1278720</v>
      </c>
      <c r="E20" s="86">
        <v>15</v>
      </c>
      <c r="F20" s="80">
        <v>85248</v>
      </c>
      <c r="G20" s="86">
        <v>20</v>
      </c>
      <c r="H20" s="80">
        <f>D20/G20</f>
        <v>63936</v>
      </c>
      <c r="I20" s="80">
        <f>H20-F20</f>
        <v>-21312</v>
      </c>
      <c r="J20" s="11"/>
      <c r="M20" s="19"/>
      <c r="N20" s="17"/>
      <c r="O20" s="17"/>
      <c r="P20" s="17"/>
      <c r="Q20" s="17"/>
      <c r="R20" s="309"/>
      <c r="S20" s="17"/>
      <c r="T20" s="19"/>
      <c r="U20" s="19"/>
      <c r="V20" s="216"/>
    </row>
    <row r="21" spans="1:22" ht="15.3" x14ac:dyDescent="0.55000000000000004">
      <c r="A21" s="84" t="s">
        <v>294</v>
      </c>
      <c r="B21" s="80"/>
      <c r="C21" s="85"/>
      <c r="D21" s="80"/>
      <c r="E21" s="86"/>
      <c r="F21" s="80"/>
      <c r="G21" s="86"/>
      <c r="H21" s="80"/>
      <c r="I21" s="80"/>
      <c r="J21" s="11"/>
      <c r="M21" s="19"/>
      <c r="N21" s="17"/>
      <c r="O21" s="17"/>
      <c r="P21" s="17"/>
      <c r="Q21" s="17"/>
      <c r="R21" s="309"/>
      <c r="S21" s="17"/>
      <c r="T21" s="19"/>
      <c r="U21" s="19"/>
      <c r="V21" s="216"/>
    </row>
    <row r="22" spans="1:22" ht="15.3" x14ac:dyDescent="0.55000000000000004">
      <c r="A22" s="87"/>
      <c r="B22" s="80" t="s">
        <v>176</v>
      </c>
      <c r="C22" s="85" t="s">
        <v>177</v>
      </c>
      <c r="D22" s="80">
        <f>(123835-11612)+16661+26197+21409</f>
        <v>176490</v>
      </c>
      <c r="E22" s="86" t="s">
        <v>178</v>
      </c>
      <c r="F22" s="80">
        <f>(2477-232)+4285</f>
        <v>6530</v>
      </c>
      <c r="G22" s="86">
        <v>40</v>
      </c>
      <c r="H22" s="80">
        <f>D22/G22</f>
        <v>4412.25</v>
      </c>
      <c r="I22" s="80">
        <f>H22-F22</f>
        <v>-2117.75</v>
      </c>
      <c r="J22" s="11"/>
      <c r="M22" s="19"/>
      <c r="N22" s="17"/>
      <c r="O22" s="17"/>
      <c r="P22" s="17"/>
      <c r="Q22" s="17"/>
      <c r="R22" s="309"/>
      <c r="S22" s="17"/>
      <c r="T22" s="19"/>
      <c r="U22" s="19"/>
      <c r="V22" s="216"/>
    </row>
    <row r="23" spans="1:22" ht="15.3" x14ac:dyDescent="0.55000000000000004">
      <c r="A23" s="84" t="s">
        <v>282</v>
      </c>
      <c r="B23" s="80"/>
      <c r="C23" s="85"/>
      <c r="D23" s="80"/>
      <c r="E23" s="86"/>
      <c r="F23" s="80"/>
      <c r="G23" s="86"/>
      <c r="H23" s="80"/>
      <c r="I23" s="80"/>
      <c r="J23" s="11"/>
      <c r="M23" s="19"/>
      <c r="N23" s="17"/>
      <c r="O23" s="17"/>
      <c r="P23" s="17"/>
      <c r="Q23" s="17"/>
      <c r="R23" s="309"/>
      <c r="S23" s="17"/>
      <c r="T23" s="19"/>
      <c r="U23" s="19"/>
      <c r="V23" s="216"/>
    </row>
    <row r="24" spans="1:22" ht="15.3" x14ac:dyDescent="0.55000000000000004">
      <c r="A24" s="87"/>
      <c r="B24" s="80" t="s">
        <v>176</v>
      </c>
      <c r="C24" s="85" t="s">
        <v>177</v>
      </c>
      <c r="D24" s="80">
        <f>52310-221-1922+10000</f>
        <v>60167</v>
      </c>
      <c r="E24" s="86" t="s">
        <v>178</v>
      </c>
      <c r="F24" s="80">
        <f>1484+200</f>
        <v>1684</v>
      </c>
      <c r="G24" s="86">
        <v>50</v>
      </c>
      <c r="H24" s="80">
        <f>D24/G24</f>
        <v>1203.3399999999999</v>
      </c>
      <c r="I24" s="80">
        <f>H24-F24</f>
        <v>-480.66000000000008</v>
      </c>
      <c r="J24" s="11"/>
      <c r="M24" s="19"/>
      <c r="N24" s="17"/>
      <c r="O24" s="17"/>
      <c r="P24" s="17"/>
      <c r="Q24" s="17"/>
      <c r="R24" s="309"/>
      <c r="S24" s="17"/>
      <c r="T24" s="19"/>
      <c r="U24" s="19"/>
      <c r="V24" s="216"/>
    </row>
    <row r="25" spans="1:22" ht="15.3" x14ac:dyDescent="0.55000000000000004">
      <c r="A25" s="84" t="s">
        <v>283</v>
      </c>
      <c r="B25" s="80"/>
      <c r="C25" s="85"/>
      <c r="D25" s="80"/>
      <c r="E25" s="86"/>
      <c r="F25" s="80"/>
      <c r="G25" s="86"/>
      <c r="H25" s="80"/>
      <c r="I25" s="80"/>
      <c r="J25" s="11"/>
      <c r="M25" s="19"/>
      <c r="N25" s="17"/>
      <c r="O25" s="17"/>
      <c r="P25" s="17"/>
      <c r="Q25" s="17"/>
      <c r="R25" s="17"/>
      <c r="S25" s="17"/>
      <c r="T25" s="19"/>
      <c r="U25" s="19"/>
      <c r="V25" s="216"/>
    </row>
    <row r="26" spans="1:22" ht="15.3" x14ac:dyDescent="0.55000000000000004">
      <c r="A26" s="87"/>
      <c r="B26" s="80" t="s">
        <v>284</v>
      </c>
      <c r="C26" s="213" t="s">
        <v>285</v>
      </c>
      <c r="D26" s="80">
        <v>14080</v>
      </c>
      <c r="E26" s="86">
        <v>20</v>
      </c>
      <c r="F26" s="80">
        <v>176</v>
      </c>
      <c r="G26" s="86">
        <v>22.5</v>
      </c>
      <c r="H26" s="80">
        <f>D26/G26</f>
        <v>625.77777777777783</v>
      </c>
      <c r="I26" s="80">
        <f>H26-F26</f>
        <v>449.77777777777783</v>
      </c>
      <c r="J26" s="11"/>
      <c r="M26" s="19"/>
      <c r="N26" s="17"/>
      <c r="O26" s="17"/>
      <c r="P26" s="17"/>
      <c r="Q26" s="17"/>
      <c r="R26" s="17"/>
      <c r="S26" s="17"/>
      <c r="T26" s="19"/>
      <c r="U26" s="19"/>
      <c r="V26" s="216"/>
    </row>
    <row r="27" spans="1:22" ht="15.3" x14ac:dyDescent="0.55000000000000004">
      <c r="A27" s="87"/>
      <c r="B27" s="217" t="s">
        <v>286</v>
      </c>
      <c r="C27" s="85" t="s">
        <v>177</v>
      </c>
      <c r="D27" s="80">
        <f>8201+1087+1554</f>
        <v>10842</v>
      </c>
      <c r="E27" s="86">
        <v>5</v>
      </c>
      <c r="F27" s="80">
        <f>547+199+311</f>
        <v>1057</v>
      </c>
      <c r="G27" s="86">
        <v>10</v>
      </c>
      <c r="H27" s="80">
        <f>D27/G27</f>
        <v>1084.2</v>
      </c>
      <c r="I27" s="80">
        <f>H27-F27</f>
        <v>27.200000000000045</v>
      </c>
      <c r="J27" s="11"/>
      <c r="M27" s="19"/>
      <c r="N27" s="17"/>
      <c r="O27" s="17"/>
      <c r="P27" s="17"/>
      <c r="Q27" s="17"/>
      <c r="R27" s="17"/>
      <c r="S27" s="17"/>
      <c r="T27" s="19"/>
      <c r="U27" s="19"/>
      <c r="V27" s="216"/>
    </row>
    <row r="28" spans="1:22" ht="15.3" x14ac:dyDescent="0.55000000000000004">
      <c r="A28" s="84" t="s">
        <v>287</v>
      </c>
      <c r="B28" s="80"/>
      <c r="C28" s="85"/>
      <c r="D28" s="80"/>
      <c r="E28" s="86"/>
      <c r="F28" s="80"/>
      <c r="G28" s="86"/>
      <c r="H28" s="80"/>
      <c r="I28" s="80"/>
      <c r="J28" s="11"/>
      <c r="M28" s="19"/>
      <c r="N28" s="17"/>
      <c r="O28" s="17"/>
      <c r="P28" s="17"/>
      <c r="Q28" s="17"/>
      <c r="R28" s="17"/>
      <c r="S28" s="17"/>
      <c r="T28" s="19"/>
      <c r="U28" s="19"/>
      <c r="V28" s="216"/>
    </row>
    <row r="29" spans="1:22" ht="15.3" x14ac:dyDescent="0.55000000000000004">
      <c r="A29" s="87"/>
      <c r="B29" s="80" t="s">
        <v>176</v>
      </c>
      <c r="C29" s="85" t="s">
        <v>177</v>
      </c>
      <c r="D29" s="80">
        <f>1140+5198+8530+38019+4995+30895+36921+28931+30026+30026+8293+38601+9703+(30448*5)+(33708*3)</f>
        <v>524642</v>
      </c>
      <c r="E29" s="86">
        <v>5</v>
      </c>
      <c r="F29" s="80">
        <v>80348</v>
      </c>
      <c r="G29" s="86">
        <v>7</v>
      </c>
      <c r="H29" s="80">
        <f>D29/G29</f>
        <v>74948.857142857145</v>
      </c>
      <c r="I29" s="80">
        <f>H29-F29</f>
        <v>-5399.1428571428551</v>
      </c>
      <c r="J29" s="11"/>
      <c r="M29" s="19"/>
      <c r="N29" s="17"/>
      <c r="O29" s="17"/>
      <c r="P29" s="17"/>
      <c r="Q29" s="17"/>
      <c r="R29" s="17"/>
      <c r="S29" s="17"/>
      <c r="T29" s="19"/>
      <c r="U29" s="19"/>
      <c r="V29" s="216"/>
    </row>
    <row r="30" spans="1:22" ht="15.3" x14ac:dyDescent="0.55000000000000004">
      <c r="A30" s="84" t="s">
        <v>288</v>
      </c>
      <c r="B30" s="80"/>
      <c r="C30" s="85"/>
      <c r="D30" s="80"/>
      <c r="E30" s="86"/>
      <c r="F30" s="80"/>
      <c r="G30" s="86"/>
      <c r="H30" s="80"/>
      <c r="I30" s="80"/>
      <c r="J30" s="11"/>
      <c r="M30" s="19"/>
      <c r="N30" s="17"/>
      <c r="O30" s="17"/>
      <c r="P30" s="17"/>
      <c r="Q30" s="17"/>
      <c r="R30" s="17"/>
      <c r="S30" s="17"/>
      <c r="T30" s="19"/>
      <c r="U30" s="19"/>
      <c r="V30" s="216"/>
    </row>
    <row r="31" spans="1:22" ht="15.3" x14ac:dyDescent="0.55000000000000004">
      <c r="A31" s="87"/>
      <c r="B31" s="80" t="s">
        <v>176</v>
      </c>
      <c r="C31" s="85" t="s">
        <v>177</v>
      </c>
      <c r="D31" s="80">
        <f>6552+1513+1515+57855+1740+57995+7383+8100</f>
        <v>142653</v>
      </c>
      <c r="E31" s="86" t="s">
        <v>178</v>
      </c>
      <c r="F31" s="80">
        <v>14538</v>
      </c>
      <c r="G31" s="86">
        <v>12.5</v>
      </c>
      <c r="H31" s="80">
        <f>D31/G31</f>
        <v>11412.24</v>
      </c>
      <c r="I31" s="80">
        <f>H31-F31</f>
        <v>-3125.76</v>
      </c>
      <c r="J31" s="11"/>
      <c r="M31" s="19"/>
      <c r="N31" s="19"/>
      <c r="O31" s="19"/>
      <c r="P31" s="19"/>
      <c r="Q31" s="19"/>
      <c r="R31" s="19"/>
      <c r="S31" s="19"/>
      <c r="T31" s="19"/>
      <c r="U31" s="19"/>
      <c r="V31" s="216"/>
    </row>
    <row r="32" spans="1:22" ht="15.3" x14ac:dyDescent="0.55000000000000004">
      <c r="A32" s="84" t="s">
        <v>289</v>
      </c>
      <c r="B32" s="80"/>
      <c r="C32" s="85"/>
      <c r="D32" s="80"/>
      <c r="E32" s="86"/>
      <c r="F32" s="80"/>
      <c r="G32" s="86"/>
      <c r="H32" s="80"/>
      <c r="I32" s="80"/>
      <c r="J32" s="11"/>
      <c r="M32" s="19"/>
      <c r="N32" s="19"/>
      <c r="O32" s="19"/>
      <c r="P32" s="19"/>
      <c r="Q32" s="19"/>
      <c r="R32" s="19"/>
      <c r="S32" s="19"/>
      <c r="T32" s="19"/>
      <c r="U32" s="19"/>
      <c r="V32" s="216"/>
    </row>
    <row r="33" spans="1:22" ht="15.3" x14ac:dyDescent="0.55000000000000004">
      <c r="A33" s="87"/>
      <c r="B33" s="80" t="s">
        <v>176</v>
      </c>
      <c r="C33" s="85" t="s">
        <v>177</v>
      </c>
      <c r="D33" s="80">
        <f>169680+2100+8312</f>
        <v>180092</v>
      </c>
      <c r="E33" s="86" t="s">
        <v>178</v>
      </c>
      <c r="F33" s="80">
        <v>18930</v>
      </c>
      <c r="G33" s="86">
        <v>10</v>
      </c>
      <c r="H33" s="80">
        <f>D33/G33</f>
        <v>18009.2</v>
      </c>
      <c r="I33" s="80">
        <f>H33-F33</f>
        <v>-920.79999999999927</v>
      </c>
      <c r="J33" s="11"/>
      <c r="M33" s="19"/>
      <c r="N33" s="19"/>
      <c r="O33" s="19"/>
      <c r="P33" s="19"/>
      <c r="Q33" s="19"/>
      <c r="R33" s="19"/>
      <c r="S33" s="19"/>
      <c r="T33" s="19"/>
      <c r="U33" s="19"/>
      <c r="V33" s="216"/>
    </row>
    <row r="34" spans="1:22" ht="15.3" x14ac:dyDescent="0.55000000000000004">
      <c r="A34" s="84" t="s">
        <v>290</v>
      </c>
      <c r="B34" s="80"/>
      <c r="C34" s="85"/>
      <c r="D34" s="80"/>
      <c r="E34" s="86"/>
      <c r="F34" s="80"/>
      <c r="G34" s="86"/>
      <c r="H34" s="80"/>
      <c r="I34" s="80"/>
      <c r="J34" s="11"/>
      <c r="M34" s="19"/>
      <c r="N34" s="19"/>
      <c r="O34" s="19"/>
      <c r="P34" s="19"/>
      <c r="Q34" s="19"/>
      <c r="R34" s="19"/>
      <c r="S34" s="19"/>
      <c r="T34" s="19"/>
      <c r="U34" s="19"/>
      <c r="V34" s="216"/>
    </row>
    <row r="35" spans="1:22" ht="15.3" x14ac:dyDescent="0.55000000000000004">
      <c r="A35" s="87"/>
      <c r="B35" s="80" t="s">
        <v>176</v>
      </c>
      <c r="C35" s="85" t="s">
        <v>177</v>
      </c>
      <c r="D35" s="80">
        <f>19800+11300+24500+24500+24500+24500+1000+3500+3500</f>
        <v>137100</v>
      </c>
      <c r="E35" s="86" t="s">
        <v>178</v>
      </c>
      <c r="F35" s="80">
        <v>13810</v>
      </c>
      <c r="G35" s="86">
        <v>17.5</v>
      </c>
      <c r="H35" s="80">
        <f>D35/G35</f>
        <v>7834.2857142857147</v>
      </c>
      <c r="I35" s="80">
        <f>H35-F35</f>
        <v>-5975.7142857142853</v>
      </c>
      <c r="J35" s="11"/>
      <c r="M35" s="19"/>
      <c r="N35" s="19"/>
      <c r="O35" s="19"/>
      <c r="P35" s="19"/>
      <c r="Q35" s="19"/>
      <c r="R35" s="19"/>
      <c r="S35" s="19"/>
      <c r="T35" s="19"/>
      <c r="U35" s="19"/>
      <c r="V35" s="216"/>
    </row>
    <row r="36" spans="1:22" ht="5.0999999999999996" customHeight="1" x14ac:dyDescent="0.5">
      <c r="A36" s="87"/>
      <c r="B36" s="80"/>
      <c r="C36" s="85"/>
      <c r="D36" s="80"/>
      <c r="E36" s="86"/>
      <c r="F36" s="80"/>
      <c r="G36" s="86"/>
      <c r="H36" s="80"/>
      <c r="I36" s="80"/>
      <c r="J36" s="11"/>
    </row>
    <row r="37" spans="1:22" x14ac:dyDescent="0.5">
      <c r="A37" s="87"/>
      <c r="B37" s="88" t="s">
        <v>110</v>
      </c>
      <c r="C37" s="89"/>
      <c r="D37" s="88"/>
      <c r="E37" s="90"/>
      <c r="F37" s="88">
        <f>SUM(F11:F35)</f>
        <v>505322.19</v>
      </c>
      <c r="G37" s="90"/>
      <c r="H37" s="88">
        <f>SUM(H11:H35)</f>
        <v>409457.01463492069</v>
      </c>
      <c r="I37" s="88">
        <f>SUM(I11:I35)</f>
        <v>-95865.175365079369</v>
      </c>
      <c r="J37" s="11"/>
    </row>
    <row r="38" spans="1:22" ht="4" customHeight="1" x14ac:dyDescent="0.5">
      <c r="A38" s="12"/>
      <c r="B38" s="18"/>
      <c r="C38" s="18"/>
      <c r="D38" s="18"/>
      <c r="E38" s="18"/>
      <c r="F38" s="18"/>
      <c r="G38" s="18"/>
      <c r="H38" s="18"/>
      <c r="I38" s="18"/>
      <c r="J38" s="13"/>
    </row>
  </sheetData>
  <mergeCells count="4">
    <mergeCell ref="A7:B7"/>
    <mergeCell ref="E7:F7"/>
    <mergeCell ref="A3:J3"/>
    <mergeCell ref="A4:J4"/>
  </mergeCells>
  <printOptions horizontalCentered="1"/>
  <pageMargins left="0.85" right="0.85" top="1.35" bottom="0.5" header="0.3" footer="0.3"/>
  <pageSetup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9"/>
  <sheetViews>
    <sheetView workbookViewId="0"/>
  </sheetViews>
  <sheetFormatPr defaultColWidth="8.86328125" defaultRowHeight="14.4" x14ac:dyDescent="0.55000000000000004"/>
  <cols>
    <col min="1" max="1" width="3.453125" style="19" customWidth="1"/>
    <col min="2" max="2" width="8.86328125" style="19"/>
    <col min="3" max="5" width="11.08984375" style="19" customWidth="1"/>
    <col min="6" max="6" width="9.31640625" style="19" bestFit="1" customWidth="1"/>
    <col min="7" max="7" width="11" style="19" bestFit="1" customWidth="1"/>
    <col min="8" max="8" width="1.2265625" style="19" customWidth="1"/>
    <col min="9" max="16384" width="8.86328125" style="19"/>
  </cols>
  <sheetData>
    <row r="1" spans="1:8" ht="15.3" x14ac:dyDescent="0.55000000000000004">
      <c r="A1" s="223"/>
      <c r="B1" s="223"/>
      <c r="C1" s="223"/>
      <c r="D1" s="223"/>
      <c r="E1" s="223"/>
      <c r="F1" s="223"/>
      <c r="G1" s="223"/>
      <c r="H1" s="223"/>
    </row>
    <row r="2" spans="1:8" ht="15.3" x14ac:dyDescent="0.55000000000000004">
      <c r="A2" s="223"/>
      <c r="B2" s="227"/>
      <c r="C2" s="228"/>
      <c r="D2" s="228"/>
      <c r="E2" s="228"/>
      <c r="F2" s="228"/>
      <c r="G2" s="228"/>
      <c r="H2" s="229"/>
    </row>
    <row r="3" spans="1:8" ht="18.3" x14ac:dyDescent="0.7">
      <c r="A3" s="223"/>
      <c r="B3" s="236" t="s">
        <v>98</v>
      </c>
      <c r="C3" s="266"/>
      <c r="D3" s="266"/>
      <c r="E3" s="237"/>
      <c r="F3" s="237"/>
      <c r="G3" s="237"/>
      <c r="H3" s="231"/>
    </row>
    <row r="4" spans="1:8" ht="18.3" x14ac:dyDescent="0.7">
      <c r="A4" s="223"/>
      <c r="B4" s="238" t="s">
        <v>206</v>
      </c>
      <c r="C4" s="267"/>
      <c r="D4" s="267"/>
      <c r="E4" s="239"/>
      <c r="F4" s="239"/>
      <c r="G4" s="239"/>
      <c r="H4" s="231"/>
    </row>
    <row r="5" spans="1:8" ht="18.3" x14ac:dyDescent="0.55000000000000004">
      <c r="A5" s="223"/>
      <c r="B5" s="418" t="s">
        <v>217</v>
      </c>
      <c r="C5" s="419"/>
      <c r="D5" s="419"/>
      <c r="E5" s="419"/>
      <c r="F5" s="419"/>
      <c r="G5" s="419"/>
      <c r="H5" s="420"/>
    </row>
    <row r="6" spans="1:8" ht="15.6" x14ac:dyDescent="0.6">
      <c r="A6" s="223"/>
      <c r="B6" s="421" t="s">
        <v>175</v>
      </c>
      <c r="C6" s="422"/>
      <c r="D6" s="422"/>
      <c r="E6" s="422"/>
      <c r="F6" s="422"/>
      <c r="G6" s="422"/>
      <c r="H6" s="423"/>
    </row>
    <row r="7" spans="1:8" ht="15.3" x14ac:dyDescent="0.55000000000000004">
      <c r="A7" s="223"/>
      <c r="B7" s="241"/>
      <c r="C7" s="268"/>
      <c r="D7" s="268"/>
      <c r="E7" s="240"/>
      <c r="F7" s="240"/>
      <c r="G7" s="240"/>
      <c r="H7" s="231"/>
    </row>
    <row r="8" spans="1:8" ht="10" customHeight="1" x14ac:dyDescent="0.55000000000000004">
      <c r="A8" s="223"/>
      <c r="B8" s="242"/>
      <c r="C8" s="242"/>
      <c r="D8" s="260"/>
      <c r="E8" s="242"/>
      <c r="F8" s="259"/>
      <c r="G8" s="242"/>
      <c r="H8" s="229"/>
    </row>
    <row r="9" spans="1:8" ht="17.5" customHeight="1" x14ac:dyDescent="0.85">
      <c r="A9" s="223"/>
      <c r="B9" s="386"/>
      <c r="C9" s="409" t="s">
        <v>408</v>
      </c>
      <c r="D9" s="424"/>
      <c r="E9" s="409" t="s">
        <v>281</v>
      </c>
      <c r="F9" s="424"/>
      <c r="G9" s="386"/>
      <c r="H9" s="231"/>
    </row>
    <row r="10" spans="1:8" ht="7" customHeight="1" x14ac:dyDescent="0.85">
      <c r="A10" s="223"/>
      <c r="B10" s="386"/>
      <c r="C10" s="383"/>
      <c r="D10" s="385"/>
      <c r="E10" s="383"/>
      <c r="F10" s="384"/>
      <c r="G10" s="386"/>
      <c r="H10" s="231"/>
    </row>
    <row r="11" spans="1:8" ht="17.100000000000001" customHeight="1" x14ac:dyDescent="0.85">
      <c r="A11" s="223"/>
      <c r="B11" s="230"/>
      <c r="C11" s="409" t="s">
        <v>215</v>
      </c>
      <c r="D11" s="424"/>
      <c r="E11" s="261" t="s">
        <v>216</v>
      </c>
      <c r="F11" s="262"/>
      <c r="G11" s="230"/>
      <c r="H11" s="231"/>
    </row>
    <row r="12" spans="1:8" ht="17.100000000000001" x14ac:dyDescent="0.85">
      <c r="A12" s="223"/>
      <c r="B12" s="234" t="s">
        <v>207</v>
      </c>
      <c r="C12" s="243" t="s">
        <v>11</v>
      </c>
      <c r="D12" s="263" t="s">
        <v>12</v>
      </c>
      <c r="E12" s="243" t="s">
        <v>11</v>
      </c>
      <c r="F12" s="263" t="s">
        <v>208</v>
      </c>
      <c r="G12" s="243" t="s">
        <v>110</v>
      </c>
      <c r="H12" s="231"/>
    </row>
    <row r="13" spans="1:8" ht="15.3" x14ac:dyDescent="0.55000000000000004">
      <c r="A13" s="223"/>
      <c r="B13" s="244" t="s">
        <v>209</v>
      </c>
      <c r="C13" s="270">
        <f>6*8750+6*9166.67</f>
        <v>107500.02</v>
      </c>
      <c r="D13" s="271">
        <f>6*3222.92+6*2824.79</f>
        <v>36286.259999999995</v>
      </c>
      <c r="E13" s="245">
        <v>130000</v>
      </c>
      <c r="F13" s="264">
        <f>6035*2</f>
        <v>12070</v>
      </c>
      <c r="G13" s="245">
        <f>SUM(C13:F13)</f>
        <v>285856.28000000003</v>
      </c>
      <c r="H13" s="231"/>
    </row>
    <row r="14" spans="1:8" ht="15.3" x14ac:dyDescent="0.55000000000000004">
      <c r="A14" s="223"/>
      <c r="B14" s="244" t="s">
        <v>210</v>
      </c>
      <c r="C14" s="244">
        <f>6*9166.67+6*9583.33</f>
        <v>112500</v>
      </c>
      <c r="D14" s="269">
        <f>6*2824.79+6*2407.71</f>
        <v>31395</v>
      </c>
      <c r="E14" s="246">
        <v>135000</v>
      </c>
      <c r="F14" s="233">
        <f>3240*2</f>
        <v>6480</v>
      </c>
      <c r="G14" s="244">
        <f>SUM(C14:F14)</f>
        <v>285375</v>
      </c>
      <c r="H14" s="231"/>
    </row>
    <row r="15" spans="1:8" ht="15.3" x14ac:dyDescent="0.55000000000000004">
      <c r="A15" s="223"/>
      <c r="B15" s="244" t="s">
        <v>211</v>
      </c>
      <c r="C15" s="244">
        <f>6*9583.33+6*10000</f>
        <v>117499.98</v>
      </c>
      <c r="D15" s="269">
        <f>6*2407.71+6*1971.67</f>
        <v>26276.28</v>
      </c>
      <c r="E15" s="246">
        <v>0</v>
      </c>
      <c r="F15" s="233">
        <v>0</v>
      </c>
      <c r="G15" s="244">
        <f t="shared" ref="G15:G17" si="0">SUM(C15:F15)</f>
        <v>143776.26</v>
      </c>
      <c r="H15" s="231"/>
    </row>
    <row r="16" spans="1:8" ht="15.3" x14ac:dyDescent="0.55000000000000004">
      <c r="A16" s="223"/>
      <c r="B16" s="244" t="s">
        <v>212</v>
      </c>
      <c r="C16" s="244">
        <f>6*10000+6*10416.67</f>
        <v>122500.02</v>
      </c>
      <c r="D16" s="269">
        <f>6*1971.67+6*1516.67</f>
        <v>20930.04</v>
      </c>
      <c r="E16" s="246">
        <v>0</v>
      </c>
      <c r="F16" s="233">
        <v>0</v>
      </c>
      <c r="G16" s="244">
        <f t="shared" si="0"/>
        <v>143430.06</v>
      </c>
      <c r="H16" s="231"/>
    </row>
    <row r="17" spans="1:10" ht="15.3" x14ac:dyDescent="0.55000000000000004">
      <c r="A17" s="223"/>
      <c r="B17" s="244" t="s">
        <v>213</v>
      </c>
      <c r="C17" s="244">
        <f>6*10416.67+11250*6</f>
        <v>130000.02</v>
      </c>
      <c r="D17" s="269">
        <f>6*1516.67+6*1042.71</f>
        <v>15356.28</v>
      </c>
      <c r="E17" s="246">
        <v>0</v>
      </c>
      <c r="F17" s="233">
        <v>0</v>
      </c>
      <c r="G17" s="244">
        <f t="shared" si="0"/>
        <v>145356.30000000002</v>
      </c>
      <c r="H17" s="231"/>
    </row>
    <row r="18" spans="1:10" ht="15.3" x14ac:dyDescent="0.55000000000000004">
      <c r="A18" s="223"/>
      <c r="B18" s="244"/>
      <c r="C18" s="244"/>
      <c r="D18" s="269"/>
      <c r="E18" s="248"/>
      <c r="F18" s="265"/>
      <c r="G18" s="244"/>
      <c r="H18" s="231"/>
    </row>
    <row r="19" spans="1:10" ht="15.3" x14ac:dyDescent="0.55000000000000004">
      <c r="A19" s="223"/>
      <c r="B19" s="249" t="s">
        <v>110</v>
      </c>
      <c r="C19" s="272">
        <f>SUM(C13:C18)</f>
        <v>590000.04</v>
      </c>
      <c r="D19" s="273">
        <f t="shared" ref="D19:F19" si="1">SUM(D13:D18)</f>
        <v>130243.85999999999</v>
      </c>
      <c r="E19" s="274">
        <f t="shared" si="1"/>
        <v>265000</v>
      </c>
      <c r="F19" s="137">
        <f t="shared" si="1"/>
        <v>18550</v>
      </c>
      <c r="G19" s="274">
        <f>SUM(G13:G18)</f>
        <v>1003793.9000000001</v>
      </c>
      <c r="H19" s="231"/>
      <c r="J19" s="19">
        <f>SUM(C19:F19)</f>
        <v>1003793.9</v>
      </c>
    </row>
    <row r="20" spans="1:10" ht="15.3" x14ac:dyDescent="0.55000000000000004">
      <c r="A20" s="223"/>
      <c r="B20" s="250"/>
      <c r="C20" s="250"/>
      <c r="D20" s="252"/>
      <c r="E20" s="250"/>
      <c r="F20" s="251"/>
      <c r="G20" s="250"/>
      <c r="H20" s="232"/>
    </row>
    <row r="21" spans="1:10" ht="15.3" x14ac:dyDescent="0.55000000000000004">
      <c r="A21" s="223"/>
      <c r="B21" s="253"/>
      <c r="C21" s="235"/>
      <c r="D21" s="235"/>
      <c r="E21" s="235"/>
      <c r="F21" s="235"/>
      <c r="G21" s="254"/>
      <c r="H21" s="231"/>
    </row>
    <row r="22" spans="1:10" ht="17.100000000000001" x14ac:dyDescent="0.85">
      <c r="A22" s="223"/>
      <c r="B22" s="253"/>
      <c r="C22" s="235"/>
      <c r="D22" s="235"/>
      <c r="E22" s="384" t="s">
        <v>409</v>
      </c>
      <c r="F22" s="384" t="s">
        <v>407</v>
      </c>
      <c r="G22" s="254"/>
      <c r="H22" s="231"/>
    </row>
    <row r="23" spans="1:10" ht="15.3" x14ac:dyDescent="0.55000000000000004">
      <c r="A23" s="223"/>
      <c r="B23" s="230"/>
      <c r="C23" s="225"/>
      <c r="D23" s="235" t="s">
        <v>174</v>
      </c>
      <c r="E23" s="224">
        <f>(C19+D19)/5</f>
        <v>144048.78</v>
      </c>
      <c r="F23" s="387">
        <f>(E19+F19)/5</f>
        <v>56710</v>
      </c>
      <c r="G23" s="256">
        <f>G19/5</f>
        <v>200758.78000000003</v>
      </c>
      <c r="H23" s="231"/>
      <c r="J23" s="19">
        <f>E23+F23</f>
        <v>200758.78</v>
      </c>
    </row>
    <row r="24" spans="1:10" ht="15.3" x14ac:dyDescent="0.55000000000000004">
      <c r="A24" s="223"/>
      <c r="B24" s="230"/>
      <c r="C24" s="225"/>
      <c r="D24" s="235"/>
      <c r="E24" s="255"/>
      <c r="G24" s="224"/>
      <c r="H24" s="231"/>
    </row>
    <row r="25" spans="1:10" ht="15.3" x14ac:dyDescent="0.55000000000000004">
      <c r="A25" s="223"/>
      <c r="B25" s="230"/>
      <c r="C25" s="225"/>
      <c r="D25" s="235" t="s">
        <v>214</v>
      </c>
      <c r="E25" s="37">
        <f t="shared" ref="E25:F25" si="2">E23*0.2</f>
        <v>28809.756000000001</v>
      </c>
      <c r="F25" s="37">
        <f t="shared" si="2"/>
        <v>11342</v>
      </c>
      <c r="G25" s="255">
        <f>G23*0.2</f>
        <v>40151.756000000008</v>
      </c>
      <c r="H25" s="231"/>
    </row>
    <row r="26" spans="1:10" ht="15.3" x14ac:dyDescent="0.55000000000000004">
      <c r="A26" s="223"/>
      <c r="B26" s="257"/>
      <c r="C26" s="258"/>
      <c r="D26" s="258"/>
      <c r="E26" s="258"/>
      <c r="F26" s="258"/>
      <c r="G26" s="258"/>
      <c r="H26" s="232"/>
    </row>
    <row r="27" spans="1:10" ht="15.3" x14ac:dyDescent="0.55000000000000004">
      <c r="A27" s="223"/>
      <c r="B27" s="247"/>
      <c r="C27" s="247"/>
      <c r="D27" s="247"/>
      <c r="E27" s="247"/>
      <c r="F27" s="247"/>
      <c r="G27" s="247"/>
      <c r="H27" s="223"/>
    </row>
    <row r="29" spans="1:10" x14ac:dyDescent="0.55000000000000004">
      <c r="E29" s="19">
        <f>E23+E25</f>
        <v>172858.53599999999</v>
      </c>
      <c r="F29" s="19">
        <f>F23+F25</f>
        <v>68052</v>
      </c>
    </row>
  </sheetData>
  <mergeCells count="5">
    <mergeCell ref="B5:H5"/>
    <mergeCell ref="B6:H6"/>
    <mergeCell ref="C11:D11"/>
    <mergeCell ref="C9:D9"/>
    <mergeCell ref="E9:F9"/>
  </mergeCells>
  <printOptions horizontalCentered="1"/>
  <pageMargins left="0.7" right="0.7" top="1.2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N46"/>
  <sheetViews>
    <sheetView workbookViewId="0">
      <selection activeCell="Q23" sqref="Q23"/>
    </sheetView>
  </sheetViews>
  <sheetFormatPr defaultColWidth="8.76953125" defaultRowHeight="14.4" x14ac:dyDescent="0.55000000000000004"/>
  <cols>
    <col min="1" max="1" width="8.76953125" style="1"/>
    <col min="2" max="2" width="18.76953125" style="1" customWidth="1"/>
    <col min="3" max="3" width="9.54296875" style="1" customWidth="1"/>
    <col min="4" max="4" width="7" style="19" customWidth="1"/>
    <col min="5" max="5" width="10.54296875" style="1" customWidth="1"/>
    <col min="6" max="8" width="7.54296875" style="1" customWidth="1"/>
    <col min="9" max="11" width="9.54296875" style="1" customWidth="1"/>
    <col min="12" max="16384" width="8.76953125" style="1"/>
  </cols>
  <sheetData>
    <row r="2" spans="2:11" ht="16.2" x14ac:dyDescent="0.85">
      <c r="E2" s="210" t="s">
        <v>239</v>
      </c>
      <c r="F2" s="303"/>
      <c r="G2" s="303"/>
      <c r="H2" s="303"/>
      <c r="I2" s="303" t="s">
        <v>59</v>
      </c>
      <c r="J2" s="303" t="s">
        <v>60</v>
      </c>
      <c r="K2" s="303"/>
    </row>
    <row r="3" spans="2:11" ht="16.2" x14ac:dyDescent="0.85">
      <c r="B3" s="300" t="s">
        <v>240</v>
      </c>
      <c r="C3" s="300" t="s">
        <v>190</v>
      </c>
      <c r="D3" s="210" t="s">
        <v>363</v>
      </c>
      <c r="E3" s="300" t="s">
        <v>364</v>
      </c>
      <c r="F3" s="300" t="s">
        <v>365</v>
      </c>
      <c r="G3" s="300" t="s">
        <v>366</v>
      </c>
      <c r="H3" s="300" t="s">
        <v>367</v>
      </c>
      <c r="I3" s="300" t="s">
        <v>61</v>
      </c>
      <c r="J3" s="300" t="s">
        <v>62</v>
      </c>
      <c r="K3" s="300" t="s">
        <v>40</v>
      </c>
    </row>
    <row r="4" spans="2:11" x14ac:dyDescent="0.55000000000000004">
      <c r="B4" s="297" t="s">
        <v>223</v>
      </c>
      <c r="C4" s="348">
        <f>Adj!P7</f>
        <v>51308.557500000003</v>
      </c>
      <c r="D4" s="348">
        <f>600+550</f>
        <v>1150</v>
      </c>
      <c r="E4" s="349">
        <f>C4+D4</f>
        <v>52458.557500000003</v>
      </c>
      <c r="F4" s="29"/>
      <c r="G4" s="29">
        <v>0.9</v>
      </c>
      <c r="H4" s="29">
        <v>0.1</v>
      </c>
      <c r="I4" s="3">
        <f>$E4*F4</f>
        <v>0</v>
      </c>
      <c r="J4" s="3">
        <f t="shared" ref="J4:K4" si="0">$E4*G4</f>
        <v>47212.70175</v>
      </c>
      <c r="K4" s="3">
        <f t="shared" si="0"/>
        <v>5245.8557500000006</v>
      </c>
    </row>
    <row r="5" spans="2:11" x14ac:dyDescent="0.55000000000000004">
      <c r="B5" s="298" t="s">
        <v>235</v>
      </c>
      <c r="C5" s="348">
        <f>Adj!P8</f>
        <v>45967.263750000006</v>
      </c>
      <c r="D5" s="348">
        <f>600+400</f>
        <v>1000</v>
      </c>
      <c r="E5" s="349">
        <f t="shared" ref="E5:E19" si="1">C5+D5</f>
        <v>46967.263750000006</v>
      </c>
      <c r="F5" s="29">
        <v>0.25</v>
      </c>
      <c r="G5" s="29"/>
      <c r="H5" s="29">
        <v>0.75</v>
      </c>
      <c r="I5" s="3">
        <f t="shared" ref="I5:I16" si="2">$E5*F5</f>
        <v>11741.815937500001</v>
      </c>
      <c r="J5" s="3">
        <f t="shared" ref="J5:J16" si="3">$E5*G5</f>
        <v>0</v>
      </c>
      <c r="K5" s="3">
        <f t="shared" ref="K5:K16" si="4">$E5*H5</f>
        <v>35225.447812500002</v>
      </c>
    </row>
    <row r="6" spans="2:11" x14ac:dyDescent="0.55000000000000004">
      <c r="B6" s="298" t="s">
        <v>224</v>
      </c>
      <c r="C6" s="348">
        <f>Adj!P9</f>
        <v>41038.177500000005</v>
      </c>
      <c r="D6" s="348">
        <f t="shared" ref="D6:D7" si="5">600+400</f>
        <v>1000</v>
      </c>
      <c r="E6" s="349">
        <f t="shared" si="1"/>
        <v>42038.177500000005</v>
      </c>
      <c r="F6" s="29">
        <v>0.25</v>
      </c>
      <c r="G6" s="29"/>
      <c r="H6" s="29">
        <v>0.75</v>
      </c>
      <c r="I6" s="3">
        <f t="shared" si="2"/>
        <v>10509.544375000001</v>
      </c>
      <c r="J6" s="3">
        <f t="shared" si="3"/>
        <v>0</v>
      </c>
      <c r="K6" s="3">
        <f t="shared" si="4"/>
        <v>31528.633125000004</v>
      </c>
    </row>
    <row r="7" spans="2:11" x14ac:dyDescent="0.55000000000000004">
      <c r="B7" s="298" t="s">
        <v>225</v>
      </c>
      <c r="C7" s="348">
        <f>Adj!P10</f>
        <v>42820.181250000001</v>
      </c>
      <c r="D7" s="348">
        <f t="shared" si="5"/>
        <v>1000</v>
      </c>
      <c r="E7" s="349">
        <f t="shared" si="1"/>
        <v>43820.181250000001</v>
      </c>
      <c r="F7" s="29">
        <v>0.2</v>
      </c>
      <c r="G7" s="29">
        <v>0.05</v>
      </c>
      <c r="H7" s="29">
        <v>0.75</v>
      </c>
      <c r="I7" s="3">
        <f t="shared" si="2"/>
        <v>8764.036250000001</v>
      </c>
      <c r="J7" s="3">
        <f t="shared" si="3"/>
        <v>2191.0090625000003</v>
      </c>
      <c r="K7" s="3">
        <f t="shared" si="4"/>
        <v>32865.135937500003</v>
      </c>
    </row>
    <row r="8" spans="2:11" x14ac:dyDescent="0.55000000000000004">
      <c r="B8" s="298" t="s">
        <v>226</v>
      </c>
      <c r="C8" s="348">
        <f>Adj!P11</f>
        <v>1403.1324999999999</v>
      </c>
      <c r="D8" s="348"/>
      <c r="E8" s="349">
        <f t="shared" si="1"/>
        <v>1403.1324999999999</v>
      </c>
      <c r="F8" s="29"/>
      <c r="G8" s="29">
        <v>1</v>
      </c>
      <c r="H8" s="29"/>
      <c r="I8" s="3">
        <f t="shared" si="2"/>
        <v>0</v>
      </c>
      <c r="J8" s="3">
        <f t="shared" si="3"/>
        <v>1403.1324999999999</v>
      </c>
      <c r="K8" s="3">
        <f t="shared" si="4"/>
        <v>0</v>
      </c>
    </row>
    <row r="9" spans="2:11" x14ac:dyDescent="0.55000000000000004">
      <c r="B9" s="298" t="s">
        <v>227</v>
      </c>
      <c r="C9" s="348">
        <f>Adj!P12</f>
        <v>53005.05</v>
      </c>
      <c r="D9" s="348">
        <f>600+550</f>
        <v>1150</v>
      </c>
      <c r="E9" s="349">
        <f t="shared" si="1"/>
        <v>54155.05</v>
      </c>
      <c r="F9" s="29">
        <v>0.85</v>
      </c>
      <c r="G9" s="29"/>
      <c r="H9" s="29">
        <v>0.15</v>
      </c>
      <c r="I9" s="3">
        <f t="shared" si="2"/>
        <v>46031.792500000003</v>
      </c>
      <c r="J9" s="3">
        <f t="shared" si="3"/>
        <v>0</v>
      </c>
      <c r="K9" s="3">
        <f t="shared" si="4"/>
        <v>8123.2574999999997</v>
      </c>
    </row>
    <row r="10" spans="2:11" x14ac:dyDescent="0.55000000000000004">
      <c r="B10" s="298" t="s">
        <v>228</v>
      </c>
      <c r="C10" s="348">
        <f>Adj!P13</f>
        <v>52396.932499999995</v>
      </c>
      <c r="D10" s="348">
        <f>600+400</f>
        <v>1000</v>
      </c>
      <c r="E10" s="349">
        <f t="shared" si="1"/>
        <v>53396.932499999995</v>
      </c>
      <c r="F10" s="29">
        <v>1</v>
      </c>
      <c r="G10" s="29"/>
      <c r="H10" s="29"/>
      <c r="I10" s="3">
        <f t="shared" si="2"/>
        <v>53396.932499999995</v>
      </c>
      <c r="J10" s="3">
        <f t="shared" si="3"/>
        <v>0</v>
      </c>
      <c r="K10" s="3">
        <f t="shared" si="4"/>
        <v>0</v>
      </c>
    </row>
    <row r="11" spans="2:11" x14ac:dyDescent="0.55000000000000004">
      <c r="B11" s="298" t="s">
        <v>229</v>
      </c>
      <c r="C11" s="348">
        <f>Adj!P14</f>
        <v>48477.850000000006</v>
      </c>
      <c r="D11" s="348">
        <f t="shared" ref="D11:D14" si="6">600+400</f>
        <v>1000</v>
      </c>
      <c r="E11" s="349">
        <f t="shared" si="1"/>
        <v>49477.850000000006</v>
      </c>
      <c r="F11" s="29">
        <v>0.9</v>
      </c>
      <c r="G11" s="29"/>
      <c r="H11" s="29">
        <v>0.1</v>
      </c>
      <c r="I11" s="3">
        <f t="shared" si="2"/>
        <v>44530.06500000001</v>
      </c>
      <c r="J11" s="3">
        <f t="shared" si="3"/>
        <v>0</v>
      </c>
      <c r="K11" s="3">
        <f t="shared" si="4"/>
        <v>4947.7850000000008</v>
      </c>
    </row>
    <row r="12" spans="2:11" x14ac:dyDescent="0.55000000000000004">
      <c r="B12" s="298" t="s">
        <v>230</v>
      </c>
      <c r="C12" s="348">
        <f>Adj!P15</f>
        <v>48482.615000000005</v>
      </c>
      <c r="D12" s="348">
        <f t="shared" si="6"/>
        <v>1000</v>
      </c>
      <c r="E12" s="349">
        <f t="shared" si="1"/>
        <v>49482.615000000005</v>
      </c>
      <c r="F12" s="29">
        <v>0.9</v>
      </c>
      <c r="G12" s="29"/>
      <c r="H12" s="29">
        <v>0.1</v>
      </c>
      <c r="I12" s="3">
        <f t="shared" si="2"/>
        <v>44534.353500000005</v>
      </c>
      <c r="J12" s="3">
        <f t="shared" si="3"/>
        <v>0</v>
      </c>
      <c r="K12" s="3">
        <f t="shared" si="4"/>
        <v>4948.2615000000005</v>
      </c>
    </row>
    <row r="13" spans="2:11" x14ac:dyDescent="0.55000000000000004">
      <c r="B13" s="298" t="s">
        <v>231</v>
      </c>
      <c r="C13" s="348">
        <f>Adj!P16</f>
        <v>52702.544999999998</v>
      </c>
      <c r="D13" s="348">
        <f t="shared" si="6"/>
        <v>1000</v>
      </c>
      <c r="E13" s="349">
        <f t="shared" si="1"/>
        <v>53702.544999999998</v>
      </c>
      <c r="F13" s="29">
        <v>0.95</v>
      </c>
      <c r="G13" s="29"/>
      <c r="H13" s="29">
        <v>0.05</v>
      </c>
      <c r="I13" s="3">
        <f t="shared" si="2"/>
        <v>51017.417749999993</v>
      </c>
      <c r="J13" s="3">
        <f t="shared" si="3"/>
        <v>0</v>
      </c>
      <c r="K13" s="3">
        <f t="shared" si="4"/>
        <v>2685.12725</v>
      </c>
    </row>
    <row r="14" spans="2:11" x14ac:dyDescent="0.55000000000000004">
      <c r="B14" s="298" t="s">
        <v>232</v>
      </c>
      <c r="C14" s="348">
        <f>Adj!P17</f>
        <v>48389.872500000005</v>
      </c>
      <c r="D14" s="348">
        <f t="shared" si="6"/>
        <v>1000</v>
      </c>
      <c r="E14" s="349">
        <f t="shared" si="1"/>
        <v>49389.872500000005</v>
      </c>
      <c r="F14" s="29">
        <v>0.9</v>
      </c>
      <c r="G14" s="29"/>
      <c r="H14" s="29">
        <v>0.1</v>
      </c>
      <c r="I14" s="3">
        <f t="shared" si="2"/>
        <v>44450.885250000007</v>
      </c>
      <c r="J14" s="3">
        <f t="shared" si="3"/>
        <v>0</v>
      </c>
      <c r="K14" s="3">
        <f t="shared" si="4"/>
        <v>4938.987250000001</v>
      </c>
    </row>
    <row r="15" spans="2:11" x14ac:dyDescent="0.55000000000000004">
      <c r="B15" s="298" t="s">
        <v>233</v>
      </c>
      <c r="C15" s="348">
        <f>Adj!P18</f>
        <v>64143.509999999995</v>
      </c>
      <c r="D15" s="348">
        <f t="shared" ref="D15:D16" si="7">600+550</f>
        <v>1150</v>
      </c>
      <c r="E15" s="349">
        <f t="shared" si="1"/>
        <v>65293.509999999995</v>
      </c>
      <c r="F15" s="29">
        <v>0.95</v>
      </c>
      <c r="G15" s="29"/>
      <c r="H15" s="29">
        <v>0.05</v>
      </c>
      <c r="I15" s="3">
        <f t="shared" si="2"/>
        <v>62028.83449999999</v>
      </c>
      <c r="J15" s="3">
        <f t="shared" si="3"/>
        <v>0</v>
      </c>
      <c r="K15" s="3">
        <f t="shared" si="4"/>
        <v>3264.6754999999998</v>
      </c>
    </row>
    <row r="16" spans="2:11" ht="16.2" x14ac:dyDescent="0.85">
      <c r="B16" s="298" t="s">
        <v>234</v>
      </c>
      <c r="C16" s="348">
        <f>Adj!P19</f>
        <v>62712</v>
      </c>
      <c r="D16" s="348">
        <f t="shared" si="7"/>
        <v>1150</v>
      </c>
      <c r="E16" s="349">
        <f t="shared" si="1"/>
        <v>63862</v>
      </c>
      <c r="F16" s="29">
        <v>0.2</v>
      </c>
      <c r="G16" s="29">
        <v>0.75</v>
      </c>
      <c r="H16" s="29">
        <v>0.05</v>
      </c>
      <c r="I16" s="211">
        <f t="shared" si="2"/>
        <v>12772.400000000001</v>
      </c>
      <c r="J16" s="211">
        <f t="shared" si="3"/>
        <v>47896.5</v>
      </c>
      <c r="K16" s="211">
        <f t="shared" si="4"/>
        <v>3193.1000000000004</v>
      </c>
    </row>
    <row r="17" spans="2:14" x14ac:dyDescent="0.55000000000000004">
      <c r="B17" s="298"/>
      <c r="C17" s="348"/>
      <c r="D17" s="348"/>
      <c r="E17" s="349"/>
      <c r="F17" s="29"/>
      <c r="G17" s="29"/>
      <c r="H17" s="29"/>
      <c r="I17" s="3">
        <f>SUM(I4:I16)</f>
        <v>389778.07756250002</v>
      </c>
      <c r="J17" s="3">
        <f t="shared" ref="J17:K17" si="8">SUM(J4:J16)</f>
        <v>98703.343312500001</v>
      </c>
      <c r="K17" s="3">
        <f t="shared" si="8"/>
        <v>136966.26662500002</v>
      </c>
      <c r="L17" s="3">
        <f>SUM(I17:K17)</f>
        <v>625447.6875</v>
      </c>
    </row>
    <row r="18" spans="2:14" x14ac:dyDescent="0.55000000000000004">
      <c r="B18" s="298"/>
      <c r="C18" s="348"/>
      <c r="D18" s="348"/>
      <c r="E18" s="349"/>
      <c r="F18" s="29"/>
      <c r="G18" s="29"/>
      <c r="H18" s="29"/>
      <c r="I18" s="404">
        <f>I17/$L$17</f>
        <v>0.62319852699511347</v>
      </c>
      <c r="J18" s="404">
        <f t="shared" ref="J18:K18" si="9">J17/$L$17</f>
        <v>0.15781230834353352</v>
      </c>
      <c r="K18" s="404">
        <f t="shared" si="9"/>
        <v>0.2189891646613531</v>
      </c>
    </row>
    <row r="19" spans="2:14" ht="16.2" x14ac:dyDescent="0.85">
      <c r="B19" s="299" t="s">
        <v>236</v>
      </c>
      <c r="C19" s="348">
        <f>Adj!P20</f>
        <v>67775.680000000008</v>
      </c>
      <c r="D19" s="348">
        <f>600+650</f>
        <v>1250</v>
      </c>
      <c r="E19" s="350">
        <f t="shared" si="1"/>
        <v>69025.680000000008</v>
      </c>
      <c r="F19" s="29"/>
      <c r="G19" s="29"/>
      <c r="H19" s="29"/>
      <c r="I19" s="72">
        <f>$E$19*I18</f>
        <v>43016.702100836068</v>
      </c>
      <c r="J19" s="72">
        <f t="shared" ref="J19:K19" si="10">$E$19*J18</f>
        <v>10893.101895782076</v>
      </c>
      <c r="K19" s="72">
        <f t="shared" si="10"/>
        <v>15115.876003381869</v>
      </c>
    </row>
    <row r="20" spans="2:14" x14ac:dyDescent="0.55000000000000004">
      <c r="E20" s="3">
        <f>SUM(E4:E19)</f>
        <v>694473.36750000005</v>
      </c>
      <c r="I20" s="19">
        <f>I17+I19</f>
        <v>432794.77966333611</v>
      </c>
      <c r="J20" s="19">
        <f t="shared" ref="J20:K20" si="11">J17+J19</f>
        <v>109596.44520828208</v>
      </c>
      <c r="K20" s="19">
        <f t="shared" si="11"/>
        <v>152082.1426283819</v>
      </c>
      <c r="L20" s="3">
        <f>SUM(I20:K20)</f>
        <v>694473.36750000017</v>
      </c>
    </row>
    <row r="22" spans="2:14" x14ac:dyDescent="0.55000000000000004">
      <c r="C22" s="19"/>
      <c r="D22" s="377" t="s">
        <v>419</v>
      </c>
      <c r="E22" s="356"/>
      <c r="F22" s="356"/>
      <c r="G22" s="356"/>
      <c r="H22" s="356"/>
      <c r="I22" s="356"/>
      <c r="N22" s="19"/>
    </row>
    <row r="23" spans="2:14" x14ac:dyDescent="0.55000000000000004">
      <c r="B23" s="19"/>
      <c r="C23" s="19"/>
      <c r="D23" s="356"/>
      <c r="E23" s="356"/>
      <c r="F23" s="403" t="s">
        <v>365</v>
      </c>
      <c r="G23" s="403" t="s">
        <v>366</v>
      </c>
      <c r="H23" s="403" t="s">
        <v>367</v>
      </c>
      <c r="I23" s="356"/>
      <c r="J23" s="19"/>
      <c r="N23" s="19"/>
    </row>
    <row r="24" spans="2:14" x14ac:dyDescent="0.55000000000000004">
      <c r="B24" s="19"/>
      <c r="C24" s="19"/>
      <c r="D24" s="356"/>
      <c r="E24" s="356"/>
      <c r="F24" s="356">
        <f>I20</f>
        <v>432794.77966333611</v>
      </c>
      <c r="G24" s="356">
        <f t="shared" ref="G24:H24" si="12">J20</f>
        <v>109596.44520828208</v>
      </c>
      <c r="H24" s="356">
        <f t="shared" si="12"/>
        <v>152082.1426283819</v>
      </c>
      <c r="I24" s="356"/>
      <c r="J24" s="19"/>
      <c r="K24" s="365" t="s">
        <v>371</v>
      </c>
      <c r="L24" s="356"/>
      <c r="M24" s="356"/>
      <c r="N24" s="19"/>
    </row>
    <row r="25" spans="2:14" ht="16.2" x14ac:dyDescent="0.85">
      <c r="B25" s="19"/>
      <c r="C25" s="19"/>
      <c r="D25" s="356"/>
      <c r="E25" s="356"/>
      <c r="F25" s="357">
        <f>-Adj!V11</f>
        <v>-7335</v>
      </c>
      <c r="G25" s="357">
        <v>0</v>
      </c>
      <c r="H25" s="357">
        <v>0</v>
      </c>
      <c r="I25" s="356"/>
      <c r="J25" s="19"/>
      <c r="K25" s="366">
        <f>J20</f>
        <v>109596.44520828208</v>
      </c>
      <c r="L25" s="367">
        <f>K20</f>
        <v>152082.1426283819</v>
      </c>
      <c r="M25" s="368">
        <f>K25+L25</f>
        <v>261678.587836664</v>
      </c>
      <c r="N25" s="19"/>
    </row>
    <row r="26" spans="2:14" x14ac:dyDescent="0.55000000000000004">
      <c r="B26" s="19"/>
      <c r="C26" s="19"/>
      <c r="D26" s="356"/>
      <c r="E26" s="356"/>
      <c r="F26" s="356">
        <f>+F24+F25</f>
        <v>425459.77966333611</v>
      </c>
      <c r="G26" s="356">
        <f t="shared" ref="G26:H26" si="13">+G24+G25</f>
        <v>109596.44520828208</v>
      </c>
      <c r="H26" s="356">
        <f t="shared" si="13"/>
        <v>152082.1426283819</v>
      </c>
      <c r="I26" s="358">
        <f>SUM(F26:H26)</f>
        <v>687138.36750000017</v>
      </c>
      <c r="J26" s="19"/>
      <c r="K26" s="369">
        <f>K25/$M$25</f>
        <v>0.41882083709764822</v>
      </c>
      <c r="L26" s="370">
        <f>L25/$M$25</f>
        <v>0.58117916290235172</v>
      </c>
      <c r="M26" s="371"/>
      <c r="N26" s="19"/>
    </row>
    <row r="27" spans="2:14" x14ac:dyDescent="0.55000000000000004">
      <c r="B27" s="19"/>
      <c r="C27" s="19"/>
      <c r="D27" s="356"/>
      <c r="E27" s="356">
        <f>0.1*F26</f>
        <v>42545.977966333616</v>
      </c>
      <c r="F27" s="356">
        <f>F26-E27</f>
        <v>382913.80169700249</v>
      </c>
      <c r="G27" s="356"/>
      <c r="H27" s="356"/>
      <c r="I27" s="356"/>
      <c r="J27" s="19"/>
      <c r="K27" s="19"/>
      <c r="L27" s="19"/>
      <c r="M27" s="19"/>
      <c r="N27" s="19"/>
    </row>
    <row r="28" spans="2:14" x14ac:dyDescent="0.55000000000000004">
      <c r="B28" s="19"/>
      <c r="C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2:14" x14ac:dyDescent="0.55000000000000004">
      <c r="B29" s="19"/>
      <c r="C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2:14" x14ac:dyDescent="0.55000000000000004">
      <c r="B30" s="19"/>
      <c r="C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2:14" x14ac:dyDescent="0.55000000000000004">
      <c r="B31" s="19"/>
      <c r="C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2:14" x14ac:dyDescent="0.55000000000000004">
      <c r="B32" s="19"/>
      <c r="C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2:14" x14ac:dyDescent="0.55000000000000004">
      <c r="B33" s="19"/>
      <c r="C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2:14" x14ac:dyDescent="0.55000000000000004">
      <c r="B34" s="19"/>
      <c r="C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2:14" x14ac:dyDescent="0.55000000000000004">
      <c r="B35" s="19"/>
      <c r="C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2:14" x14ac:dyDescent="0.55000000000000004">
      <c r="B36" s="19"/>
      <c r="C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2:14" x14ac:dyDescent="0.55000000000000004">
      <c r="B37" s="19"/>
      <c r="C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2:14" x14ac:dyDescent="0.55000000000000004">
      <c r="B38" s="19"/>
      <c r="C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2:14" x14ac:dyDescent="0.55000000000000004">
      <c r="B39" s="19"/>
      <c r="C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2:14" x14ac:dyDescent="0.55000000000000004">
      <c r="B40" s="19"/>
      <c r="C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2:14" x14ac:dyDescent="0.55000000000000004">
      <c r="B41" s="19"/>
      <c r="C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2:14" x14ac:dyDescent="0.55000000000000004">
      <c r="B42" s="19"/>
      <c r="C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2:14" x14ac:dyDescent="0.55000000000000004">
      <c r="B43" s="19"/>
      <c r="C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2:14" x14ac:dyDescent="0.55000000000000004">
      <c r="B44" s="19"/>
      <c r="C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2:14" x14ac:dyDescent="0.55000000000000004">
      <c r="B45" s="19"/>
      <c r="C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  <row r="46" spans="2:14" x14ac:dyDescent="0.55000000000000004">
      <c r="B46" s="19"/>
      <c r="C46" s="19"/>
      <c r="E46" s="19"/>
      <c r="F46" s="19"/>
      <c r="G46" s="19"/>
      <c r="H46" s="19"/>
      <c r="I46" s="19"/>
      <c r="J46" s="19"/>
      <c r="K46" s="19"/>
      <c r="L46" s="19"/>
      <c r="M46" s="19"/>
      <c r="N46" s="19"/>
    </row>
  </sheetData>
  <printOptions horizontalCentered="1"/>
  <pageMargins left="0.2" right="0.2" top="0.75" bottom="0.75" header="0.3" footer="0.3"/>
  <pageSetup scale="9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42"/>
  <sheetViews>
    <sheetView topLeftCell="A13" workbookViewId="0">
      <selection activeCell="L32" sqref="L32"/>
    </sheetView>
  </sheetViews>
  <sheetFormatPr defaultRowHeight="15" x14ac:dyDescent="0.5"/>
  <cols>
    <col min="2" max="2" width="2.6796875" customWidth="1"/>
    <col min="3" max="5" width="9.6796875" customWidth="1"/>
    <col min="6" max="6" width="10.76953125" customWidth="1"/>
    <col min="7" max="8" width="9.6796875" customWidth="1"/>
    <col min="9" max="9" width="2.76953125" customWidth="1"/>
    <col min="11" max="11" width="9.86328125" bestFit="1" customWidth="1"/>
    <col min="12" max="12" width="9" bestFit="1" customWidth="1"/>
    <col min="15" max="15" width="10" customWidth="1"/>
  </cols>
  <sheetData>
    <row r="1" spans="1:20" ht="15.3" x14ac:dyDescent="0.55000000000000004">
      <c r="A1" s="1"/>
      <c r="B1" s="110"/>
      <c r="C1" s="111"/>
      <c r="D1" s="111"/>
      <c r="E1" s="111"/>
      <c r="F1" s="111"/>
      <c r="G1" s="111"/>
      <c r="H1" s="111"/>
      <c r="I1" s="112"/>
      <c r="J1" s="1"/>
      <c r="K1" s="1"/>
      <c r="L1" s="1"/>
      <c r="M1" s="1"/>
    </row>
    <row r="2" spans="1:20" ht="18.3" x14ac:dyDescent="0.7">
      <c r="A2" s="1"/>
      <c r="B2" s="113"/>
      <c r="C2" s="425" t="s">
        <v>166</v>
      </c>
      <c r="D2" s="425"/>
      <c r="E2" s="425"/>
      <c r="F2" s="425"/>
      <c r="G2" s="425"/>
      <c r="H2" s="425"/>
      <c r="I2" s="171"/>
      <c r="J2" s="1"/>
      <c r="K2" s="1"/>
      <c r="L2" s="1"/>
      <c r="M2" s="1"/>
    </row>
    <row r="3" spans="1:20" ht="18.3" x14ac:dyDescent="0.7">
      <c r="A3" s="1"/>
      <c r="B3" s="113"/>
      <c r="C3" s="4" t="s">
        <v>63</v>
      </c>
      <c r="D3" s="180"/>
      <c r="E3" s="180"/>
      <c r="F3" s="180"/>
      <c r="G3" s="180"/>
      <c r="H3" s="180"/>
      <c r="I3" s="171"/>
      <c r="J3" s="1"/>
      <c r="K3" s="1"/>
      <c r="L3" s="1"/>
      <c r="M3" s="1"/>
    </row>
    <row r="4" spans="1:20" ht="15.6" x14ac:dyDescent="0.55000000000000004">
      <c r="A4" s="1"/>
      <c r="B4" s="113"/>
      <c r="C4" s="426" t="s">
        <v>217</v>
      </c>
      <c r="D4" s="426"/>
      <c r="E4" s="426"/>
      <c r="F4" s="426"/>
      <c r="G4" s="426"/>
      <c r="H4" s="426"/>
      <c r="I4" s="15"/>
      <c r="J4" s="7"/>
      <c r="K4" s="7"/>
      <c r="L4" s="1"/>
      <c r="M4" s="1"/>
    </row>
    <row r="5" spans="1:20" ht="15.6" x14ac:dyDescent="0.55000000000000004">
      <c r="A5" s="1"/>
      <c r="B5" s="113"/>
      <c r="C5" s="176"/>
      <c r="D5" s="176"/>
      <c r="E5" s="176"/>
      <c r="F5" s="176"/>
      <c r="G5" s="176"/>
      <c r="H5" s="176"/>
      <c r="I5" s="15"/>
      <c r="J5" s="7"/>
      <c r="K5" s="7"/>
      <c r="L5" s="1"/>
      <c r="M5" s="1"/>
    </row>
    <row r="6" spans="1:20" ht="15.6" x14ac:dyDescent="0.6">
      <c r="A6" s="1"/>
      <c r="B6" s="113"/>
      <c r="C6" s="177"/>
      <c r="D6" s="177"/>
      <c r="E6" s="177"/>
      <c r="F6" s="177"/>
      <c r="G6" s="177"/>
      <c r="H6" s="177"/>
      <c r="I6" s="171"/>
      <c r="J6" s="1"/>
      <c r="K6" s="1"/>
      <c r="L6" s="1"/>
      <c r="M6" s="1"/>
    </row>
    <row r="7" spans="1:20" ht="15.6" x14ac:dyDescent="0.6">
      <c r="A7" s="1"/>
      <c r="B7" s="113"/>
      <c r="C7" s="178" t="s">
        <v>64</v>
      </c>
      <c r="D7" s="178"/>
      <c r="E7" s="175"/>
      <c r="F7" s="175"/>
      <c r="G7" s="175"/>
      <c r="H7" s="175"/>
      <c r="I7" s="171"/>
      <c r="J7" s="1"/>
      <c r="K7" s="1"/>
      <c r="L7" s="1"/>
      <c r="M7" s="1"/>
    </row>
    <row r="8" spans="1:20" ht="7" customHeight="1" x14ac:dyDescent="0.6">
      <c r="A8" s="1"/>
      <c r="B8" s="113"/>
      <c r="C8" s="179"/>
      <c r="D8" s="179"/>
      <c r="E8" s="179"/>
      <c r="F8" s="179"/>
      <c r="G8" s="179"/>
      <c r="H8" s="179"/>
      <c r="I8" s="171"/>
      <c r="J8" s="1"/>
      <c r="K8" s="1"/>
      <c r="L8" s="1"/>
      <c r="M8" s="1"/>
    </row>
    <row r="9" spans="1:20" ht="15.3" x14ac:dyDescent="0.55000000000000004">
      <c r="A9" s="1"/>
      <c r="B9" s="113"/>
      <c r="C9" s="150"/>
      <c r="D9" s="5" t="s">
        <v>65</v>
      </c>
      <c r="E9" s="5"/>
      <c r="F9" s="5"/>
      <c r="G9" s="151" t="s">
        <v>66</v>
      </c>
      <c r="H9" s="5"/>
      <c r="I9" s="171"/>
      <c r="J9" s="19"/>
      <c r="K9" s="19"/>
      <c r="L9" s="19"/>
      <c r="M9" s="19"/>
      <c r="N9" s="2"/>
      <c r="O9" s="2"/>
      <c r="P9" s="2"/>
      <c r="Q9" s="2"/>
      <c r="R9" s="2"/>
      <c r="S9" s="2"/>
      <c r="T9" s="2"/>
    </row>
    <row r="10" spans="1:20" ht="15.3" x14ac:dyDescent="0.55000000000000004">
      <c r="A10" s="1"/>
      <c r="B10" s="113"/>
      <c r="C10" s="152" t="s">
        <v>67</v>
      </c>
      <c r="D10" s="153" t="s">
        <v>68</v>
      </c>
      <c r="E10" s="153" t="s">
        <v>69</v>
      </c>
      <c r="F10" s="153" t="s">
        <v>70</v>
      </c>
      <c r="G10" s="154" t="s">
        <v>69</v>
      </c>
      <c r="H10" s="153" t="s">
        <v>70</v>
      </c>
      <c r="I10" s="171"/>
      <c r="J10" s="19"/>
      <c r="K10" s="19"/>
      <c r="L10" s="344">
        <v>6</v>
      </c>
      <c r="M10" s="344">
        <v>8</v>
      </c>
      <c r="N10" s="345">
        <v>10</v>
      </c>
      <c r="O10" s="345">
        <v>12</v>
      </c>
      <c r="P10" s="345">
        <v>16</v>
      </c>
      <c r="Q10" s="2"/>
      <c r="R10" s="2"/>
      <c r="S10" s="2"/>
      <c r="T10" s="2"/>
    </row>
    <row r="11" spans="1:20" ht="15.3" x14ac:dyDescent="0.55000000000000004">
      <c r="A11" s="1"/>
      <c r="B11" s="113"/>
      <c r="C11" s="152" t="s">
        <v>71</v>
      </c>
      <c r="D11" s="152" t="s">
        <v>72</v>
      </c>
      <c r="E11" s="152" t="s">
        <v>73</v>
      </c>
      <c r="F11" s="152" t="s">
        <v>74</v>
      </c>
      <c r="G11" s="155" t="s">
        <v>73</v>
      </c>
      <c r="H11" s="152" t="s">
        <v>74</v>
      </c>
      <c r="I11" s="171"/>
      <c r="J11" s="19"/>
      <c r="K11" s="1"/>
      <c r="L11" s="317">
        <v>18.600000000000001</v>
      </c>
      <c r="M11" s="317">
        <v>47</v>
      </c>
      <c r="N11" s="346">
        <v>43.1</v>
      </c>
      <c r="O11" s="346">
        <v>34.9</v>
      </c>
      <c r="P11" s="346">
        <v>0.9</v>
      </c>
      <c r="Q11" s="2"/>
      <c r="R11" s="2"/>
      <c r="S11" s="2"/>
      <c r="T11" s="2"/>
    </row>
    <row r="12" spans="1:20" ht="15.3" x14ac:dyDescent="0.55000000000000004">
      <c r="A12" s="1"/>
      <c r="B12" s="113"/>
      <c r="C12" s="150"/>
      <c r="D12" s="150"/>
      <c r="E12" s="150"/>
      <c r="F12" s="150"/>
      <c r="G12" s="156"/>
      <c r="H12" s="150"/>
      <c r="I12" s="171"/>
      <c r="J12" s="19"/>
      <c r="K12" s="19">
        <v>1530</v>
      </c>
      <c r="L12" s="19">
        <f>ROUND(L11*$K$12,-1)</f>
        <v>28460</v>
      </c>
      <c r="M12" s="19">
        <f t="shared" ref="M12:P12" si="0">ROUND(M11*$K$12,-1)</f>
        <v>71910</v>
      </c>
      <c r="N12" s="19">
        <f t="shared" si="0"/>
        <v>65940</v>
      </c>
      <c r="O12" s="19">
        <f t="shared" si="0"/>
        <v>53400</v>
      </c>
      <c r="P12" s="19">
        <f t="shared" si="0"/>
        <v>1380</v>
      </c>
      <c r="Q12" s="2"/>
      <c r="R12" s="2"/>
      <c r="S12" s="2"/>
      <c r="T12" s="2"/>
    </row>
    <row r="13" spans="1:20" ht="15.3" x14ac:dyDescent="0.55000000000000004">
      <c r="A13" s="1"/>
      <c r="B13" s="113"/>
      <c r="C13" s="117">
        <v>16</v>
      </c>
      <c r="D13" s="157">
        <f>E13*5280</f>
        <v>1372.8</v>
      </c>
      <c r="E13" s="158">
        <v>0.26</v>
      </c>
      <c r="F13" s="159">
        <f>E13*C13</f>
        <v>4.16</v>
      </c>
      <c r="G13" s="160">
        <f>P13</f>
        <v>0.26</v>
      </c>
      <c r="H13" s="33">
        <f>G13*C13</f>
        <v>4.16</v>
      </c>
      <c r="I13" s="171"/>
      <c r="J13" s="19"/>
      <c r="K13" s="157">
        <v>5280</v>
      </c>
      <c r="L13" s="28">
        <f>ROUND(L12/$K13,2)</f>
        <v>5.39</v>
      </c>
      <c r="M13" s="28">
        <f t="shared" ref="M13:P13" si="1">ROUND(M12/$K13,2)</f>
        <v>13.62</v>
      </c>
      <c r="N13" s="28">
        <f t="shared" si="1"/>
        <v>12.49</v>
      </c>
      <c r="O13" s="28">
        <f t="shared" si="1"/>
        <v>10.11</v>
      </c>
      <c r="P13" s="28">
        <f t="shared" si="1"/>
        <v>0.26</v>
      </c>
      <c r="Q13" s="2"/>
      <c r="R13" s="2"/>
      <c r="S13" s="2"/>
      <c r="T13" s="2"/>
    </row>
    <row r="14" spans="1:20" ht="15.3" x14ac:dyDescent="0.55000000000000004">
      <c r="A14" s="1"/>
      <c r="B14" s="113"/>
      <c r="C14" s="117">
        <v>12</v>
      </c>
      <c r="D14" s="157">
        <f t="shared" ref="D14:D20" si="2">E14*5280</f>
        <v>53380.799999999996</v>
      </c>
      <c r="E14" s="158">
        <f>O13</f>
        <v>10.11</v>
      </c>
      <c r="F14" s="159">
        <f t="shared" ref="F14:F20" si="3">E14*C14</f>
        <v>121.32</v>
      </c>
      <c r="G14" s="160">
        <f>O13</f>
        <v>10.11</v>
      </c>
      <c r="H14" s="33">
        <f t="shared" ref="H14:H17" si="4">G14*C14</f>
        <v>121.32</v>
      </c>
      <c r="I14" s="171"/>
      <c r="J14" s="19"/>
      <c r="K14" s="19"/>
      <c r="L14" s="19"/>
      <c r="M14" s="19"/>
      <c r="N14" s="2"/>
      <c r="O14" s="2"/>
      <c r="P14" s="2"/>
      <c r="Q14" s="2"/>
      <c r="R14" s="2"/>
      <c r="S14" s="2"/>
      <c r="T14" s="2"/>
    </row>
    <row r="15" spans="1:20" ht="15.3" x14ac:dyDescent="0.55000000000000004">
      <c r="A15" s="1"/>
      <c r="B15" s="113"/>
      <c r="C15" s="117">
        <v>10</v>
      </c>
      <c r="D15" s="157">
        <f t="shared" si="2"/>
        <v>92400</v>
      </c>
      <c r="E15" s="158">
        <f>14.8+2.7</f>
        <v>17.5</v>
      </c>
      <c r="F15" s="159">
        <f t="shared" si="3"/>
        <v>175</v>
      </c>
      <c r="G15" s="160">
        <f>N13</f>
        <v>12.49</v>
      </c>
      <c r="H15" s="33">
        <f t="shared" si="4"/>
        <v>124.9</v>
      </c>
      <c r="I15" s="171"/>
      <c r="J15" s="19"/>
      <c r="K15" s="19"/>
      <c r="L15" s="19"/>
      <c r="M15" s="19"/>
      <c r="N15" s="2"/>
      <c r="O15" s="2"/>
      <c r="P15" s="2"/>
      <c r="Q15" s="2"/>
      <c r="R15" s="2"/>
      <c r="S15" s="2"/>
      <c r="T15" s="2"/>
    </row>
    <row r="16" spans="1:20" ht="15.3" x14ac:dyDescent="0.55000000000000004">
      <c r="A16" s="1"/>
      <c r="B16" s="113"/>
      <c r="C16" s="117">
        <v>8</v>
      </c>
      <c r="D16" s="157">
        <f t="shared" si="2"/>
        <v>201696.00000000003</v>
      </c>
      <c r="E16" s="158">
        <f>38.2</f>
        <v>38.200000000000003</v>
      </c>
      <c r="F16" s="159">
        <f t="shared" si="3"/>
        <v>305.60000000000002</v>
      </c>
      <c r="G16" s="160">
        <f>M13</f>
        <v>13.62</v>
      </c>
      <c r="H16" s="33">
        <f t="shared" si="4"/>
        <v>108.96</v>
      </c>
      <c r="I16" s="171"/>
      <c r="J16" s="19"/>
      <c r="K16" s="19"/>
      <c r="L16" s="19"/>
      <c r="M16" s="19"/>
      <c r="N16" s="2"/>
      <c r="O16" s="2"/>
      <c r="P16" s="2"/>
      <c r="Q16" s="2"/>
      <c r="R16" s="2"/>
      <c r="S16" s="2"/>
      <c r="T16" s="2"/>
    </row>
    <row r="17" spans="1:20" ht="15.3" x14ac:dyDescent="0.55000000000000004">
      <c r="A17" s="1"/>
      <c r="B17" s="113"/>
      <c r="C17" s="117">
        <v>6</v>
      </c>
      <c r="D17" s="157">
        <f t="shared" si="2"/>
        <v>946175.99999999988</v>
      </c>
      <c r="E17" s="158">
        <f>148.1+31.1</f>
        <v>179.2</v>
      </c>
      <c r="F17" s="159">
        <f t="shared" si="3"/>
        <v>1075.1999999999998</v>
      </c>
      <c r="G17" s="160">
        <f>L13</f>
        <v>5.39</v>
      </c>
      <c r="H17" s="33">
        <f t="shared" si="4"/>
        <v>32.339999999999996</v>
      </c>
      <c r="I17" s="171"/>
      <c r="J17" s="19"/>
      <c r="K17" s="19"/>
      <c r="L17" s="19"/>
      <c r="M17" s="19"/>
      <c r="N17" s="2"/>
      <c r="O17" s="2"/>
      <c r="P17" s="2"/>
      <c r="Q17" s="2"/>
      <c r="R17" s="2"/>
      <c r="S17" s="2"/>
      <c r="T17" s="2"/>
    </row>
    <row r="18" spans="1:20" ht="15.3" x14ac:dyDescent="0.55000000000000004">
      <c r="A18" s="1"/>
      <c r="B18" s="113"/>
      <c r="C18" s="117">
        <v>4</v>
      </c>
      <c r="D18" s="157">
        <f t="shared" si="2"/>
        <v>173712.00000000003</v>
      </c>
      <c r="E18" s="158">
        <f>22.6+10.3</f>
        <v>32.900000000000006</v>
      </c>
      <c r="F18" s="159">
        <f t="shared" si="3"/>
        <v>131.60000000000002</v>
      </c>
      <c r="G18" s="162"/>
      <c r="H18" s="33"/>
      <c r="I18" s="171"/>
      <c r="J18" s="19"/>
      <c r="K18" s="19"/>
      <c r="L18" s="19"/>
      <c r="M18" s="19"/>
      <c r="N18" s="2"/>
      <c r="O18" s="2"/>
      <c r="P18" s="2"/>
      <c r="Q18" s="2"/>
      <c r="R18" s="2"/>
      <c r="S18" s="2"/>
      <c r="T18" s="2"/>
    </row>
    <row r="19" spans="1:20" ht="15.3" x14ac:dyDescent="0.55000000000000004">
      <c r="A19" s="1"/>
      <c r="B19" s="113"/>
      <c r="C19" s="117">
        <v>3</v>
      </c>
      <c r="D19" s="157">
        <f t="shared" si="2"/>
        <v>474144.00000000006</v>
      </c>
      <c r="E19" s="158">
        <f>70.4+19.4</f>
        <v>89.800000000000011</v>
      </c>
      <c r="F19" s="159">
        <f t="shared" si="3"/>
        <v>269.40000000000003</v>
      </c>
      <c r="G19" s="160"/>
      <c r="H19" s="33"/>
      <c r="I19" s="171"/>
      <c r="J19" s="19"/>
      <c r="K19" s="19"/>
      <c r="L19" s="19"/>
      <c r="M19" s="19"/>
      <c r="N19" s="2"/>
      <c r="O19" s="2"/>
      <c r="P19" s="2"/>
      <c r="Q19" s="2"/>
      <c r="R19" s="2"/>
      <c r="S19" s="2"/>
      <c r="T19" s="2"/>
    </row>
    <row r="20" spans="1:20" ht="15.3" x14ac:dyDescent="0.55000000000000004">
      <c r="A20" s="1"/>
      <c r="B20" s="113"/>
      <c r="C20" s="117">
        <v>2</v>
      </c>
      <c r="D20" s="157">
        <f t="shared" si="2"/>
        <v>412896</v>
      </c>
      <c r="E20" s="158">
        <f>78.2</f>
        <v>78.2</v>
      </c>
      <c r="F20" s="159">
        <f t="shared" si="3"/>
        <v>156.4</v>
      </c>
      <c r="G20" s="160"/>
      <c r="H20" s="33"/>
      <c r="I20" s="171"/>
      <c r="J20" s="19"/>
      <c r="K20" s="19"/>
      <c r="L20" s="19"/>
      <c r="M20" s="19"/>
      <c r="N20" s="2"/>
      <c r="O20" s="2"/>
      <c r="P20" s="2"/>
      <c r="Q20" s="2"/>
      <c r="R20" s="2"/>
      <c r="S20" s="2"/>
      <c r="T20" s="2"/>
    </row>
    <row r="21" spans="1:20" ht="7" customHeight="1" x14ac:dyDescent="0.55000000000000004">
      <c r="A21" s="1"/>
      <c r="B21" s="113"/>
      <c r="C21" s="117"/>
      <c r="D21" s="157"/>
      <c r="E21" s="163"/>
      <c r="F21" s="164"/>
      <c r="G21" s="160"/>
      <c r="H21" s="33"/>
      <c r="I21" s="171"/>
      <c r="J21" s="19"/>
      <c r="K21" s="19"/>
      <c r="L21" s="19"/>
      <c r="M21" s="19"/>
      <c r="N21" s="2"/>
      <c r="O21" s="2"/>
      <c r="P21" s="2"/>
      <c r="Q21" s="2"/>
      <c r="R21" s="2"/>
      <c r="S21" s="2"/>
      <c r="T21" s="2"/>
    </row>
    <row r="22" spans="1:20" ht="15.3" x14ac:dyDescent="0.55000000000000004">
      <c r="A22" s="1"/>
      <c r="B22" s="113"/>
      <c r="C22" s="117" t="s">
        <v>14</v>
      </c>
      <c r="D22" s="157">
        <f>SUM(D13:D21)</f>
        <v>2355777.5999999996</v>
      </c>
      <c r="E22" s="76">
        <f>SUM(E13:E21)</f>
        <v>446.16999999999996</v>
      </c>
      <c r="F22" s="159">
        <f>SUM(F13:F21)</f>
        <v>2238.6799999999998</v>
      </c>
      <c r="G22" s="108">
        <f>SUM(G13:G21)</f>
        <v>41.87</v>
      </c>
      <c r="H22" s="33">
        <f>SUM(H13:H21)</f>
        <v>391.67999999999995</v>
      </c>
      <c r="I22" s="171"/>
      <c r="J22" s="19"/>
      <c r="K22" s="161"/>
      <c r="L22" s="19"/>
      <c r="M22" s="19"/>
      <c r="N22" s="2"/>
      <c r="O22" s="2"/>
      <c r="P22" s="2"/>
      <c r="Q22" s="2"/>
      <c r="R22" s="2"/>
      <c r="S22" s="2"/>
      <c r="T22" s="2"/>
    </row>
    <row r="23" spans="1:20" ht="15.3" x14ac:dyDescent="0.55000000000000004">
      <c r="A23" s="1"/>
      <c r="B23" s="113"/>
      <c r="C23" s="146"/>
      <c r="D23" s="146"/>
      <c r="E23" s="146"/>
      <c r="F23" s="165"/>
      <c r="G23" s="146"/>
      <c r="H23" s="146"/>
      <c r="I23" s="171"/>
      <c r="J23" s="19"/>
      <c r="K23" s="19"/>
      <c r="L23" s="19"/>
      <c r="M23" s="19"/>
      <c r="N23" s="2"/>
      <c r="O23" s="2"/>
      <c r="P23" s="2"/>
      <c r="Q23" s="2"/>
      <c r="R23" s="2"/>
      <c r="S23" s="2"/>
      <c r="T23" s="2"/>
    </row>
    <row r="24" spans="1:20" ht="15.3" x14ac:dyDescent="0.55000000000000004">
      <c r="A24" s="1"/>
      <c r="B24" s="113"/>
      <c r="C24" s="146"/>
      <c r="D24" s="146"/>
      <c r="E24" s="146"/>
      <c r="F24" s="146"/>
      <c r="G24" s="146"/>
      <c r="H24" s="146"/>
      <c r="I24" s="171"/>
      <c r="J24" s="19"/>
      <c r="K24" s="19"/>
      <c r="L24" s="19"/>
      <c r="M24" s="19"/>
      <c r="N24" s="2"/>
      <c r="O24" s="2"/>
      <c r="P24" s="2"/>
      <c r="Q24" s="2"/>
      <c r="R24" s="2"/>
      <c r="S24" s="2"/>
      <c r="T24" s="2"/>
    </row>
    <row r="25" spans="1:20" ht="15.6" x14ac:dyDescent="0.6">
      <c r="A25" s="1"/>
      <c r="B25" s="113"/>
      <c r="C25" s="181"/>
      <c r="D25" s="147" t="s">
        <v>75</v>
      </c>
      <c r="E25" s="147"/>
      <c r="F25" s="147"/>
      <c r="G25" s="147"/>
      <c r="H25" s="166"/>
      <c r="I25" s="171"/>
      <c r="J25" s="19"/>
      <c r="K25" s="19"/>
      <c r="L25" s="19"/>
      <c r="M25" s="19"/>
      <c r="N25" s="2"/>
      <c r="O25" s="2"/>
      <c r="P25" s="2"/>
      <c r="Q25" s="2"/>
      <c r="R25" s="2"/>
      <c r="S25" s="2"/>
      <c r="T25" s="2"/>
    </row>
    <row r="26" spans="1:20" ht="7" customHeight="1" x14ac:dyDescent="0.55000000000000004">
      <c r="A26" s="1"/>
      <c r="B26" s="113"/>
      <c r="C26" s="115"/>
      <c r="D26" s="149"/>
      <c r="E26" s="149"/>
      <c r="F26" s="149"/>
      <c r="G26" s="149"/>
      <c r="H26" s="146"/>
      <c r="I26" s="171"/>
      <c r="J26" s="19"/>
      <c r="K26" s="19"/>
      <c r="L26" s="19"/>
      <c r="M26" s="19"/>
      <c r="N26" s="2"/>
      <c r="O26" s="2"/>
      <c r="P26" s="2"/>
      <c r="Q26" s="2"/>
      <c r="R26" s="2"/>
      <c r="S26" s="2"/>
      <c r="T26" s="2"/>
    </row>
    <row r="27" spans="1:20" ht="15.3" x14ac:dyDescent="0.55000000000000004">
      <c r="A27" s="1"/>
      <c r="B27" s="113"/>
      <c r="C27" s="115"/>
      <c r="D27" s="146"/>
      <c r="E27" s="146"/>
      <c r="F27" s="152" t="s">
        <v>15</v>
      </c>
      <c r="G27" s="152"/>
      <c r="H27" s="146"/>
      <c r="I27" s="171"/>
      <c r="J27" s="19"/>
      <c r="K27" s="19"/>
      <c r="L27" s="19"/>
      <c r="M27" s="19"/>
      <c r="N27" s="2"/>
      <c r="O27" s="2"/>
      <c r="P27" s="2"/>
      <c r="Q27" s="2"/>
      <c r="R27" s="2"/>
      <c r="S27" s="2"/>
      <c r="T27" s="2"/>
    </row>
    <row r="28" spans="1:20" ht="15.3" x14ac:dyDescent="0.55000000000000004">
      <c r="A28" s="1"/>
      <c r="B28" s="113"/>
      <c r="C28" s="115"/>
      <c r="D28" s="146"/>
      <c r="E28" s="146"/>
      <c r="F28" s="152" t="s">
        <v>76</v>
      </c>
      <c r="G28" s="152" t="s">
        <v>9</v>
      </c>
      <c r="H28" s="146"/>
      <c r="I28" s="171"/>
      <c r="J28" s="19"/>
      <c r="K28" s="19"/>
      <c r="L28" s="19"/>
      <c r="M28" s="19"/>
      <c r="N28" s="2"/>
      <c r="O28" s="2"/>
      <c r="P28" s="2"/>
      <c r="Q28" s="2"/>
      <c r="R28" s="2"/>
      <c r="S28" s="2"/>
      <c r="T28" s="2"/>
    </row>
    <row r="29" spans="1:20" ht="7" customHeight="1" x14ac:dyDescent="0.55000000000000004">
      <c r="A29" s="1"/>
      <c r="B29" s="113"/>
      <c r="C29" s="115"/>
      <c r="D29" s="146"/>
      <c r="E29" s="146"/>
      <c r="F29" s="146"/>
      <c r="G29" s="146"/>
      <c r="H29" s="146"/>
      <c r="I29" s="171"/>
      <c r="J29" s="19"/>
      <c r="K29" s="19"/>
      <c r="L29" s="19"/>
      <c r="M29" s="19"/>
      <c r="N29" s="2"/>
      <c r="O29" s="2"/>
      <c r="P29" s="2"/>
      <c r="Q29" s="2"/>
      <c r="R29" s="2"/>
      <c r="S29" s="2"/>
      <c r="T29" s="2"/>
    </row>
    <row r="30" spans="1:20" ht="15.3" x14ac:dyDescent="0.55000000000000004">
      <c r="A30" s="1"/>
      <c r="B30" s="113"/>
      <c r="C30" s="115"/>
      <c r="D30" s="167" t="s">
        <v>360</v>
      </c>
      <c r="E30" s="167"/>
      <c r="F30" s="168">
        <f>Adj!D4</f>
        <v>426810</v>
      </c>
      <c r="G30" s="167"/>
      <c r="H30" s="146"/>
      <c r="I30" s="171"/>
      <c r="J30" s="19"/>
      <c r="K30" s="19"/>
      <c r="L30" s="19"/>
      <c r="M30" s="19"/>
      <c r="N30" s="2"/>
      <c r="O30" s="2"/>
      <c r="P30" s="2"/>
      <c r="Q30" s="2"/>
      <c r="R30" s="2"/>
      <c r="S30" s="2"/>
      <c r="T30" s="2"/>
    </row>
    <row r="31" spans="1:20" ht="15.3" x14ac:dyDescent="0.55000000000000004">
      <c r="A31" s="1"/>
      <c r="B31" s="113"/>
      <c r="C31" s="115"/>
      <c r="D31" s="167" t="s">
        <v>77</v>
      </c>
      <c r="E31" s="167"/>
      <c r="F31" s="168">
        <f>ExBA!G12/1000</f>
        <v>308251.09999999998</v>
      </c>
      <c r="G31" s="167"/>
      <c r="H31" s="146"/>
      <c r="I31" s="171"/>
      <c r="J31" s="19"/>
      <c r="K31" s="19"/>
      <c r="L31" s="19"/>
      <c r="M31" s="19"/>
      <c r="N31" s="2"/>
      <c r="O31" s="2"/>
      <c r="P31" s="2"/>
      <c r="Q31" s="2"/>
      <c r="R31" s="2"/>
      <c r="S31" s="2"/>
      <c r="T31" s="2"/>
    </row>
    <row r="32" spans="1:20" ht="15.3" x14ac:dyDescent="0.55000000000000004">
      <c r="A32" s="1"/>
      <c r="B32" s="113"/>
      <c r="C32" s="115"/>
      <c r="D32" s="167" t="s">
        <v>78</v>
      </c>
      <c r="E32" s="167"/>
      <c r="F32" s="168">
        <f>(Resale!B24+Resale!E24)/1000</f>
        <v>26134.2</v>
      </c>
      <c r="G32" s="167"/>
      <c r="H32" s="150"/>
      <c r="I32" s="171"/>
      <c r="J32" s="19"/>
      <c r="K32" s="19"/>
      <c r="L32" s="134">
        <f>F32/F30</f>
        <v>6.123146130596753E-2</v>
      </c>
      <c r="M32" s="19"/>
      <c r="N32" s="2"/>
      <c r="O32" s="2"/>
      <c r="P32" s="2"/>
      <c r="Q32" s="2"/>
      <c r="R32" s="2"/>
      <c r="S32" s="2"/>
      <c r="T32" s="2"/>
    </row>
    <row r="33" spans="1:20" ht="15.3" x14ac:dyDescent="0.55000000000000004">
      <c r="A33" s="1"/>
      <c r="B33" s="113"/>
      <c r="C33" s="115"/>
      <c r="D33" s="167" t="s">
        <v>79</v>
      </c>
      <c r="E33" s="167"/>
      <c r="F33" s="168">
        <f>SUM(F31:F32)</f>
        <v>334385.3</v>
      </c>
      <c r="G33" s="167"/>
      <c r="H33" s="146"/>
      <c r="I33" s="171"/>
      <c r="J33" s="19"/>
      <c r="K33" s="19"/>
      <c r="L33" s="19"/>
      <c r="M33" s="19"/>
      <c r="N33" s="2"/>
      <c r="O33" s="2"/>
      <c r="P33" s="2"/>
      <c r="Q33" s="2"/>
      <c r="R33" s="2"/>
      <c r="S33" s="2"/>
      <c r="T33" s="2"/>
    </row>
    <row r="34" spans="1:20" ht="7" customHeight="1" x14ac:dyDescent="0.55000000000000004">
      <c r="A34" s="1"/>
      <c r="B34" s="113"/>
      <c r="C34" s="115"/>
      <c r="D34" s="167"/>
      <c r="E34" s="167"/>
      <c r="F34" s="168"/>
      <c r="G34" s="169"/>
      <c r="H34" s="146"/>
      <c r="I34" s="171"/>
      <c r="J34" s="1"/>
      <c r="K34" s="1"/>
      <c r="L34" s="1"/>
      <c r="M34" s="1"/>
    </row>
    <row r="35" spans="1:20" ht="15.3" x14ac:dyDescent="0.55000000000000004">
      <c r="A35" s="1"/>
      <c r="B35" s="113"/>
      <c r="C35" s="115"/>
      <c r="D35" s="167" t="s">
        <v>410</v>
      </c>
      <c r="E35" s="167"/>
      <c r="F35" s="168">
        <f>Adj!C7</f>
        <v>2612</v>
      </c>
      <c r="G35" s="169"/>
      <c r="H35" s="146"/>
      <c r="I35" s="171"/>
      <c r="J35" s="1"/>
      <c r="K35" s="1"/>
      <c r="L35" s="1"/>
      <c r="M35" s="1"/>
    </row>
    <row r="36" spans="1:20" ht="15.3" x14ac:dyDescent="0.55000000000000004">
      <c r="A36" s="1"/>
      <c r="B36" s="113"/>
      <c r="C36" s="115"/>
      <c r="D36" s="167" t="s">
        <v>80</v>
      </c>
      <c r="E36" s="167"/>
      <c r="F36" s="168">
        <f>Adj!C8</f>
        <v>12407</v>
      </c>
      <c r="G36" s="169"/>
      <c r="H36" s="146"/>
      <c r="I36" s="171"/>
      <c r="J36" s="1"/>
      <c r="K36" s="1"/>
      <c r="L36" s="1"/>
      <c r="M36" s="1"/>
    </row>
    <row r="37" spans="1:20" ht="15.3" x14ac:dyDescent="0.55000000000000004">
      <c r="A37" s="1"/>
      <c r="B37" s="113"/>
      <c r="C37" s="115"/>
      <c r="D37" s="167" t="s">
        <v>82</v>
      </c>
      <c r="E37" s="167"/>
      <c r="F37" s="168">
        <f>Adj!C9</f>
        <v>688</v>
      </c>
      <c r="G37" s="169"/>
      <c r="H37" s="146"/>
      <c r="I37" s="171"/>
      <c r="J37" s="1"/>
      <c r="K37" s="172">
        <f>SUM(F35:F37)</f>
        <v>15707</v>
      </c>
      <c r="L37" s="173" t="s">
        <v>150</v>
      </c>
      <c r="M37" s="1"/>
    </row>
    <row r="38" spans="1:20" ht="15.3" x14ac:dyDescent="0.55000000000000004">
      <c r="A38" s="1"/>
      <c r="B38" s="113"/>
      <c r="C38" s="115"/>
      <c r="D38" s="167" t="s">
        <v>81</v>
      </c>
      <c r="E38" s="167"/>
      <c r="F38" s="168">
        <f>F30-F33-K37</f>
        <v>76717.700000000012</v>
      </c>
      <c r="G38" s="169">
        <f>F38/$F$30</f>
        <v>0.17974672570933206</v>
      </c>
      <c r="H38" s="146"/>
      <c r="I38" s="171"/>
      <c r="J38" s="1"/>
      <c r="K38" s="1"/>
      <c r="L38" s="1"/>
      <c r="M38" s="1"/>
    </row>
    <row r="39" spans="1:20" ht="15.3" x14ac:dyDescent="0.55000000000000004">
      <c r="A39" s="1"/>
      <c r="B39" s="132"/>
      <c r="C39" s="166"/>
      <c r="D39" s="166"/>
      <c r="E39" s="170"/>
      <c r="F39" s="166"/>
      <c r="G39" s="166"/>
      <c r="H39" s="166"/>
      <c r="I39" s="174"/>
      <c r="J39" s="1"/>
      <c r="K39" s="1"/>
      <c r="L39" s="1"/>
      <c r="M39" s="1"/>
    </row>
    <row r="40" spans="1:20" ht="15.3" x14ac:dyDescent="0.5500000000000000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20" x14ac:dyDescent="0.5">
      <c r="F41" s="14"/>
    </row>
    <row r="42" spans="1:20" x14ac:dyDescent="0.5">
      <c r="F42" s="14"/>
    </row>
  </sheetData>
  <mergeCells count="2">
    <mergeCell ref="C2:H2"/>
    <mergeCell ref="C4:H4"/>
  </mergeCells>
  <printOptions horizontalCentered="1"/>
  <pageMargins left="0.7" right="0.7" top="1.2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39"/>
  <sheetViews>
    <sheetView workbookViewId="0">
      <selection activeCell="C2" sqref="C2:I2"/>
    </sheetView>
  </sheetViews>
  <sheetFormatPr defaultColWidth="8.86328125" defaultRowHeight="15.6" x14ac:dyDescent="0.6"/>
  <cols>
    <col min="1" max="1" width="8.86328125" style="34"/>
    <col min="2" max="2" width="2.76953125" style="34" customWidth="1"/>
    <col min="3" max="3" width="23.31640625" style="34" customWidth="1"/>
    <col min="4" max="4" width="3.6796875" style="34" customWidth="1"/>
    <col min="5" max="5" width="9.6796875" style="34" customWidth="1"/>
    <col min="6" max="6" width="3.6796875" style="34" customWidth="1"/>
    <col min="7" max="7" width="9.6796875" style="34" customWidth="1"/>
    <col min="8" max="8" width="3.6796875" style="34" customWidth="1"/>
    <col min="9" max="9" width="10.08984375" style="34" customWidth="1"/>
    <col min="10" max="10" width="2.76953125" style="34" customWidth="1"/>
    <col min="11" max="11" width="9.6796875" style="34" customWidth="1"/>
    <col min="12" max="16384" width="8.86328125" style="34"/>
  </cols>
  <sheetData>
    <row r="1" spans="1:11" ht="20.399999999999999" x14ac:dyDescent="0.75">
      <c r="A1" s="1"/>
      <c r="B1" s="110"/>
      <c r="C1" s="427"/>
      <c r="D1" s="427"/>
      <c r="E1" s="427"/>
      <c r="F1" s="427"/>
      <c r="G1" s="427"/>
      <c r="H1" s="427"/>
      <c r="I1" s="427"/>
      <c r="J1" s="182"/>
      <c r="K1" s="183"/>
    </row>
    <row r="2" spans="1:11" ht="18.3" x14ac:dyDescent="0.7">
      <c r="A2" s="1"/>
      <c r="B2" s="113"/>
      <c r="C2" s="425" t="s">
        <v>83</v>
      </c>
      <c r="D2" s="425"/>
      <c r="E2" s="425"/>
      <c r="F2" s="425"/>
      <c r="G2" s="425"/>
      <c r="H2" s="425"/>
      <c r="I2" s="425"/>
      <c r="J2" s="165"/>
      <c r="K2" s="184"/>
    </row>
    <row r="3" spans="1:11" ht="18.3" x14ac:dyDescent="0.7">
      <c r="A3" s="1"/>
      <c r="B3" s="113"/>
      <c r="C3" s="4" t="s">
        <v>84</v>
      </c>
      <c r="D3" s="148"/>
      <c r="E3" s="148"/>
      <c r="F3" s="148"/>
      <c r="G3" s="148"/>
      <c r="H3" s="148"/>
      <c r="I3" s="148"/>
      <c r="J3" s="165"/>
      <c r="K3" s="184"/>
    </row>
    <row r="4" spans="1:11" x14ac:dyDescent="0.6">
      <c r="A4" s="1"/>
      <c r="B4" s="113"/>
      <c r="C4" s="426" t="s">
        <v>217</v>
      </c>
      <c r="D4" s="426"/>
      <c r="E4" s="426"/>
      <c r="F4" s="426"/>
      <c r="G4" s="426"/>
      <c r="H4" s="426"/>
      <c r="I4" s="426"/>
      <c r="J4" s="165"/>
      <c r="K4" s="184"/>
    </row>
    <row r="5" spans="1:11" x14ac:dyDescent="0.6">
      <c r="A5" s="1"/>
      <c r="B5" s="113"/>
      <c r="C5" s="167"/>
      <c r="D5" s="185"/>
      <c r="E5" s="167"/>
      <c r="F5" s="185"/>
      <c r="G5" s="167"/>
      <c r="H5" s="167"/>
      <c r="J5" s="165"/>
      <c r="K5" s="184"/>
    </row>
    <row r="6" spans="1:11" x14ac:dyDescent="0.6">
      <c r="A6" s="1"/>
      <c r="B6" s="113"/>
      <c r="C6" s="167"/>
      <c r="E6" s="167"/>
      <c r="F6" s="185"/>
      <c r="G6" s="167"/>
      <c r="H6" s="167"/>
      <c r="I6" s="186" t="s">
        <v>85</v>
      </c>
      <c r="J6" s="165"/>
      <c r="K6" s="184"/>
    </row>
    <row r="7" spans="1:11" x14ac:dyDescent="0.6">
      <c r="A7" s="1"/>
      <c r="B7" s="113"/>
      <c r="C7" s="167" t="s">
        <v>86</v>
      </c>
      <c r="D7" s="185"/>
      <c r="E7" s="167"/>
      <c r="F7" s="185"/>
      <c r="G7" s="167"/>
      <c r="H7" s="167"/>
      <c r="I7" s="187">
        <f>Sys!G38</f>
        <v>0.17974672570933206</v>
      </c>
      <c r="J7" s="165"/>
      <c r="K7" s="184"/>
    </row>
    <row r="8" spans="1:11" x14ac:dyDescent="0.6">
      <c r="A8" s="1"/>
      <c r="B8" s="113"/>
      <c r="C8" s="167" t="s">
        <v>87</v>
      </c>
      <c r="D8" s="185"/>
      <c r="E8" s="167"/>
      <c r="F8" s="185"/>
      <c r="G8" s="167"/>
      <c r="H8" s="167"/>
      <c r="I8" s="188">
        <f>Sys!H22</f>
        <v>391.67999999999995</v>
      </c>
      <c r="J8" s="165"/>
      <c r="K8" s="1"/>
    </row>
    <row r="9" spans="1:11" x14ac:dyDescent="0.6">
      <c r="A9" s="1"/>
      <c r="B9" s="113"/>
      <c r="C9" s="167" t="s">
        <v>88</v>
      </c>
      <c r="D9" s="185"/>
      <c r="E9" s="167"/>
      <c r="F9" s="185"/>
      <c r="G9" s="167"/>
      <c r="H9" s="167"/>
      <c r="I9" s="188">
        <f>Sys!F22</f>
        <v>2238.6799999999998</v>
      </c>
      <c r="J9" s="165"/>
      <c r="K9" s="1"/>
    </row>
    <row r="10" spans="1:11" x14ac:dyDescent="0.6">
      <c r="A10" s="1"/>
      <c r="B10" s="113"/>
      <c r="C10" s="167" t="s">
        <v>89</v>
      </c>
      <c r="D10" s="185"/>
      <c r="E10" s="167"/>
      <c r="F10" s="185"/>
      <c r="G10" s="167"/>
      <c r="H10" s="167"/>
      <c r="I10" s="189">
        <f>Sys!F32</f>
        <v>26134.2</v>
      </c>
      <c r="J10" s="165"/>
      <c r="K10" s="1"/>
    </row>
    <row r="11" spans="1:11" x14ac:dyDescent="0.6">
      <c r="A11" s="1"/>
      <c r="B11" s="113"/>
      <c r="C11" s="167" t="s">
        <v>90</v>
      </c>
      <c r="D11" s="185"/>
      <c r="E11" s="167"/>
      <c r="F11" s="185"/>
      <c r="G11" s="167"/>
      <c r="H11" s="167"/>
      <c r="I11" s="189">
        <f>Sys!F33</f>
        <v>334385.3</v>
      </c>
      <c r="J11" s="165"/>
      <c r="K11" s="1"/>
    </row>
    <row r="12" spans="1:11" x14ac:dyDescent="0.6">
      <c r="A12" s="1"/>
      <c r="B12" s="113"/>
      <c r="C12" s="167"/>
      <c r="D12" s="185"/>
      <c r="E12" s="167"/>
      <c r="F12" s="185"/>
      <c r="G12" s="167"/>
      <c r="H12" s="167"/>
      <c r="I12" s="187"/>
      <c r="J12" s="165"/>
      <c r="K12" s="1"/>
    </row>
    <row r="13" spans="1:11" x14ac:dyDescent="0.6">
      <c r="A13" s="1"/>
      <c r="B13" s="113"/>
      <c r="C13" s="167"/>
      <c r="D13" s="185"/>
      <c r="E13" s="167"/>
      <c r="F13" s="347">
        <v>1</v>
      </c>
      <c r="H13" s="167"/>
      <c r="I13" s="187"/>
      <c r="J13" s="165"/>
      <c r="K13" s="1"/>
    </row>
    <row r="14" spans="1:11" x14ac:dyDescent="0.6">
      <c r="A14" s="1"/>
      <c r="B14" s="113"/>
      <c r="C14" s="167" t="s">
        <v>372</v>
      </c>
      <c r="D14" s="185"/>
      <c r="E14" s="146" t="s">
        <v>181</v>
      </c>
      <c r="F14" s="146"/>
      <c r="G14" s="146"/>
      <c r="H14" s="185" t="s">
        <v>91</v>
      </c>
      <c r="I14" s="187">
        <f>1/(1-G15)</f>
        <v>1.2191356393728168</v>
      </c>
      <c r="J14" s="165"/>
      <c r="K14" s="1"/>
    </row>
    <row r="15" spans="1:11" x14ac:dyDescent="0.6">
      <c r="A15" s="1"/>
      <c r="B15" s="113"/>
      <c r="C15" s="167"/>
      <c r="D15" s="185"/>
      <c r="E15" s="167">
        <v>1</v>
      </c>
      <c r="F15" s="185" t="s">
        <v>92</v>
      </c>
      <c r="G15" s="191">
        <f>I7</f>
        <v>0.17974672570933206</v>
      </c>
      <c r="H15" s="185"/>
      <c r="I15" s="187"/>
      <c r="J15" s="165"/>
      <c r="K15" s="1"/>
    </row>
    <row r="16" spans="1:11" x14ac:dyDescent="0.6">
      <c r="A16" s="1"/>
      <c r="B16" s="113"/>
      <c r="C16" s="167"/>
      <c r="D16" s="185"/>
      <c r="E16" s="167"/>
      <c r="F16" s="185"/>
      <c r="G16" s="192"/>
      <c r="H16" s="185"/>
      <c r="I16" s="187"/>
      <c r="J16" s="165"/>
      <c r="K16" s="1"/>
    </row>
    <row r="17" spans="1:11" x14ac:dyDescent="0.6">
      <c r="A17" s="1"/>
      <c r="B17" s="113"/>
      <c r="C17" s="167"/>
      <c r="D17" s="185"/>
      <c r="E17" s="167"/>
      <c r="F17" s="146"/>
      <c r="G17" s="193">
        <f>I8</f>
        <v>391.67999999999995</v>
      </c>
      <c r="H17" s="185"/>
      <c r="I17" s="187"/>
      <c r="J17" s="165"/>
      <c r="K17" s="1"/>
    </row>
    <row r="18" spans="1:11" x14ac:dyDescent="0.6">
      <c r="A18" s="1"/>
      <c r="B18" s="113"/>
      <c r="C18" s="167" t="s">
        <v>93</v>
      </c>
      <c r="D18" s="185"/>
      <c r="E18" s="146"/>
      <c r="F18" s="208" t="s">
        <v>361</v>
      </c>
      <c r="G18" s="190"/>
      <c r="H18" s="185" t="s">
        <v>91</v>
      </c>
      <c r="I18" s="187">
        <f>G17/G19</f>
        <v>0.17496024442975325</v>
      </c>
      <c r="J18" s="165"/>
      <c r="K18" s="1"/>
    </row>
    <row r="19" spans="1:11" x14ac:dyDescent="0.6">
      <c r="A19" s="1"/>
      <c r="B19" s="113"/>
      <c r="C19" s="167"/>
      <c r="D19" s="185"/>
      <c r="E19" s="194"/>
      <c r="F19" s="185"/>
      <c r="G19" s="193">
        <f>I9</f>
        <v>2238.6799999999998</v>
      </c>
      <c r="H19" s="185"/>
      <c r="I19" s="187"/>
      <c r="J19" s="165"/>
      <c r="K19" s="1"/>
    </row>
    <row r="20" spans="1:11" x14ac:dyDescent="0.6">
      <c r="A20" s="1"/>
      <c r="B20" s="113"/>
      <c r="C20" s="167"/>
      <c r="D20" s="185"/>
      <c r="E20" s="194"/>
      <c r="F20" s="185"/>
      <c r="G20" s="167"/>
      <c r="H20" s="185"/>
      <c r="I20" s="187"/>
      <c r="J20" s="165"/>
      <c r="K20" s="1"/>
    </row>
    <row r="21" spans="1:11" x14ac:dyDescent="0.6">
      <c r="A21" s="1"/>
      <c r="B21" s="113"/>
      <c r="C21" s="167" t="s">
        <v>151</v>
      </c>
      <c r="D21" s="195"/>
      <c r="E21" s="196">
        <f>I7</f>
        <v>0.17974672570933206</v>
      </c>
      <c r="F21" s="185" t="s">
        <v>94</v>
      </c>
      <c r="G21" s="197">
        <f>I18</f>
        <v>0.17496024442975325</v>
      </c>
      <c r="H21" s="185" t="s">
        <v>91</v>
      </c>
      <c r="I21" s="187">
        <f>E21*G21</f>
        <v>3.1448531065552551E-2</v>
      </c>
      <c r="J21" s="165"/>
      <c r="K21" s="1"/>
    </row>
    <row r="22" spans="1:11" x14ac:dyDescent="0.6">
      <c r="A22" s="1"/>
      <c r="B22" s="113"/>
      <c r="C22" s="167"/>
      <c r="D22" s="195"/>
      <c r="E22" s="196"/>
      <c r="F22" s="185"/>
      <c r="G22" s="197"/>
      <c r="H22" s="185"/>
      <c r="I22" s="187"/>
      <c r="J22" s="165"/>
      <c r="K22" s="1"/>
    </row>
    <row r="23" spans="1:11" x14ac:dyDescent="0.6">
      <c r="A23" s="1"/>
      <c r="B23" s="113"/>
      <c r="C23" s="167"/>
      <c r="D23" s="185"/>
      <c r="E23" s="167"/>
      <c r="F23" s="347">
        <v>1</v>
      </c>
      <c r="H23" s="185"/>
      <c r="I23" s="198"/>
      <c r="J23" s="165"/>
      <c r="K23" s="1"/>
    </row>
    <row r="24" spans="1:11" x14ac:dyDescent="0.6">
      <c r="A24" s="1"/>
      <c r="B24" s="113"/>
      <c r="C24" s="167" t="s">
        <v>373</v>
      </c>
      <c r="D24" s="185"/>
      <c r="E24" s="146" t="s">
        <v>362</v>
      </c>
      <c r="F24" s="146"/>
      <c r="G24" s="146"/>
      <c r="H24" s="185" t="s">
        <v>91</v>
      </c>
      <c r="I24" s="187">
        <f>1/(1-G25)</f>
        <v>1.0324696539876717</v>
      </c>
      <c r="J24" s="165"/>
      <c r="K24" s="1"/>
    </row>
    <row r="25" spans="1:11" x14ac:dyDescent="0.6">
      <c r="A25" s="1"/>
      <c r="B25" s="113"/>
      <c r="C25" s="167"/>
      <c r="D25" s="185"/>
      <c r="E25" s="167">
        <v>1</v>
      </c>
      <c r="F25" s="185" t="s">
        <v>92</v>
      </c>
      <c r="G25" s="191">
        <f>I21</f>
        <v>3.1448531065552551E-2</v>
      </c>
      <c r="H25" s="185"/>
      <c r="I25" s="187"/>
      <c r="J25" s="165"/>
      <c r="K25" s="1"/>
    </row>
    <row r="26" spans="1:11" x14ac:dyDescent="0.6">
      <c r="A26" s="1"/>
      <c r="B26" s="113"/>
      <c r="C26" s="167"/>
      <c r="D26" s="185"/>
      <c r="E26" s="167"/>
      <c r="F26" s="185"/>
      <c r="G26" s="191"/>
      <c r="H26" s="185"/>
      <c r="I26" s="187"/>
      <c r="J26" s="165"/>
      <c r="K26" s="1"/>
    </row>
    <row r="27" spans="1:11" x14ac:dyDescent="0.6">
      <c r="A27" s="1"/>
      <c r="B27" s="113"/>
      <c r="C27" s="167"/>
      <c r="D27" s="185"/>
      <c r="E27" s="199">
        <f>I24</f>
        <v>1.0324696539876717</v>
      </c>
      <c r="F27" s="185"/>
      <c r="G27" s="200">
        <f>$I$10</f>
        <v>26134.2</v>
      </c>
      <c r="H27" s="185"/>
      <c r="I27" s="187"/>
      <c r="J27" s="165"/>
      <c r="K27" s="1"/>
    </row>
    <row r="28" spans="1:11" x14ac:dyDescent="0.6">
      <c r="A28" s="1"/>
      <c r="B28" s="113"/>
      <c r="C28" s="201" t="s">
        <v>374</v>
      </c>
      <c r="D28" s="185"/>
      <c r="E28" s="185" t="s">
        <v>95</v>
      </c>
      <c r="F28" s="185" t="s">
        <v>94</v>
      </c>
      <c r="G28" s="185" t="s">
        <v>95</v>
      </c>
      <c r="H28" s="185" t="s">
        <v>91</v>
      </c>
      <c r="I28" s="202">
        <f>(I24/I14)*(+G27/G29)</f>
        <v>6.6189225887487463E-2</v>
      </c>
      <c r="J28" s="165"/>
      <c r="K28" s="1"/>
    </row>
    <row r="29" spans="1:11" x14ac:dyDescent="0.6">
      <c r="A29" s="1"/>
      <c r="B29" s="113"/>
      <c r="C29" s="167"/>
      <c r="D29" s="185"/>
      <c r="E29" s="199">
        <f>I14</f>
        <v>1.2191356393728168</v>
      </c>
      <c r="F29" s="185"/>
      <c r="G29" s="200">
        <f>$I$11</f>
        <v>334385.3</v>
      </c>
      <c r="H29" s="185"/>
      <c r="I29" s="202"/>
      <c r="J29" s="165"/>
      <c r="K29" s="1"/>
    </row>
    <row r="30" spans="1:11" x14ac:dyDescent="0.6">
      <c r="A30" s="1"/>
      <c r="B30" s="113"/>
      <c r="C30" s="167"/>
      <c r="D30" s="185"/>
      <c r="E30" s="199"/>
      <c r="F30" s="185"/>
      <c r="G30" s="200"/>
      <c r="H30" s="185"/>
      <c r="I30" s="202"/>
      <c r="J30" s="165"/>
      <c r="K30" s="1"/>
    </row>
    <row r="31" spans="1:11" x14ac:dyDescent="0.6">
      <c r="A31" s="1"/>
      <c r="B31" s="113"/>
      <c r="C31" s="167"/>
      <c r="D31" s="185"/>
      <c r="E31" s="200">
        <f>$I$10</f>
        <v>26134.2</v>
      </c>
      <c r="F31" s="185"/>
      <c r="G31" s="167"/>
      <c r="H31" s="185"/>
      <c r="I31" s="202"/>
      <c r="J31" s="165"/>
      <c r="K31" s="1"/>
    </row>
    <row r="32" spans="1:11" x14ac:dyDescent="0.6">
      <c r="A32" s="1"/>
      <c r="B32" s="113"/>
      <c r="C32" s="201" t="s">
        <v>385</v>
      </c>
      <c r="D32" s="185"/>
      <c r="E32" s="185" t="s">
        <v>95</v>
      </c>
      <c r="F32" s="185" t="s">
        <v>94</v>
      </c>
      <c r="G32" s="199">
        <f>I18</f>
        <v>0.17496024442975325</v>
      </c>
      <c r="H32" s="185" t="s">
        <v>91</v>
      </c>
      <c r="I32" s="202">
        <f>(+E31/E33)*I18</f>
        <v>1.3674183703578051E-2</v>
      </c>
      <c r="J32" s="165"/>
      <c r="K32" s="1"/>
    </row>
    <row r="33" spans="1:11" x14ac:dyDescent="0.6">
      <c r="A33" s="1"/>
      <c r="B33" s="113"/>
      <c r="C33" s="167"/>
      <c r="D33" s="185"/>
      <c r="E33" s="200">
        <f>$I$11</f>
        <v>334385.3</v>
      </c>
      <c r="F33" s="185"/>
      <c r="G33" s="167"/>
      <c r="H33" s="185"/>
      <c r="I33" s="202"/>
      <c r="J33" s="165"/>
      <c r="K33" s="1"/>
    </row>
    <row r="34" spans="1:11" x14ac:dyDescent="0.6">
      <c r="A34" s="1"/>
      <c r="B34" s="113"/>
      <c r="C34" s="167"/>
      <c r="D34" s="185"/>
      <c r="E34" s="167"/>
      <c r="F34" s="185"/>
      <c r="G34" s="167"/>
      <c r="H34" s="185"/>
      <c r="I34" s="202"/>
      <c r="J34" s="165"/>
      <c r="K34" s="1"/>
    </row>
    <row r="35" spans="1:11" x14ac:dyDescent="0.6">
      <c r="A35" s="1"/>
      <c r="B35" s="113"/>
      <c r="C35" s="167"/>
      <c r="D35" s="185"/>
      <c r="E35" s="167"/>
      <c r="F35" s="185"/>
      <c r="G35" s="200">
        <f>$I$10</f>
        <v>26134.2</v>
      </c>
      <c r="H35" s="185"/>
      <c r="I35" s="202"/>
      <c r="J35" s="165"/>
      <c r="K35" s="1"/>
    </row>
    <row r="36" spans="1:11" x14ac:dyDescent="0.6">
      <c r="A36" s="1"/>
      <c r="B36" s="113"/>
      <c r="C36" s="201" t="s">
        <v>96</v>
      </c>
      <c r="D36" s="185"/>
      <c r="E36" s="167"/>
      <c r="F36" s="185"/>
      <c r="G36" s="185" t="s">
        <v>95</v>
      </c>
      <c r="H36" s="185" t="s">
        <v>91</v>
      </c>
      <c r="I36" s="202">
        <f>G35/G37</f>
        <v>7.8155947644827695E-2</v>
      </c>
      <c r="J36" s="165"/>
      <c r="K36" s="1"/>
    </row>
    <row r="37" spans="1:11" x14ac:dyDescent="0.6">
      <c r="A37" s="1"/>
      <c r="B37" s="113"/>
      <c r="C37" s="146"/>
      <c r="D37" s="203"/>
      <c r="E37" s="146"/>
      <c r="F37" s="203"/>
      <c r="G37" s="200">
        <f>$I$11</f>
        <v>334385.3</v>
      </c>
      <c r="H37" s="146"/>
      <c r="I37" s="204"/>
      <c r="J37" s="165"/>
      <c r="K37" s="1"/>
    </row>
    <row r="38" spans="1:11" x14ac:dyDescent="0.6">
      <c r="A38" s="1"/>
      <c r="B38" s="132"/>
      <c r="C38" s="166"/>
      <c r="D38" s="205"/>
      <c r="E38" s="166"/>
      <c r="F38" s="205"/>
      <c r="G38" s="166"/>
      <c r="H38" s="166"/>
      <c r="I38" s="166"/>
      <c r="J38" s="206"/>
      <c r="K38" s="1"/>
    </row>
    <row r="39" spans="1:11" x14ac:dyDescent="0.6">
      <c r="A39" s="1"/>
      <c r="B39" s="1"/>
      <c r="C39" s="184"/>
      <c r="D39" s="207"/>
      <c r="E39" s="184"/>
      <c r="F39" s="207"/>
      <c r="G39" s="184"/>
      <c r="H39" s="184"/>
      <c r="I39" s="184"/>
      <c r="J39" s="184"/>
      <c r="K39" s="1"/>
    </row>
  </sheetData>
  <mergeCells count="3">
    <mergeCell ref="C1:I1"/>
    <mergeCell ref="C2:I2"/>
    <mergeCell ref="C4:I4"/>
  </mergeCells>
  <printOptions horizontalCentered="1"/>
  <pageMargins left="0.75" right="0.75" top="1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SAO</vt:lpstr>
      <vt:lpstr>Adj</vt:lpstr>
      <vt:lpstr>H_ins</vt:lpstr>
      <vt:lpstr>Resale</vt:lpstr>
      <vt:lpstr>Depr</vt:lpstr>
      <vt:lpstr>Debt</vt:lpstr>
      <vt:lpstr>Al_Wages</vt:lpstr>
      <vt:lpstr>Sys</vt:lpstr>
      <vt:lpstr>Fac</vt:lpstr>
      <vt:lpstr>Al_DepW</vt:lpstr>
      <vt:lpstr>Whol</vt:lpstr>
      <vt:lpstr>ExBA</vt:lpstr>
      <vt:lpstr>Adj!Print_Area</vt:lpstr>
      <vt:lpstr>Al_DepW!Print_Area</vt:lpstr>
      <vt:lpstr>Debt!Print_Area</vt:lpstr>
      <vt:lpstr>Depr!Print_Area</vt:lpstr>
      <vt:lpstr>ExBA!Print_Area</vt:lpstr>
      <vt:lpstr>Fac!Print_Area</vt:lpstr>
      <vt:lpstr>Resale!Print_Area</vt:lpstr>
      <vt:lpstr>SAO!Print_Area</vt:lpstr>
      <vt:lpstr>Sys!Print_Area</vt:lpstr>
      <vt:lpstr>Whol!Print_Area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AlanV</cp:lastModifiedBy>
  <cp:lastPrinted>2021-04-21T16:35:36Z</cp:lastPrinted>
  <dcterms:created xsi:type="dcterms:W3CDTF">2016-05-18T14:12:06Z</dcterms:created>
  <dcterms:modified xsi:type="dcterms:W3CDTF">2021-05-11T18:15:45Z</dcterms:modified>
</cp:coreProperties>
</file>