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Muhlenberg County WD/"/>
    </mc:Choice>
  </mc:AlternateContent>
  <xr:revisionPtr revIDLastSave="2" documentId="8_{578BA748-5AB6-4409-89A0-DF8F1954E27F}" xr6:coauthVersionLast="47" xr6:coauthVersionMax="47" xr10:uidLastSave="{74097F43-E5E3-44F3-9BAB-B486560B665F}"/>
  <bookViews>
    <workbookView xWindow="-98" yWindow="-98" windowWidth="21795" windowHeight="13875" tabRatio="641" activeTab="2" xr2:uid="{00000000-000D-0000-FFFF-FFFF00000000}"/>
  </bookViews>
  <sheets>
    <sheet name="SAO" sheetId="6" r:id="rId1"/>
    <sheet name="Revenue Requirement" sheetId="62" r:id="rId2"/>
    <sheet name="Depreciation" sheetId="61" r:id="rId3"/>
    <sheet name="Debt Service" sheetId="50" r:id="rId4"/>
    <sheet name="Materials and Supplies" sheetId="60" r:id="rId5"/>
    <sheet name="Software Upgrade" sheetId="59" r:id="rId6"/>
    <sheet name="Wages" sheetId="55" r:id="rId7"/>
    <sheet name="Medical" sheetId="40" r:id="rId8"/>
    <sheet name="Purchased Water" sheetId="54" r:id="rId9"/>
    <sheet name="Rates" sheetId="2" r:id="rId10"/>
    <sheet name="Bills" sheetId="42" r:id="rId11"/>
    <sheet name="ExBA" sheetId="52" r:id="rId12"/>
    <sheet name="PrBA" sheetId="58" r:id="rId13"/>
  </sheets>
  <externalReferences>
    <externalReference r:id="rId14"/>
  </externalReferences>
  <definedNames>
    <definedName name="AHV">#REF!</definedName>
    <definedName name="_xlnm.Print_Area" localSheetId="10">Bills!$B$1:$I$29</definedName>
    <definedName name="_xlnm.Print_Area" localSheetId="3">'Debt Service'!$A$1:$K$22</definedName>
    <definedName name="_xlnm.Print_Area" localSheetId="2">Depreciation!$B$1:$N$47</definedName>
    <definedName name="_xlnm.Print_Area" localSheetId="11">ExBA!$A$1:$J$146</definedName>
    <definedName name="_xlnm.Print_Area" localSheetId="12">PrBA!$A$1:$J$146</definedName>
    <definedName name="_xlnm.Print_Area" localSheetId="9">Rates!$B$1:$P$48</definedName>
    <definedName name="_xlnm.Print_Area" localSheetId="1">'Revenue Requirement'!$A$1:$G$26</definedName>
    <definedName name="_xlnm.Print_Area" localSheetId="0">SAO!$A$1:$G$36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2" l="1"/>
  <c r="E13" i="42"/>
  <c r="E11" i="42"/>
  <c r="E10" i="42"/>
  <c r="E9" i="42"/>
  <c r="E8" i="42"/>
  <c r="C14" i="42"/>
  <c r="M135" i="52"/>
  <c r="C13" i="42"/>
  <c r="C11" i="42"/>
  <c r="C10" i="42"/>
  <c r="C9" i="42"/>
  <c r="C8" i="42"/>
  <c r="M124" i="52"/>
  <c r="M94" i="52"/>
  <c r="M77" i="52"/>
  <c r="M60" i="52"/>
  <c r="M40" i="52"/>
  <c r="G19" i="52"/>
  <c r="G17" i="52"/>
  <c r="G19" i="62"/>
  <c r="G21" i="62" l="1"/>
  <c r="G5" i="62"/>
  <c r="G4" i="62"/>
  <c r="I42" i="61"/>
  <c r="G42" i="61"/>
  <c r="K42" i="61" s="1"/>
  <c r="I41" i="61"/>
  <c r="G41" i="61"/>
  <c r="K41" i="61" s="1"/>
  <c r="I38" i="61"/>
  <c r="G38" i="61"/>
  <c r="K38" i="61" s="1"/>
  <c r="I34" i="61"/>
  <c r="G34" i="61"/>
  <c r="K34" i="61" s="1"/>
  <c r="I33" i="61"/>
  <c r="G33" i="61"/>
  <c r="K33" i="61" s="1"/>
  <c r="I30" i="61"/>
  <c r="G30" i="61"/>
  <c r="K30" i="61" s="1"/>
  <c r="I28" i="61"/>
  <c r="G28" i="61"/>
  <c r="K28" i="61" s="1"/>
  <c r="I27" i="61"/>
  <c r="K27" i="61" s="1"/>
  <c r="L27" i="61" s="1"/>
  <c r="G27" i="61"/>
  <c r="I24" i="61"/>
  <c r="G24" i="61"/>
  <c r="K24" i="61" s="1"/>
  <c r="I23" i="61"/>
  <c r="G23" i="61"/>
  <c r="K23" i="61" s="1"/>
  <c r="L23" i="61" s="1"/>
  <c r="I22" i="61"/>
  <c r="G22" i="61"/>
  <c r="K22" i="61" s="1"/>
  <c r="I14" i="61"/>
  <c r="G14" i="61"/>
  <c r="K14" i="61" s="1"/>
  <c r="I13" i="61"/>
  <c r="G13" i="61"/>
  <c r="K13" i="61" s="1"/>
  <c r="I11" i="61"/>
  <c r="G11" i="61"/>
  <c r="K11" i="61" s="1"/>
  <c r="I10" i="61"/>
  <c r="G10" i="61"/>
  <c r="K10" i="61" s="1"/>
  <c r="K35" i="61"/>
  <c r="L35" i="61" s="1"/>
  <c r="K32" i="61"/>
  <c r="L32" i="61" s="1"/>
  <c r="K31" i="61"/>
  <c r="L31" i="61" s="1"/>
  <c r="K29" i="61"/>
  <c r="L29" i="61" s="1"/>
  <c r="K19" i="61"/>
  <c r="L19" i="61" s="1"/>
  <c r="K18" i="61"/>
  <c r="L18" i="61" s="1"/>
  <c r="K15" i="61"/>
  <c r="L15" i="61" s="1"/>
  <c r="K12" i="61"/>
  <c r="L12" i="61" s="1"/>
  <c r="L41" i="61" l="1"/>
  <c r="L30" i="61"/>
  <c r="L38" i="61"/>
  <c r="L42" i="61"/>
  <c r="L33" i="61"/>
  <c r="L24" i="61"/>
  <c r="L34" i="61"/>
  <c r="L14" i="61"/>
  <c r="L28" i="61"/>
  <c r="G44" i="61"/>
  <c r="L22" i="61"/>
  <c r="L13" i="61"/>
  <c r="I44" i="61"/>
  <c r="L11" i="61"/>
  <c r="L10" i="61"/>
  <c r="L44" i="61" l="1"/>
  <c r="E32" i="6" s="1"/>
  <c r="K44" i="61"/>
  <c r="I17" i="50"/>
  <c r="H14" i="50"/>
  <c r="G14" i="50"/>
  <c r="E14" i="50"/>
  <c r="C14" i="50"/>
  <c r="F12" i="50"/>
  <c r="F14" i="50" s="1"/>
  <c r="D12" i="50"/>
  <c r="D14" i="50" s="1"/>
  <c r="D40" i="54"/>
  <c r="E17" i="6"/>
  <c r="I43" i="55"/>
  <c r="I21" i="55"/>
  <c r="I20" i="55"/>
  <c r="I18" i="55"/>
  <c r="I17" i="55"/>
  <c r="I16" i="55"/>
  <c r="I15" i="55"/>
  <c r="I13" i="55"/>
  <c r="I12" i="55"/>
  <c r="I11" i="55"/>
  <c r="I10" i="55"/>
  <c r="I9" i="55"/>
  <c r="I8" i="55"/>
  <c r="I7" i="55"/>
  <c r="I6" i="55"/>
  <c r="I37" i="55"/>
  <c r="E33" i="6"/>
  <c r="E23" i="6"/>
  <c r="B11" i="59"/>
  <c r="B13" i="59" s="1"/>
  <c r="C10" i="59"/>
  <c r="C11" i="59" s="1"/>
  <c r="C13" i="59" s="1"/>
  <c r="E22" i="6"/>
  <c r="E8" i="60"/>
  <c r="E6" i="60"/>
  <c r="E5" i="60"/>
  <c r="E4" i="60"/>
  <c r="D6" i="60"/>
  <c r="C6" i="60"/>
  <c r="E82" i="52"/>
  <c r="F6" i="52"/>
  <c r="B8" i="55"/>
  <c r="B10" i="55"/>
  <c r="B12" i="55"/>
  <c r="B19" i="55"/>
  <c r="B18" i="55"/>
  <c r="F46" i="2"/>
  <c r="F42" i="2"/>
  <c r="F43" i="2"/>
  <c r="F41" i="2"/>
  <c r="D42" i="2"/>
  <c r="J42" i="2" s="1"/>
  <c r="D43" i="2"/>
  <c r="J43" i="2" s="1"/>
  <c r="D41" i="2"/>
  <c r="J41" i="2" s="1"/>
  <c r="F37" i="2"/>
  <c r="F38" i="2"/>
  <c r="F36" i="2"/>
  <c r="D37" i="2"/>
  <c r="J37" i="2" s="1"/>
  <c r="D38" i="2"/>
  <c r="J38" i="2" s="1"/>
  <c r="D36" i="2"/>
  <c r="J36" i="2" s="1"/>
  <c r="F31" i="2"/>
  <c r="F32" i="2"/>
  <c r="F33" i="2"/>
  <c r="F30" i="2"/>
  <c r="D31" i="2"/>
  <c r="J31" i="2" s="1"/>
  <c r="D32" i="2"/>
  <c r="J32" i="2" s="1"/>
  <c r="D33" i="2"/>
  <c r="J33" i="2" s="1"/>
  <c r="D30" i="2"/>
  <c r="J30" i="2" s="1"/>
  <c r="F25" i="2"/>
  <c r="F26" i="2"/>
  <c r="F27" i="2"/>
  <c r="F24" i="2"/>
  <c r="D25" i="2"/>
  <c r="J25" i="2" s="1"/>
  <c r="D26" i="2"/>
  <c r="J26" i="2" s="1"/>
  <c r="D27" i="2"/>
  <c r="J27" i="2" s="1"/>
  <c r="D24" i="2"/>
  <c r="J24" i="2" s="1"/>
  <c r="F18" i="2"/>
  <c r="F19" i="2"/>
  <c r="F20" i="2"/>
  <c r="F21" i="2"/>
  <c r="F17" i="2"/>
  <c r="D18" i="2"/>
  <c r="J18" i="2" s="1"/>
  <c r="D19" i="2"/>
  <c r="J19" i="2" s="1"/>
  <c r="D20" i="2"/>
  <c r="J20" i="2" s="1"/>
  <c r="D21" i="2"/>
  <c r="J21" i="2" s="1"/>
  <c r="D17" i="2"/>
  <c r="J17" i="2" s="1"/>
  <c r="D11" i="2"/>
  <c r="J11" i="2" s="1"/>
  <c r="D12" i="2"/>
  <c r="J12" i="2" s="1"/>
  <c r="D13" i="2"/>
  <c r="J13" i="2" s="1"/>
  <c r="D14" i="2"/>
  <c r="J14" i="2" s="1"/>
  <c r="D10" i="2"/>
  <c r="J10" i="2" s="1"/>
  <c r="F11" i="2"/>
  <c r="F12" i="2"/>
  <c r="F13" i="2"/>
  <c r="F14" i="2"/>
  <c r="F10" i="2"/>
  <c r="I29" i="2"/>
  <c r="I16" i="2"/>
  <c r="I9" i="2"/>
  <c r="B145" i="58" l="1"/>
  <c r="D141" i="58"/>
  <c r="C141" i="58"/>
  <c r="C145" i="58" s="1"/>
  <c r="C146" i="58" s="1"/>
  <c r="E13" i="58" s="1"/>
  <c r="E140" i="58"/>
  <c r="E141" i="58" s="1"/>
  <c r="D145" i="58" s="1"/>
  <c r="E139" i="58"/>
  <c r="B134" i="58"/>
  <c r="D130" i="58"/>
  <c r="C130" i="58"/>
  <c r="C134" i="58" s="1"/>
  <c r="C135" i="58" s="1"/>
  <c r="E12" i="58" s="1"/>
  <c r="E129" i="58"/>
  <c r="E128" i="58"/>
  <c r="B123" i="58"/>
  <c r="B122" i="58"/>
  <c r="B121" i="58"/>
  <c r="D117" i="58"/>
  <c r="C117" i="58"/>
  <c r="C121" i="58" s="1"/>
  <c r="E114" i="58"/>
  <c r="G113" i="58"/>
  <c r="F113" i="58"/>
  <c r="F116" i="58" s="1"/>
  <c r="E113" i="58"/>
  <c r="B108" i="58"/>
  <c r="B107" i="58"/>
  <c r="B106" i="58"/>
  <c r="D102" i="58"/>
  <c r="C102" i="58"/>
  <c r="C106" i="58" s="1"/>
  <c r="E99" i="58"/>
  <c r="G98" i="58"/>
  <c r="F98" i="58"/>
  <c r="F101" i="58" s="1"/>
  <c r="E98" i="58"/>
  <c r="E101" i="58" s="1"/>
  <c r="C94" i="58"/>
  <c r="B93" i="58"/>
  <c r="B90" i="58"/>
  <c r="D86" i="58"/>
  <c r="C86" i="58"/>
  <c r="C90" i="58" s="1"/>
  <c r="E85" i="58"/>
  <c r="E84" i="58"/>
  <c r="E83" i="58"/>
  <c r="E82" i="58"/>
  <c r="E86" i="58" s="1"/>
  <c r="D90" i="58" s="1"/>
  <c r="H81" i="58"/>
  <c r="G81" i="58"/>
  <c r="G85" i="58" s="1"/>
  <c r="F81" i="58"/>
  <c r="E81" i="58"/>
  <c r="B76" i="58"/>
  <c r="B75" i="58"/>
  <c r="B74" i="58"/>
  <c r="B73" i="58"/>
  <c r="C69" i="58"/>
  <c r="C73" i="58" s="1"/>
  <c r="G68" i="58"/>
  <c r="F68" i="58"/>
  <c r="E68" i="58"/>
  <c r="D68" i="58"/>
  <c r="D67" i="58"/>
  <c r="D66" i="58"/>
  <c r="E65" i="58"/>
  <c r="I65" i="58" s="1"/>
  <c r="H64" i="58"/>
  <c r="G64" i="58"/>
  <c r="F64" i="58"/>
  <c r="F67" i="58" s="1"/>
  <c r="E64" i="58"/>
  <c r="E67" i="58" s="1"/>
  <c r="B59" i="58"/>
  <c r="C55" i="58"/>
  <c r="C60" i="58" s="1"/>
  <c r="B55" i="58"/>
  <c r="C51" i="58"/>
  <c r="F50" i="58"/>
  <c r="E50" i="58"/>
  <c r="D50" i="58"/>
  <c r="F49" i="58"/>
  <c r="E49" i="58"/>
  <c r="D49" i="58"/>
  <c r="F48" i="58"/>
  <c r="E48" i="58"/>
  <c r="D48" i="58"/>
  <c r="G48" i="58" s="1"/>
  <c r="E47" i="58"/>
  <c r="D47" i="58"/>
  <c r="E46" i="58"/>
  <c r="E51" i="58" s="1"/>
  <c r="D55" i="58" s="1"/>
  <c r="I45" i="58"/>
  <c r="H45" i="58"/>
  <c r="H50" i="58" s="1"/>
  <c r="G45" i="58"/>
  <c r="F45" i="58"/>
  <c r="E45" i="58"/>
  <c r="Q39" i="58"/>
  <c r="B39" i="58"/>
  <c r="B37" i="58"/>
  <c r="B36" i="58"/>
  <c r="B35" i="58"/>
  <c r="D31" i="58"/>
  <c r="F6" i="58" s="1"/>
  <c r="C31" i="58"/>
  <c r="C35" i="58" s="1"/>
  <c r="H30" i="58"/>
  <c r="D30" i="58"/>
  <c r="D29" i="58"/>
  <c r="D28" i="58"/>
  <c r="D27" i="58"/>
  <c r="E26" i="58"/>
  <c r="J26" i="58" s="1"/>
  <c r="I25" i="58"/>
  <c r="H25" i="58"/>
  <c r="G25" i="58"/>
  <c r="G30" i="58" s="1"/>
  <c r="F25" i="58"/>
  <c r="F30" i="58" s="1"/>
  <c r="E25" i="58"/>
  <c r="G15" i="58"/>
  <c r="F9" i="58"/>
  <c r="E9" i="58"/>
  <c r="E7" i="58"/>
  <c r="E6" i="58"/>
  <c r="D23" i="6"/>
  <c r="G33" i="6"/>
  <c r="E130" i="58" l="1"/>
  <c r="D134" i="58" s="1"/>
  <c r="F129" i="58"/>
  <c r="F130" i="58" s="1"/>
  <c r="G101" i="58"/>
  <c r="G102" i="58" s="1"/>
  <c r="D108" i="58" s="1"/>
  <c r="F66" i="58"/>
  <c r="F69" i="58" s="1"/>
  <c r="D74" i="58" s="1"/>
  <c r="D146" i="58"/>
  <c r="F13" i="58"/>
  <c r="G50" i="58"/>
  <c r="I50" i="58" s="1"/>
  <c r="I51" i="58" s="1"/>
  <c r="D59" i="58" s="1"/>
  <c r="G49" i="58"/>
  <c r="H49" i="58" s="1"/>
  <c r="H51" i="58" s="1"/>
  <c r="D58" i="58" s="1"/>
  <c r="G67" i="58"/>
  <c r="G69" i="58" s="1"/>
  <c r="D75" i="58" s="1"/>
  <c r="E10" i="58"/>
  <c r="E14" i="58" s="1"/>
  <c r="D69" i="58"/>
  <c r="F8" i="58" s="1"/>
  <c r="H68" i="58"/>
  <c r="H69" i="58" s="1"/>
  <c r="D76" i="58" s="1"/>
  <c r="I68" i="58"/>
  <c r="J46" i="58"/>
  <c r="D51" i="58"/>
  <c r="F7" i="58" s="1"/>
  <c r="F47" i="58"/>
  <c r="F51" i="58" s="1"/>
  <c r="D56" i="58" s="1"/>
  <c r="J47" i="58"/>
  <c r="C77" i="58"/>
  <c r="G51" i="58"/>
  <c r="D57" i="58" s="1"/>
  <c r="E30" i="58"/>
  <c r="E29" i="58"/>
  <c r="E27" i="58"/>
  <c r="E28" i="58"/>
  <c r="J48" i="58"/>
  <c r="C109" i="58"/>
  <c r="E116" i="58"/>
  <c r="E115" i="58"/>
  <c r="F84" i="58"/>
  <c r="G84" i="58" s="1"/>
  <c r="F85" i="58"/>
  <c r="E117" i="58"/>
  <c r="D121" i="58" s="1"/>
  <c r="I82" i="58"/>
  <c r="F83" i="58"/>
  <c r="F86" i="58" s="1"/>
  <c r="D91" i="58" s="1"/>
  <c r="C40" i="58"/>
  <c r="C124" i="58"/>
  <c r="E11" i="58" s="1"/>
  <c r="H114" i="58"/>
  <c r="H99" i="58"/>
  <c r="E100" i="58"/>
  <c r="F28" i="58"/>
  <c r="G28" i="58" s="1"/>
  <c r="G31" i="58" s="1"/>
  <c r="D37" i="58" s="1"/>
  <c r="H85" i="58"/>
  <c r="H86" i="58" s="1"/>
  <c r="D93" i="58" s="1"/>
  <c r="F140" i="58"/>
  <c r="F141" i="58" s="1"/>
  <c r="E66" i="58"/>
  <c r="E8" i="58"/>
  <c r="F29" i="58"/>
  <c r="G29" i="58"/>
  <c r="C13" i="40"/>
  <c r="B7" i="40"/>
  <c r="F7" i="40" s="1"/>
  <c r="H7" i="40" s="1"/>
  <c r="H23" i="55"/>
  <c r="E21" i="55"/>
  <c r="E20" i="55"/>
  <c r="F20" i="55"/>
  <c r="E18" i="55"/>
  <c r="F18" i="55"/>
  <c r="E19" i="55"/>
  <c r="F19" i="55"/>
  <c r="I19" i="55" s="1"/>
  <c r="E17" i="55"/>
  <c r="E16" i="55"/>
  <c r="E15" i="55"/>
  <c r="E13" i="55"/>
  <c r="E12" i="55"/>
  <c r="F12" i="55"/>
  <c r="F13" i="55"/>
  <c r="E14" i="55"/>
  <c r="F14" i="55"/>
  <c r="I14" i="55" s="1"/>
  <c r="F15" i="55"/>
  <c r="F16" i="55"/>
  <c r="F17" i="55"/>
  <c r="E11" i="55"/>
  <c r="E10" i="55"/>
  <c r="I31" i="55"/>
  <c r="E9" i="55"/>
  <c r="G23" i="55"/>
  <c r="E8" i="55"/>
  <c r="C7" i="55"/>
  <c r="F7" i="55" s="1"/>
  <c r="F8" i="55"/>
  <c r="F9" i="55"/>
  <c r="F10" i="55"/>
  <c r="F11" i="55"/>
  <c r="F21" i="55"/>
  <c r="E7" i="55"/>
  <c r="C6" i="55"/>
  <c r="B32" i="54"/>
  <c r="E13" i="52"/>
  <c r="B145" i="52"/>
  <c r="D141" i="52"/>
  <c r="C141" i="52"/>
  <c r="C145" i="52" s="1"/>
  <c r="C146" i="52" s="1"/>
  <c r="E140" i="52"/>
  <c r="F140" i="52" s="1"/>
  <c r="F141" i="52" s="1"/>
  <c r="E139" i="52"/>
  <c r="B134" i="52"/>
  <c r="D130" i="52"/>
  <c r="C130" i="52"/>
  <c r="C134" i="52" s="1"/>
  <c r="C135" i="52" s="1"/>
  <c r="E12" i="52" s="1"/>
  <c r="E129" i="52"/>
  <c r="F129" i="52" s="1"/>
  <c r="E128" i="52"/>
  <c r="B123" i="52"/>
  <c r="B122" i="52"/>
  <c r="B121" i="52"/>
  <c r="D117" i="52"/>
  <c r="C117" i="52"/>
  <c r="C121" i="52" s="1"/>
  <c r="C124" i="52" s="1"/>
  <c r="E11" i="52" s="1"/>
  <c r="E114" i="52"/>
  <c r="H114" i="52" s="1"/>
  <c r="G113" i="52"/>
  <c r="F113" i="52"/>
  <c r="F116" i="52" s="1"/>
  <c r="E113" i="52"/>
  <c r="E115" i="52" s="1"/>
  <c r="B107" i="52"/>
  <c r="B108" i="52"/>
  <c r="B106" i="52"/>
  <c r="D102" i="52"/>
  <c r="C102" i="52"/>
  <c r="C106" i="52" s="1"/>
  <c r="C109" i="52" s="1"/>
  <c r="E99" i="52"/>
  <c r="H99" i="52" s="1"/>
  <c r="G98" i="52"/>
  <c r="F98" i="52"/>
  <c r="F101" i="52" s="1"/>
  <c r="E98" i="52"/>
  <c r="E100" i="52" s="1"/>
  <c r="G81" i="52"/>
  <c r="G85" i="52" s="1"/>
  <c r="F81" i="52"/>
  <c r="F85" i="52" s="1"/>
  <c r="B75" i="52"/>
  <c r="B74" i="52"/>
  <c r="G64" i="52"/>
  <c r="G68" i="52" s="1"/>
  <c r="F64" i="52"/>
  <c r="F68" i="52" s="1"/>
  <c r="H45" i="52"/>
  <c r="H50" i="52" s="1"/>
  <c r="G45" i="52"/>
  <c r="G50" i="52" s="1"/>
  <c r="B93" i="52"/>
  <c r="B90" i="52"/>
  <c r="C86" i="52"/>
  <c r="C90" i="52" s="1"/>
  <c r="C94" i="52" s="1"/>
  <c r="D86" i="52"/>
  <c r="F9" i="52" s="1"/>
  <c r="H81" i="52"/>
  <c r="E81" i="52"/>
  <c r="E84" i="52" s="1"/>
  <c r="B76" i="52"/>
  <c r="B73" i="52"/>
  <c r="C69" i="52"/>
  <c r="C73" i="52" s="1"/>
  <c r="E65" i="52"/>
  <c r="I65" i="52" s="1"/>
  <c r="H64" i="52"/>
  <c r="E64" i="52"/>
  <c r="E68" i="52" s="1"/>
  <c r="B59" i="52"/>
  <c r="B55" i="52"/>
  <c r="C51" i="52"/>
  <c r="E7" i="52" s="1"/>
  <c r="E46" i="52"/>
  <c r="J46" i="52" s="1"/>
  <c r="I45" i="52"/>
  <c r="F45" i="52"/>
  <c r="F50" i="52" s="1"/>
  <c r="E45" i="52"/>
  <c r="E48" i="52" s="1"/>
  <c r="Q39" i="52"/>
  <c r="B39" i="52"/>
  <c r="B37" i="52"/>
  <c r="B36" i="52"/>
  <c r="B35" i="52"/>
  <c r="C31" i="52"/>
  <c r="E26" i="52"/>
  <c r="J26" i="52" s="1"/>
  <c r="I25" i="52"/>
  <c r="H25" i="52"/>
  <c r="H30" i="52" s="1"/>
  <c r="G25" i="52"/>
  <c r="F25" i="52"/>
  <c r="F28" i="52" s="1"/>
  <c r="E25" i="52"/>
  <c r="G15" i="52"/>
  <c r="C35" i="52" l="1"/>
  <c r="F35" i="52" s="1"/>
  <c r="E6" i="52"/>
  <c r="G86" i="58"/>
  <c r="D92" i="58" s="1"/>
  <c r="I84" i="58"/>
  <c r="F100" i="58"/>
  <c r="F102" i="58" s="1"/>
  <c r="D107" i="58" s="1"/>
  <c r="H100" i="58"/>
  <c r="I85" i="58"/>
  <c r="I83" i="58"/>
  <c r="J50" i="58"/>
  <c r="F115" i="58"/>
  <c r="F117" i="58" s="1"/>
  <c r="D122" i="58" s="1"/>
  <c r="H115" i="58"/>
  <c r="H101" i="58"/>
  <c r="G116" i="58"/>
  <c r="G117" i="58" s="1"/>
  <c r="D123" i="58" s="1"/>
  <c r="E31" i="58"/>
  <c r="D35" i="58" s="1"/>
  <c r="D94" i="58"/>
  <c r="I86" i="58"/>
  <c r="H29" i="58"/>
  <c r="H31" i="58" s="1"/>
  <c r="D38" i="58" s="1"/>
  <c r="F27" i="58"/>
  <c r="F31" i="58" s="1"/>
  <c r="D36" i="58" s="1"/>
  <c r="J49" i="58"/>
  <c r="J51" i="58" s="1"/>
  <c r="D135" i="58"/>
  <c r="F12" i="58" s="1"/>
  <c r="D60" i="58"/>
  <c r="I30" i="58"/>
  <c r="I31" i="58" s="1"/>
  <c r="D39" i="58" s="1"/>
  <c r="H102" i="58"/>
  <c r="E102" i="58"/>
  <c r="D106" i="58" s="1"/>
  <c r="I66" i="58"/>
  <c r="E69" i="58"/>
  <c r="D73" i="58" s="1"/>
  <c r="D77" i="58" s="1"/>
  <c r="J28" i="58"/>
  <c r="I67" i="58"/>
  <c r="C23" i="55"/>
  <c r="B23" i="55"/>
  <c r="E141" i="52"/>
  <c r="D145" i="52" s="1"/>
  <c r="E101" i="52"/>
  <c r="E130" i="52"/>
  <c r="D134" i="52" s="1"/>
  <c r="F134" i="52" s="1"/>
  <c r="F115" i="52"/>
  <c r="F117" i="52" s="1"/>
  <c r="D122" i="52" s="1"/>
  <c r="F122" i="52" s="1"/>
  <c r="F121" i="52"/>
  <c r="E116" i="52"/>
  <c r="E117" i="52" s="1"/>
  <c r="D121" i="52" s="1"/>
  <c r="E10" i="52"/>
  <c r="E83" i="52"/>
  <c r="F83" i="52" s="1"/>
  <c r="I83" i="52"/>
  <c r="F84" i="52"/>
  <c r="F100" i="52"/>
  <c r="F102" i="52" s="1"/>
  <c r="D107" i="52" s="1"/>
  <c r="F107" i="52" s="1"/>
  <c r="F106" i="52"/>
  <c r="D69" i="52"/>
  <c r="F8" i="52" s="1"/>
  <c r="H68" i="52"/>
  <c r="H69" i="52" s="1"/>
  <c r="D76" i="52" s="1"/>
  <c r="F76" i="52" s="1"/>
  <c r="E66" i="52"/>
  <c r="E67" i="52"/>
  <c r="F66" i="52"/>
  <c r="F67" i="52"/>
  <c r="E47" i="52"/>
  <c r="F47" i="52" s="1"/>
  <c r="E50" i="52"/>
  <c r="E49" i="52"/>
  <c r="F49" i="52"/>
  <c r="G49" i="52"/>
  <c r="F48" i="52"/>
  <c r="G48" i="52" s="1"/>
  <c r="E8" i="52"/>
  <c r="G29" i="52"/>
  <c r="G30" i="52"/>
  <c r="E9" i="52"/>
  <c r="C55" i="52"/>
  <c r="C60" i="52" s="1"/>
  <c r="D31" i="52"/>
  <c r="D51" i="52"/>
  <c r="F7" i="52" s="1"/>
  <c r="F73" i="52"/>
  <c r="C77" i="52"/>
  <c r="E29" i="52"/>
  <c r="F29" i="52"/>
  <c r="F90" i="52"/>
  <c r="I82" i="52"/>
  <c r="E30" i="52"/>
  <c r="E85" i="52"/>
  <c r="E27" i="52"/>
  <c r="F30" i="52"/>
  <c r="E28" i="52"/>
  <c r="G28" i="52" s="1"/>
  <c r="E18" i="6" l="1"/>
  <c r="B33" i="54"/>
  <c r="C40" i="52"/>
  <c r="D146" i="52"/>
  <c r="F13" i="52"/>
  <c r="J27" i="58"/>
  <c r="H116" i="58"/>
  <c r="H117" i="58" s="1"/>
  <c r="D124" i="58"/>
  <c r="F11" i="58" s="1"/>
  <c r="D40" i="58"/>
  <c r="I69" i="58"/>
  <c r="J29" i="58"/>
  <c r="D109" i="58"/>
  <c r="F10" i="58" s="1"/>
  <c r="F14" i="58" s="1"/>
  <c r="J30" i="58"/>
  <c r="F145" i="52"/>
  <c r="F146" i="52" s="1"/>
  <c r="G13" i="52" s="1"/>
  <c r="F135" i="52"/>
  <c r="G12" i="52" s="1"/>
  <c r="F130" i="52"/>
  <c r="D135" i="52"/>
  <c r="F12" i="52" s="1"/>
  <c r="H115" i="52"/>
  <c r="G116" i="52"/>
  <c r="G117" i="52" s="1"/>
  <c r="D123" i="52" s="1"/>
  <c r="F123" i="52" s="1"/>
  <c r="F124" i="52" s="1"/>
  <c r="G11" i="52" s="1"/>
  <c r="G101" i="52"/>
  <c r="G102" i="52" s="1"/>
  <c r="D108" i="52" s="1"/>
  <c r="F108" i="52" s="1"/>
  <c r="F109" i="52" s="1"/>
  <c r="G10" i="52" s="1"/>
  <c r="F69" i="52"/>
  <c r="D74" i="52" s="1"/>
  <c r="F74" i="52" s="1"/>
  <c r="F86" i="52"/>
  <c r="D91" i="52" s="1"/>
  <c r="F91" i="52" s="1"/>
  <c r="E102" i="52"/>
  <c r="D106" i="52" s="1"/>
  <c r="H85" i="52"/>
  <c r="H86" i="52" s="1"/>
  <c r="D93" i="52" s="1"/>
  <c r="F93" i="52" s="1"/>
  <c r="H100" i="52"/>
  <c r="G84" i="52"/>
  <c r="G86" i="52" s="1"/>
  <c r="D92" i="52" s="1"/>
  <c r="F92" i="52" s="1"/>
  <c r="G67" i="52"/>
  <c r="G69" i="52" s="1"/>
  <c r="D75" i="52" s="1"/>
  <c r="I66" i="52"/>
  <c r="E69" i="52"/>
  <c r="D73" i="52" s="1"/>
  <c r="I30" i="52"/>
  <c r="I31" i="52" s="1"/>
  <c r="D39" i="52" s="1"/>
  <c r="F39" i="52" s="1"/>
  <c r="J48" i="52"/>
  <c r="I50" i="52"/>
  <c r="I51" i="52" s="1"/>
  <c r="D59" i="52" s="1"/>
  <c r="F59" i="52" s="1"/>
  <c r="H49" i="52"/>
  <c r="G51" i="52"/>
  <c r="D57" i="52" s="1"/>
  <c r="F57" i="52" s="1"/>
  <c r="E14" i="52"/>
  <c r="F55" i="52"/>
  <c r="E51" i="52"/>
  <c r="D55" i="52" s="1"/>
  <c r="G31" i="52"/>
  <c r="D37" i="52" s="1"/>
  <c r="F37" i="52" s="1"/>
  <c r="F51" i="52"/>
  <c r="D56" i="52" s="1"/>
  <c r="J47" i="52"/>
  <c r="F27" i="52"/>
  <c r="F31" i="52" s="1"/>
  <c r="D36" i="52" s="1"/>
  <c r="F36" i="52" s="1"/>
  <c r="E31" i="52"/>
  <c r="D35" i="52" s="1"/>
  <c r="J28" i="52"/>
  <c r="E86" i="52"/>
  <c r="D90" i="52" s="1"/>
  <c r="H29" i="52"/>
  <c r="H31" i="52" s="1"/>
  <c r="D38" i="52" s="1"/>
  <c r="F38" i="52" s="1"/>
  <c r="I68" i="52"/>
  <c r="J31" i="58" l="1"/>
  <c r="I85" i="52"/>
  <c r="H116" i="52"/>
  <c r="H117" i="52" s="1"/>
  <c r="D124" i="52"/>
  <c r="F11" i="52" s="1"/>
  <c r="H101" i="52"/>
  <c r="H102" i="52" s="1"/>
  <c r="F94" i="52"/>
  <c r="G9" i="52" s="1"/>
  <c r="I84" i="52"/>
  <c r="I86" i="52" s="1"/>
  <c r="D109" i="52"/>
  <c r="F10" i="52" s="1"/>
  <c r="D94" i="52"/>
  <c r="J30" i="52"/>
  <c r="F75" i="52"/>
  <c r="F77" i="52" s="1"/>
  <c r="G8" i="52" s="1"/>
  <c r="D77" i="52"/>
  <c r="I67" i="52"/>
  <c r="I69" i="52" s="1"/>
  <c r="H51" i="52"/>
  <c r="D58" i="52" s="1"/>
  <c r="F58" i="52" s="1"/>
  <c r="J49" i="52"/>
  <c r="J50" i="52"/>
  <c r="J27" i="52"/>
  <c r="D40" i="52"/>
  <c r="F56" i="52"/>
  <c r="F40" i="52"/>
  <c r="G6" i="52" s="1"/>
  <c r="J29" i="52"/>
  <c r="F14" i="52" l="1"/>
  <c r="D60" i="52"/>
  <c r="F60" i="52"/>
  <c r="G7" i="52" s="1"/>
  <c r="G14" i="52" s="1"/>
  <c r="G16" i="52" s="1"/>
  <c r="J51" i="52"/>
  <c r="J31" i="52"/>
  <c r="G28" i="6" l="1"/>
  <c r="E6" i="55" l="1"/>
  <c r="F6" i="55"/>
  <c r="B35" i="54"/>
  <c r="B34" i="54"/>
  <c r="G8" i="6"/>
  <c r="A35" i="54"/>
  <c r="A34" i="54"/>
  <c r="G18" i="52" l="1"/>
  <c r="F9" i="40"/>
  <c r="H9" i="40" s="1"/>
  <c r="F8" i="40"/>
  <c r="H8" i="40" s="1"/>
  <c r="F6" i="40"/>
  <c r="H6" i="40" s="1"/>
  <c r="C10" i="40"/>
  <c r="B10" i="40"/>
  <c r="E6" i="6" l="1"/>
  <c r="E10" i="6" s="1"/>
  <c r="H10" i="40"/>
  <c r="C12" i="40" s="1"/>
  <c r="C14" i="40" s="1"/>
  <c r="E16" i="6" s="1"/>
  <c r="G17" i="6" s="1"/>
  <c r="F10" i="40"/>
  <c r="F5" i="55"/>
  <c r="F23" i="55" s="1"/>
  <c r="C23" i="54"/>
  <c r="C15" i="54"/>
  <c r="C6" i="54"/>
  <c r="C24" i="54" l="1"/>
  <c r="D26" i="54"/>
  <c r="D28" i="54" s="1"/>
  <c r="E5" i="55"/>
  <c r="I5" i="55" s="1"/>
  <c r="I23" i="55" s="1"/>
  <c r="C32" i="54" l="1"/>
  <c r="D32" i="54" s="1"/>
  <c r="E19" i="6" s="1"/>
  <c r="C33" i="54"/>
  <c r="D33" i="54" s="1"/>
  <c r="E23" i="55"/>
  <c r="C35" i="54"/>
  <c r="D35" i="54" s="1"/>
  <c r="E21" i="6" s="1"/>
  <c r="C34" i="54"/>
  <c r="D34" i="54" s="1"/>
  <c r="E20" i="6" s="1"/>
  <c r="G19" i="6" l="1"/>
  <c r="D36" i="54"/>
  <c r="D39" i="54" s="1"/>
  <c r="D41" i="54" s="1"/>
  <c r="I25" i="55"/>
  <c r="I12" i="50"/>
  <c r="I30" i="55" l="1"/>
  <c r="I32" i="55" s="1"/>
  <c r="E14" i="6" s="1"/>
  <c r="E31" i="6" s="1"/>
  <c r="I27" i="55"/>
  <c r="I40" i="55" s="1"/>
  <c r="I42" i="55" s="1"/>
  <c r="I44" i="55" s="1"/>
  <c r="I34" i="55"/>
  <c r="I36" i="55" s="1"/>
  <c r="I38" i="55" s="1"/>
  <c r="E34" i="6" s="1"/>
  <c r="G34" i="6" s="1"/>
  <c r="G32" i="6"/>
  <c r="I14" i="50"/>
  <c r="G14" i="6" l="1"/>
  <c r="I19" i="50"/>
  <c r="G6" i="6" l="1"/>
  <c r="G30" i="6"/>
  <c r="G29" i="6"/>
  <c r="G27" i="6"/>
  <c r="G26" i="6"/>
  <c r="G25" i="6"/>
  <c r="G24" i="6"/>
  <c r="G22" i="6"/>
  <c r="G21" i="6"/>
  <c r="G20" i="6"/>
  <c r="G15" i="6"/>
  <c r="G10" i="62" l="1"/>
  <c r="G24" i="62"/>
  <c r="G23" i="6"/>
  <c r="G9" i="6" l="1"/>
  <c r="G7" i="6" l="1"/>
  <c r="G7" i="62" s="1"/>
  <c r="D10" i="6"/>
  <c r="D31" i="6"/>
  <c r="G31" i="6" l="1"/>
  <c r="D35" i="6"/>
  <c r="G35" i="6" l="1"/>
  <c r="G10" i="6"/>
  <c r="D36" i="6"/>
  <c r="G3" i="62" l="1"/>
  <c r="G6" i="62" s="1"/>
  <c r="G9" i="62" s="1"/>
  <c r="G11" i="62" s="1"/>
  <c r="G12" i="62" s="1"/>
  <c r="G17" i="62"/>
  <c r="G18" i="62" s="1"/>
  <c r="G36" i="6"/>
  <c r="G20" i="62" l="1"/>
  <c r="G23" i="62" s="1"/>
  <c r="G25" i="62" l="1"/>
  <c r="G26" i="62" s="1"/>
  <c r="L4" i="58" s="1"/>
  <c r="E134" i="58" s="1"/>
  <c r="G17" i="58"/>
  <c r="E75" i="58"/>
  <c r="E108" i="58"/>
  <c r="E74" i="58" l="1"/>
  <c r="E90" i="58"/>
  <c r="F90" i="58" s="1"/>
  <c r="E92" i="58"/>
  <c r="E91" i="58"/>
  <c r="F91" i="58" s="1"/>
  <c r="E37" i="58"/>
  <c r="F37" i="58" s="1"/>
  <c r="E121" i="58"/>
  <c r="E123" i="58"/>
  <c r="F123" i="58" s="1"/>
  <c r="E38" i="58"/>
  <c r="F38" i="58" s="1"/>
  <c r="E36" i="58"/>
  <c r="F36" i="58" s="1"/>
  <c r="E55" i="58"/>
  <c r="F55" i="58" s="1"/>
  <c r="E106" i="58"/>
  <c r="E58" i="58"/>
  <c r="E107" i="58"/>
  <c r="E35" i="58"/>
  <c r="F35" i="58" s="1"/>
  <c r="E57" i="58"/>
  <c r="F57" i="58" s="1"/>
  <c r="E122" i="58"/>
  <c r="E39" i="58"/>
  <c r="F39" i="58" s="1"/>
  <c r="E56" i="58"/>
  <c r="F56" i="58" s="1"/>
  <c r="E93" i="58"/>
  <c r="F93" i="58" s="1"/>
  <c r="E73" i="58"/>
  <c r="F73" i="58" s="1"/>
  <c r="E76" i="58"/>
  <c r="E59" i="58"/>
  <c r="L10" i="2"/>
  <c r="F75" i="58"/>
  <c r="L26" i="2"/>
  <c r="N26" i="2" s="1"/>
  <c r="O26" i="2" s="1"/>
  <c r="L13" i="2"/>
  <c r="N13" i="2" s="1"/>
  <c r="O13" i="2" s="1"/>
  <c r="F107" i="58"/>
  <c r="L37" i="2"/>
  <c r="N37" i="2" s="1"/>
  <c r="O37" i="2" s="1"/>
  <c r="F76" i="58"/>
  <c r="L27" i="2"/>
  <c r="N27" i="2" s="1"/>
  <c r="O27" i="2" s="1"/>
  <c r="F92" i="58"/>
  <c r="L32" i="2"/>
  <c r="N32" i="2" s="1"/>
  <c r="O32" i="2" s="1"/>
  <c r="F108" i="58"/>
  <c r="L38" i="2"/>
  <c r="N38" i="2" s="1"/>
  <c r="O38" i="2" s="1"/>
  <c r="F58" i="58"/>
  <c r="L20" i="2"/>
  <c r="N20" i="2" s="1"/>
  <c r="O20" i="2" s="1"/>
  <c r="L24" i="2"/>
  <c r="F10" i="42" s="1"/>
  <c r="L30" i="2"/>
  <c r="L31" i="2"/>
  <c r="N31" i="2" s="1"/>
  <c r="O31" i="2" s="1"/>
  <c r="F59" i="58"/>
  <c r="L21" i="2"/>
  <c r="N21" i="2" s="1"/>
  <c r="O21" i="2" s="1"/>
  <c r="F121" i="58"/>
  <c r="L41" i="2"/>
  <c r="F74" i="58"/>
  <c r="L25" i="2"/>
  <c r="N25" i="2" s="1"/>
  <c r="O25" i="2" s="1"/>
  <c r="F106" i="58"/>
  <c r="L36" i="2"/>
  <c r="F122" i="58"/>
  <c r="L42" i="2"/>
  <c r="N42" i="2" s="1"/>
  <c r="O42" i="2" s="1"/>
  <c r="E145" i="58"/>
  <c r="F134" i="58"/>
  <c r="F135" i="58" s="1"/>
  <c r="G12" i="58" s="1"/>
  <c r="L33" i="2" l="1"/>
  <c r="N33" i="2" s="1"/>
  <c r="O33" i="2" s="1"/>
  <c r="L11" i="2"/>
  <c r="N11" i="2" s="1"/>
  <c r="O11" i="2" s="1"/>
  <c r="L18" i="2"/>
  <c r="N18" i="2" s="1"/>
  <c r="O18" i="2" s="1"/>
  <c r="L19" i="2"/>
  <c r="N19" i="2" s="1"/>
  <c r="O19" i="2" s="1"/>
  <c r="L43" i="2"/>
  <c r="N43" i="2" s="1"/>
  <c r="O43" i="2" s="1"/>
  <c r="L17" i="2"/>
  <c r="F9" i="42" s="1"/>
  <c r="G9" i="42" s="1"/>
  <c r="H9" i="42" s="1"/>
  <c r="L12" i="2"/>
  <c r="N12" i="2" s="1"/>
  <c r="O12" i="2" s="1"/>
  <c r="L14" i="2"/>
  <c r="N14" i="2" s="1"/>
  <c r="O14" i="2" s="1"/>
  <c r="F13" i="42"/>
  <c r="G13" i="42" s="1"/>
  <c r="H13" i="42" s="1"/>
  <c r="F8" i="42"/>
  <c r="G8" i="42" s="1"/>
  <c r="H8" i="42" s="1"/>
  <c r="F11" i="42"/>
  <c r="G11" i="42"/>
  <c r="H11" i="42" s="1"/>
  <c r="F77" i="58"/>
  <c r="G8" i="58" s="1"/>
  <c r="F109" i="58"/>
  <c r="G10" i="58" s="1"/>
  <c r="F94" i="58"/>
  <c r="G9" i="58" s="1"/>
  <c r="F60" i="58"/>
  <c r="G7" i="58" s="1"/>
  <c r="F124" i="58"/>
  <c r="G11" i="58" s="1"/>
  <c r="F40" i="58"/>
  <c r="G6" i="58" s="1"/>
  <c r="G10" i="42"/>
  <c r="H10" i="42" s="1"/>
  <c r="N24" i="2"/>
  <c r="O24" i="2" s="1"/>
  <c r="N30" i="2"/>
  <c r="O30" i="2" s="1"/>
  <c r="N41" i="2"/>
  <c r="O41" i="2" s="1"/>
  <c r="N36" i="2"/>
  <c r="O36" i="2" s="1"/>
  <c r="N10" i="2"/>
  <c r="O10" i="2" s="1"/>
  <c r="F145" i="58"/>
  <c r="F146" i="58" s="1"/>
  <c r="G13" i="58" s="1"/>
  <c r="L46" i="2"/>
  <c r="N17" i="2"/>
  <c r="O17" i="2" s="1"/>
  <c r="N46" i="2" l="1"/>
  <c r="O46" i="2" s="1"/>
  <c r="F14" i="42"/>
  <c r="G14" i="42" s="1"/>
  <c r="H14" i="42" s="1"/>
  <c r="G14" i="58"/>
  <c r="G16" i="58" s="1"/>
  <c r="G18" i="58" s="1"/>
  <c r="G19" i="58" s="1"/>
</calcChain>
</file>

<file path=xl/sharedStrings.xml><?xml version="1.0" encoding="utf-8"?>
<sst xmlns="http://schemas.openxmlformats.org/spreadsheetml/2006/main" count="913" uniqueCount="331">
  <si>
    <t>SCHEDULE OF ADJUSTED OPERATIONS</t>
  </si>
  <si>
    <t>Muhlenberg County Water District</t>
  </si>
  <si>
    <t>Adjustments</t>
  </si>
  <si>
    <t>Ref.</t>
  </si>
  <si>
    <t>Proforma</t>
  </si>
  <si>
    <t>Adjustment</t>
  </si>
  <si>
    <t>Operating Revenues</t>
  </si>
  <si>
    <t>Forfeited Discounts</t>
  </si>
  <si>
    <t>Misc. Service Revenues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</si>
  <si>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</si>
  <si>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</si>
  <si>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</si>
  <si>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</si>
  <si>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</si>
  <si>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</si>
  <si>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</si>
  <si>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</si>
  <si>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</si>
  <si>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</si>
  <si>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</si>
  <si>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</t>
  </si>
  <si>
    <t>Rental of Building/Real Property</t>
  </si>
  <si>
    <t>Transportation Expenses</t>
  </si>
  <si>
    <t>Insurance - Gen. Liab. &amp; Workers Comp.</t>
  </si>
  <si>
    <t>Insurance - Other</t>
  </si>
  <si>
    <t>Advertising Expense</t>
  </si>
  <si>
    <t>Water Resource Conservation Expense</t>
  </si>
  <si>
    <t>Miscellaneous Expenses</t>
  </si>
  <si>
    <t>Total Operation and Mnt. Expenses</t>
  </si>
  <si>
    <t>Depreciation Expense</t>
  </si>
  <si>
    <t>Amortization Expense</t>
  </si>
  <si>
    <t>Taxes Other Than Income</t>
  </si>
  <si>
    <t>Total Operating Expenses</t>
  </si>
  <si>
    <t>Total Utility Operating Income</t>
  </si>
  <si>
    <t>Pro Forma Operating Expenses</t>
  </si>
  <si>
    <t>Plus:</t>
  </si>
  <si>
    <t>Average Annual Principal and Interest Payments</t>
  </si>
  <si>
    <t>Additional Working Capital</t>
  </si>
  <si>
    <t>Total Revenue Requirement</t>
  </si>
  <si>
    <t>Less:</t>
  </si>
  <si>
    <t>Other Operating Revenue</t>
  </si>
  <si>
    <t>Interest Income</t>
  </si>
  <si>
    <t>Revenue Required From Sales of Water</t>
  </si>
  <si>
    <t>Revenue from Sales with Present Rates</t>
  </si>
  <si>
    <t>Required Revenue Increase</t>
  </si>
  <si>
    <t>Percent Increase</t>
  </si>
  <si>
    <t>Annual Cost</t>
  </si>
  <si>
    <t>Salaries &amp; Wages and Associated Adjustments</t>
  </si>
  <si>
    <t>Total</t>
  </si>
  <si>
    <t>Pro Forma</t>
  </si>
  <si>
    <t xml:space="preserve">Pro Forma </t>
  </si>
  <si>
    <t>Sample</t>
  </si>
  <si>
    <t>Employee</t>
  </si>
  <si>
    <t>Reg. Hrs</t>
  </si>
  <si>
    <t>O. T. Hours</t>
  </si>
  <si>
    <t>Wage Rate</t>
  </si>
  <si>
    <t>Reg. Wages</t>
  </si>
  <si>
    <t>O. T. Wages</t>
  </si>
  <si>
    <t>Testing</t>
  </si>
  <si>
    <t>On Call</t>
  </si>
  <si>
    <t>Wages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</si>
  <si>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</si>
  <si>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</si>
  <si>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</si>
  <si>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</si>
  <si>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</si>
  <si>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</si>
  <si>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</si>
  <si>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</si>
  <si>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</si>
  <si>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</si>
  <si>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</si>
  <si>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</si>
  <si>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</si>
  <si>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</si>
  <si>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</si>
  <si>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</si>
  <si>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</si>
  <si>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Total Gross Wages</t>
  </si>
  <si>
    <t>Gross Wages for Full Time Employees CERS Eligible</t>
  </si>
  <si>
    <t>Pro Forma Salaries &amp; Wages Expense</t>
  </si>
  <si>
    <t>Less: Corrected Test Year Salaries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</si>
  <si>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</si>
  <si>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</si>
  <si>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</si>
  <si>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</si>
  <si>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</si>
  <si>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</si>
  <si>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</si>
  <si>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</si>
  <si>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</si>
  <si>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</si>
  <si>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</si>
  <si>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</si>
  <si>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Medical Insurance Adjustment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</si>
  <si>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</si>
  <si>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</si>
  <si>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</si>
  <si>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</si>
  <si>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</si>
  <si>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</si>
  <si>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</si>
  <si>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</si>
  <si>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</si>
  <si>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</si>
  <si>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</si>
  <si>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</si>
  <si>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Medical</t>
  </si>
  <si>
    <t>Family Medical</t>
  </si>
  <si>
    <t>Vision</t>
  </si>
  <si>
    <t>Dental</t>
  </si>
  <si>
    <t>TOTAL</t>
  </si>
  <si>
    <t>Allowable Employer Premium</t>
  </si>
  <si>
    <t>Less Annual Premium</t>
  </si>
  <si>
    <t>Medical Adjustment</t>
  </si>
  <si>
    <t>Table A</t>
  </si>
  <si>
    <t>DEBT SERVICE SCHDULE</t>
  </si>
  <si>
    <t>CY 2025</t>
  </si>
  <si>
    <t>CY 2026</t>
  </si>
  <si>
    <t>CY 2027</t>
  </si>
  <si>
    <t>Interest</t>
  </si>
  <si>
    <t>Principal</t>
  </si>
  <si>
    <t>&amp; Fees</t>
  </si>
  <si>
    <t>TOTALS</t>
  </si>
  <si>
    <t>Average Annual Principal &amp; Interest</t>
  </si>
  <si>
    <t>Average Annual Coverage</t>
  </si>
  <si>
    <t>``</t>
  </si>
  <si>
    <t>Computation of Water Loss Adjustment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</si>
  <si>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</si>
  <si>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</si>
  <si>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</si>
  <si>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</si>
  <si>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</si>
  <si>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</si>
  <si>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</si>
  <si>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</si>
  <si>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</si>
  <si>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</si>
  <si>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</si>
  <si>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O.F.</t>
  </si>
  <si>
    <t xml:space="preserve">   Line Brks.</t>
  </si>
  <si>
    <t xml:space="preserve">   Line Leaks</t>
  </si>
  <si>
    <t xml:space="preserve">   Excavation Damages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</si>
  <si>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</si>
  <si>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</si>
  <si>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</si>
  <si>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</si>
  <si>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</si>
  <si>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</si>
  <si>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Computation of Adjustment to Purchases above Allowable Water Loss:</t>
  </si>
  <si>
    <t>Purchased Water above allowable water loss.</t>
  </si>
  <si>
    <t>Purchased Power above allowable water loss.</t>
  </si>
  <si>
    <t>Chemicals above allowable water loss.</t>
  </si>
  <si>
    <t>Total Adjustment</t>
  </si>
  <si>
    <t>Computeration of Adjustment Due to Increased Purchased Water Cost</t>
  </si>
  <si>
    <t>CURRENT AND PROPOSED MONTHLY RATES</t>
  </si>
  <si>
    <t>CURRENT RATE SCHEDULE</t>
  </si>
  <si>
    <t>PROPOSED RATE SCHEDULE</t>
  </si>
  <si>
    <t>DIFFERENCE</t>
  </si>
  <si>
    <t>PERCENT</t>
  </si>
  <si>
    <t>First</t>
  </si>
  <si>
    <t>gallons</t>
  </si>
  <si>
    <t>Minimum Bill</t>
  </si>
  <si>
    <t>Next</t>
  </si>
  <si>
    <t>per 1,000 gallons</t>
  </si>
  <si>
    <t>Over</t>
  </si>
  <si>
    <t>1 1/2" Meters</t>
  </si>
  <si>
    <t>3" Meters</t>
  </si>
  <si>
    <t>4" Meters</t>
  </si>
  <si>
    <t>Wholesale Rate</t>
  </si>
  <si>
    <t>CURRENT AND PROPOSED BILLS</t>
  </si>
  <si>
    <t>Gallons</t>
  </si>
  <si>
    <t>Meter</t>
  </si>
  <si>
    <t>Existing</t>
  </si>
  <si>
    <t>Proposed</t>
  </si>
  <si>
    <t>per Month*</t>
  </si>
  <si>
    <t>Size</t>
  </si>
  <si>
    <t>Bill</t>
  </si>
  <si>
    <t>Change</t>
  </si>
  <si>
    <t>Percentage</t>
  </si>
  <si>
    <t>5/8 x 3/4"</t>
  </si>
  <si>
    <t>1"</t>
  </si>
  <si>
    <t>1 1/2"</t>
  </si>
  <si>
    <t>2"</t>
  </si>
  <si>
    <t>3"</t>
  </si>
  <si>
    <t>4"</t>
  </si>
  <si>
    <t>* Highlighted usage represents the average residential bill.</t>
  </si>
  <si>
    <t>CURRENT BILLING ANALYSIS - CURRENT USAGE &amp; EXISTING RATES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</si>
  <si>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</si>
  <si>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</si>
  <si>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</si>
  <si>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</si>
  <si>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</si>
  <si>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</si>
  <si>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1 1/2" Meters</t>
  </si>
  <si>
    <t xml:space="preserve">     2" Meters</t>
  </si>
  <si>
    <t xml:space="preserve">     3" Meters</t>
  </si>
  <si>
    <t xml:space="preserve">     4" Meters</t>
  </si>
  <si>
    <t xml:space="preserve">     D'boro Wholesale</t>
  </si>
  <si>
    <t xml:space="preserve">     TVA Wholesale</t>
  </si>
  <si>
    <t>Totals</t>
  </si>
  <si>
    <t>Less Billing Adjustments</t>
  </si>
  <si>
    <t>Net Total</t>
  </si>
  <si>
    <t>SAO Adjustment</t>
  </si>
  <si>
    <t>5/8" x 3/4" METERS</t>
  </si>
  <si>
    <t>FIRST</t>
  </si>
  <si>
    <t>NEXT</t>
  </si>
  <si>
    <t>ALL OVER</t>
  </si>
  <si>
    <t>USAGE</t>
  </si>
  <si>
    <t>BILLS</t>
  </si>
  <si>
    <t>GALLONS</t>
  </si>
  <si>
    <t xml:space="preserve">     REVENUE BY RATE INCREMENT</t>
  </si>
  <si>
    <t>RATE</t>
  </si>
  <si>
    <t>REVENUE</t>
  </si>
  <si>
    <t>1" METERS</t>
  </si>
  <si>
    <t>1 1/2" METERS</t>
  </si>
  <si>
    <t>2" METERS</t>
  </si>
  <si>
    <t>3" METERS</t>
  </si>
  <si>
    <t>4" METERS</t>
  </si>
  <si>
    <t>D'boro Wholesale</t>
  </si>
  <si>
    <t>OVER</t>
  </si>
  <si>
    <t>TVA Wholesale</t>
  </si>
  <si>
    <t>PROPSED BILLING ANALYSIS - CURRENT USAGE &amp; PROPOSED RATES</t>
  </si>
  <si>
    <t>Total Sale of Water</t>
  </si>
  <si>
    <t>Revenue Required</t>
  </si>
  <si>
    <t>Difference</t>
  </si>
  <si>
    <t>5/8" X 3/4" Meters</t>
  </si>
  <si>
    <t>1" Meters</t>
  </si>
  <si>
    <t>2" Meters</t>
  </si>
  <si>
    <t>2023 Test Year</t>
  </si>
  <si>
    <t>Series 2007D Bonds</t>
  </si>
  <si>
    <t>Purchased Water Adjustment</t>
  </si>
  <si>
    <t>D</t>
  </si>
  <si>
    <t xml:space="preserve">Allowable Medical Benefits </t>
  </si>
  <si>
    <t>Purchased Water Adjustment and Billing Analysis</t>
  </si>
  <si>
    <t>Water Loss Above Fifteen Percent</t>
  </si>
  <si>
    <t>Materials and Supplies Expenses</t>
  </si>
  <si>
    <t>636-0606</t>
  </si>
  <si>
    <t>Maintenance of Mains</t>
  </si>
  <si>
    <t>637-0006</t>
  </si>
  <si>
    <t>Maintenance of Meters</t>
  </si>
  <si>
    <t>June 2023 YTD</t>
  </si>
  <si>
    <t>June 2024 YTD</t>
  </si>
  <si>
    <t>Annualized</t>
  </si>
  <si>
    <t>Increased Materials and Supplies</t>
  </si>
  <si>
    <t>Initial Outlay</t>
  </si>
  <si>
    <t>Annual Outlay</t>
  </si>
  <si>
    <t>Customer Web Portal</t>
  </si>
  <si>
    <t>SQL Server License</t>
  </si>
  <si>
    <t>Remote Setup and Training</t>
  </si>
  <si>
    <t>Card Readers</t>
  </si>
  <si>
    <t>Server</t>
  </si>
  <si>
    <t>Onboarding Services</t>
  </si>
  <si>
    <t>Alliance G5 Migration and Training</t>
  </si>
  <si>
    <t>Amortized over Five Years</t>
  </si>
  <si>
    <t>Billing System Annual Costs</t>
  </si>
  <si>
    <t>Billing System Initial Outlay</t>
  </si>
  <si>
    <t>Allowable Depreciable Lifes</t>
  </si>
  <si>
    <t>Adjust to Current Wages</t>
  </si>
  <si>
    <t>B</t>
  </si>
  <si>
    <t>A</t>
  </si>
  <si>
    <t>C</t>
  </si>
  <si>
    <t>E</t>
  </si>
  <si>
    <t>F</t>
  </si>
  <si>
    <t>G</t>
  </si>
  <si>
    <t>H</t>
  </si>
  <si>
    <t>I</t>
  </si>
  <si>
    <t>J</t>
  </si>
  <si>
    <t>Reduced Pension Contribution Rate</t>
  </si>
  <si>
    <t>K</t>
  </si>
  <si>
    <t>Water Loss Reduction Surcharge</t>
  </si>
  <si>
    <t>Total Number of Bills</t>
  </si>
  <si>
    <t>United Systems Billing Software Upgrade</t>
  </si>
  <si>
    <t>CY 2025 - 2027</t>
  </si>
  <si>
    <t>Note:  Muhlenberg County Water District has no outstanding debt with payments beyond 2027.</t>
  </si>
  <si>
    <t>DEPRECIATION EXPENSE ADJUSTMENTS</t>
  </si>
  <si>
    <t>Depreciation</t>
  </si>
  <si>
    <t>Date in</t>
  </si>
  <si>
    <t>Original</t>
  </si>
  <si>
    <t>Reported</t>
  </si>
  <si>
    <t>Expense</t>
  </si>
  <si>
    <t>Asset</t>
  </si>
  <si>
    <t>Service</t>
  </si>
  <si>
    <t>Cost *</t>
  </si>
  <si>
    <t>Life</t>
  </si>
  <si>
    <t>Depr. Exp.</t>
  </si>
  <si>
    <t>General Plant</t>
  </si>
  <si>
    <t>Structures &amp; Improvements</t>
  </si>
  <si>
    <t>Communication &amp; Computer Eqmt.</t>
  </si>
  <si>
    <t>varies</t>
  </si>
  <si>
    <t>varlies</t>
  </si>
  <si>
    <t>Office Furniture &amp; Equipment</t>
  </si>
  <si>
    <t>Power Operated Equipment</t>
  </si>
  <si>
    <t>Tools, Shop, &amp; Garage Equipment</t>
  </si>
  <si>
    <t>Tank Repairs &amp; Painting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</si>
  <si>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</si>
  <si>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</si>
  <si>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</si>
  <si>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</si>
  <si>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</si>
  <si>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</si>
  <si>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</si>
  <si>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</si>
  <si>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</si>
  <si>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</si>
  <si>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</si>
  <si>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</si>
  <si>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</si>
  <si>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</si>
  <si>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</si>
  <si>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</si>
  <si>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</si>
  <si>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</si>
  <si>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</si>
  <si>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>Structures and Improvements</t>
  </si>
  <si>
    <t>Water Treatment Equipment</t>
  </si>
  <si>
    <t xml:space="preserve">              *  Includes only costs associated with assets that contributed to depreciation expense in the test year.</t>
  </si>
  <si>
    <t>with Water Loss Reduction Surcharge</t>
  </si>
  <si>
    <t>Using Debt Service Coverage Method</t>
  </si>
  <si>
    <t>REVENUE REQUIREMENT</t>
  </si>
  <si>
    <t>Using Operating Ratio Method</t>
  </si>
  <si>
    <t>Interest Expense</t>
  </si>
  <si>
    <t>Operating Ratio at 86%</t>
  </si>
  <si>
    <t>Revenue from Annual Report</t>
  </si>
  <si>
    <t>Percent Adjustment</t>
  </si>
  <si>
    <t xml:space="preserve">   Includes $325,715 Purchased Water Adjustment</t>
  </si>
  <si>
    <t xml:space="preserve">   Would have been $33,531 or 0.82% without PWA</t>
  </si>
  <si>
    <t>Percent Difference</t>
  </si>
  <si>
    <t>District decided not to pursue this due to associated administrative burdens.</t>
  </si>
  <si>
    <t>Wholesale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</si>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</sst>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</numFmts>
  <fonts count="2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0" applyFont="1"/>
    <xf numFmtId="165" fontId="4" fillId="0" borderId="0" xfId="0" applyNumberFormat="1" applyFont="1"/>
    <xf numFmtId="3" fontId="4" fillId="0" borderId="0" xfId="0" applyNumberFormat="1" applyFont="1"/>
    <xf numFmtId="0" fontId="0" fillId="0" borderId="6" xfId="0" applyBorder="1"/>
    <xf numFmtId="165" fontId="4" fillId="0" borderId="1" xfId="1" applyNumberFormat="1" applyFont="1" applyBorder="1"/>
    <xf numFmtId="165" fontId="4" fillId="0" borderId="0" xfId="1" applyNumberFormat="1" applyFont="1"/>
    <xf numFmtId="43" fontId="4" fillId="0" borderId="0" xfId="1" applyFont="1"/>
    <xf numFmtId="43" fontId="4" fillId="0" borderId="0" xfId="1" applyFont="1" applyBorder="1"/>
    <xf numFmtId="165" fontId="4" fillId="0" borderId="0" xfId="5" applyNumberFormat="1" applyFont="1"/>
    <xf numFmtId="3" fontId="4" fillId="0" borderId="0" xfId="0" applyNumberFormat="1" applyFont="1" applyAlignment="1">
      <alignment horizontal="right"/>
    </xf>
    <xf numFmtId="165" fontId="4" fillId="0" borderId="7" xfId="5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1" xfId="5" applyNumberFormat="1" applyFont="1" applyBorder="1"/>
    <xf numFmtId="165" fontId="4" fillId="0" borderId="0" xfId="5" applyNumberFormat="1" applyFont="1" applyBorder="1"/>
    <xf numFmtId="0" fontId="4" fillId="0" borderId="0" xfId="0" applyFont="1" applyAlignment="1">
      <alignment horizontal="centerContinuous"/>
    </xf>
    <xf numFmtId="165" fontId="10" fillId="0" borderId="0" xfId="1" applyNumberFormat="1" applyFont="1"/>
    <xf numFmtId="165" fontId="4" fillId="0" borderId="1" xfId="0" applyNumberFormat="1" applyFont="1" applyBorder="1"/>
    <xf numFmtId="164" fontId="4" fillId="0" borderId="0" xfId="6" applyNumberFormat="1" applyFont="1"/>
    <xf numFmtId="165" fontId="7" fillId="0" borderId="0" xfId="1" applyNumberFormat="1" applyFont="1"/>
    <xf numFmtId="3" fontId="5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43" fontId="4" fillId="0" borderId="1" xfId="1" applyFont="1" applyBorder="1"/>
    <xf numFmtId="165" fontId="14" fillId="0" borderId="0" xfId="1" applyNumberFormat="1" applyFont="1"/>
    <xf numFmtId="0" fontId="19" fillId="0" borderId="0" xfId="0" applyFont="1" applyAlignment="1">
      <alignment horizontal="center"/>
    </xf>
    <xf numFmtId="10" fontId="4" fillId="0" borderId="0" xfId="0" applyNumberFormat="1" applyFont="1"/>
    <xf numFmtId="165" fontId="4" fillId="0" borderId="0" xfId="5" quotePrefix="1" applyNumberFormat="1" applyFont="1"/>
    <xf numFmtId="165" fontId="4" fillId="0" borderId="0" xfId="1" applyNumberFormat="1" applyFont="1" applyAlignment="1">
      <alignment horizontal="centerContinuous" vertical="center"/>
    </xf>
    <xf numFmtId="165" fontId="4" fillId="0" borderId="0" xfId="1" applyNumberFormat="1" applyFont="1" applyAlignment="1">
      <alignment vertical="center"/>
    </xf>
    <xf numFmtId="165" fontId="12" fillId="0" borderId="0" xfId="1" applyNumberFormat="1" applyFont="1" applyAlignment="1">
      <alignment horizontal="centerContinuous" vertical="center"/>
    </xf>
    <xf numFmtId="165" fontId="9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 vertical="center"/>
    </xf>
    <xf numFmtId="165" fontId="4" fillId="0" borderId="0" xfId="1" applyNumberFormat="1" applyFont="1" applyAlignment="1"/>
    <xf numFmtId="10" fontId="4" fillId="0" borderId="0" xfId="3" applyNumberFormat="1" applyFont="1" applyAlignment="1">
      <alignment vertical="center"/>
    </xf>
    <xf numFmtId="165" fontId="4" fillId="0" borderId="6" xfId="5" applyNumberFormat="1" applyFont="1" applyBorder="1"/>
    <xf numFmtId="165" fontId="4" fillId="0" borderId="8" xfId="5" applyNumberFormat="1" applyFont="1" applyBorder="1"/>
    <xf numFmtId="165" fontId="8" fillId="0" borderId="7" xfId="5" applyNumberFormat="1" applyFont="1" applyBorder="1" applyAlignment="1">
      <alignment horizontal="center"/>
    </xf>
    <xf numFmtId="165" fontId="4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165" fontId="4" fillId="0" borderId="3" xfId="5" applyNumberFormat="1" applyFont="1" applyBorder="1"/>
    <xf numFmtId="165" fontId="4" fillId="0" borderId="2" xfId="5" applyNumberFormat="1" applyFont="1" applyBorder="1"/>
    <xf numFmtId="165" fontId="4" fillId="0" borderId="4" xfId="5" applyNumberFormat="1" applyFont="1" applyBorder="1"/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3" fontId="12" fillId="0" borderId="7" xfId="0" applyNumberFormat="1" applyFont="1" applyBorder="1" applyAlignment="1">
      <alignment horizontal="centerContinuous" vertical="center"/>
    </xf>
    <xf numFmtId="165" fontId="21" fillId="0" borderId="7" xfId="5" applyNumberFormat="1" applyFont="1" applyBorder="1" applyAlignment="1">
      <alignment horizontal="centerContinuous"/>
    </xf>
    <xf numFmtId="165" fontId="4" fillId="0" borderId="0" xfId="5" applyNumberFormat="1" applyFont="1" applyAlignment="1">
      <alignment horizontal="centerContinuous"/>
    </xf>
    <xf numFmtId="165" fontId="4" fillId="0" borderId="7" xfId="5" applyNumberFormat="1" applyFont="1" applyBorder="1" applyAlignment="1">
      <alignment horizontal="centerContinuous"/>
    </xf>
    <xf numFmtId="165" fontId="4" fillId="0" borderId="9" xfId="5" applyNumberFormat="1" applyFont="1" applyBorder="1" applyAlignment="1">
      <alignment horizontal="left"/>
    </xf>
    <xf numFmtId="165" fontId="4" fillId="0" borderId="3" xfId="5" applyNumberFormat="1" applyFont="1" applyBorder="1" applyAlignment="1">
      <alignment horizontal="left"/>
    </xf>
    <xf numFmtId="165" fontId="4" fillId="0" borderId="2" xfId="5" applyNumberFormat="1" applyFont="1" applyBorder="1" applyAlignment="1">
      <alignment horizontal="left"/>
    </xf>
    <xf numFmtId="165" fontId="4" fillId="0" borderId="4" xfId="5" applyNumberFormat="1" applyFont="1" applyBorder="1" applyAlignment="1">
      <alignment horizontal="left"/>
    </xf>
    <xf numFmtId="165" fontId="4" fillId="0" borderId="10" xfId="5" applyNumberFormat="1" applyFont="1" applyBorder="1"/>
    <xf numFmtId="165" fontId="11" fillId="0" borderId="0" xfId="5" applyNumberFormat="1" applyFont="1" applyAlignment="1">
      <alignment horizontal="center" vertical="center"/>
    </xf>
    <xf numFmtId="165" fontId="8" fillId="0" borderId="8" xfId="5" applyNumberFormat="1" applyFont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165" fontId="11" fillId="0" borderId="0" xfId="5" applyNumberFormat="1" applyFont="1" applyBorder="1" applyAlignment="1">
      <alignment horizontal="center" vertical="center"/>
    </xf>
    <xf numFmtId="165" fontId="4" fillId="0" borderId="10" xfId="5" applyNumberFormat="1" applyFont="1" applyBorder="1" applyAlignment="1">
      <alignment horizontal="left"/>
    </xf>
    <xf numFmtId="165" fontId="4" fillId="0" borderId="7" xfId="5" applyNumberFormat="1" applyFont="1" applyBorder="1" applyAlignment="1">
      <alignment horizontal="center"/>
    </xf>
    <xf numFmtId="165" fontId="4" fillId="0" borderId="8" xfId="5" applyNumberFormat="1" applyFont="1" applyBorder="1" applyAlignment="1">
      <alignment horizontal="center"/>
    </xf>
    <xf numFmtId="165" fontId="4" fillId="0" borderId="0" xfId="5" quotePrefix="1" applyNumberFormat="1" applyFont="1" applyBorder="1" applyAlignment="1">
      <alignment horizontal="center"/>
    </xf>
    <xf numFmtId="165" fontId="4" fillId="0" borderId="10" xfId="5" quotePrefix="1" applyNumberFormat="1" applyFont="1" applyBorder="1" applyAlignment="1">
      <alignment horizontal="center"/>
    </xf>
    <xf numFmtId="165" fontId="4" fillId="0" borderId="7" xfId="5" quotePrefix="1" applyNumberFormat="1" applyFont="1" applyBorder="1" applyAlignment="1">
      <alignment horizontal="left"/>
    </xf>
    <xf numFmtId="165" fontId="4" fillId="0" borderId="0" xfId="5" quotePrefix="1" applyNumberFormat="1" applyFont="1" applyAlignment="1">
      <alignment horizontal="left"/>
    </xf>
    <xf numFmtId="165" fontId="4" fillId="0" borderId="8" xfId="5" quotePrefix="1" applyNumberFormat="1" applyFont="1" applyBorder="1" applyAlignment="1">
      <alignment horizontal="left"/>
    </xf>
    <xf numFmtId="165" fontId="8" fillId="0" borderId="7" xfId="5" quotePrefix="1" applyNumberFormat="1" applyFont="1" applyBorder="1" applyAlignment="1">
      <alignment horizontal="left"/>
    </xf>
    <xf numFmtId="165" fontId="8" fillId="0" borderId="8" xfId="5" quotePrefix="1" applyNumberFormat="1" applyFont="1" applyBorder="1" applyAlignment="1">
      <alignment horizontal="left"/>
    </xf>
    <xf numFmtId="164" fontId="8" fillId="0" borderId="0" xfId="6" quotePrefix="1" applyNumberFormat="1" applyFont="1" applyBorder="1" applyAlignment="1">
      <alignment horizontal="left"/>
    </xf>
    <xf numFmtId="165" fontId="8" fillId="0" borderId="11" xfId="5" applyNumberFormat="1" applyFont="1" applyBorder="1" applyAlignment="1">
      <alignment horizontal="right"/>
    </xf>
    <xf numFmtId="165" fontId="8" fillId="0" borderId="5" xfId="5" applyNumberFormat="1" applyFont="1" applyBorder="1" applyAlignment="1">
      <alignment horizontal="right"/>
    </xf>
    <xf numFmtId="165" fontId="8" fillId="0" borderId="1" xfId="5" applyNumberFormat="1" applyFont="1" applyBorder="1" applyAlignment="1">
      <alignment horizontal="right"/>
    </xf>
    <xf numFmtId="165" fontId="8" fillId="0" borderId="6" xfId="5" applyNumberFormat="1" applyFont="1" applyBorder="1" applyAlignment="1">
      <alignment horizontal="right"/>
    </xf>
    <xf numFmtId="165" fontId="8" fillId="0" borderId="7" xfId="5" applyNumberFormat="1" applyFont="1" applyBorder="1" applyAlignment="1">
      <alignment horizontal="right"/>
    </xf>
    <xf numFmtId="165" fontId="8" fillId="0" borderId="0" xfId="5" applyNumberFormat="1" applyFont="1" applyAlignment="1">
      <alignment horizontal="right"/>
    </xf>
    <xf numFmtId="165" fontId="8" fillId="0" borderId="7" xfId="5" applyNumberFormat="1" applyFont="1" applyBorder="1"/>
    <xf numFmtId="164" fontId="8" fillId="0" borderId="0" xfId="6" applyNumberFormat="1" applyFont="1"/>
    <xf numFmtId="165" fontId="8" fillId="0" borderId="0" xfId="5" applyNumberFormat="1" applyFont="1"/>
    <xf numFmtId="165" fontId="4" fillId="0" borderId="5" xfId="5" applyNumberFormat="1" applyFont="1" applyBorder="1" applyAlignment="1">
      <alignment horizontal="center"/>
    </xf>
    <xf numFmtId="165" fontId="4" fillId="0" borderId="1" xfId="5" applyNumberFormat="1" applyFont="1" applyBorder="1" applyAlignment="1">
      <alignment horizontal="center"/>
    </xf>
    <xf numFmtId="43" fontId="4" fillId="0" borderId="0" xfId="1" applyFont="1" applyAlignment="1">
      <alignment horizontal="right"/>
    </xf>
    <xf numFmtId="10" fontId="4" fillId="0" borderId="1" xfId="3" applyNumberFormat="1" applyFont="1" applyBorder="1"/>
    <xf numFmtId="164" fontId="4" fillId="0" borderId="0" xfId="6" applyNumberFormat="1" applyFont="1" applyBorder="1"/>
    <xf numFmtId="164" fontId="4" fillId="0" borderId="0" xfId="0" applyNumberFormat="1" applyFont="1"/>
    <xf numFmtId="37" fontId="4" fillId="0" borderId="0" xfId="0" applyNumberFormat="1" applyFont="1"/>
    <xf numFmtId="0" fontId="8" fillId="0" borderId="0" xfId="0" applyFont="1" applyAlignment="1">
      <alignment horizontal="left"/>
    </xf>
    <xf numFmtId="165" fontId="4" fillId="0" borderId="0" xfId="5" applyNumberFormat="1" applyFont="1" applyBorder="1" applyAlignment="1">
      <alignment horizontal="right"/>
    </xf>
    <xf numFmtId="165" fontId="4" fillId="0" borderId="0" xfId="1" applyNumberFormat="1" applyFont="1" applyFill="1" applyAlignment="1">
      <alignment vertical="center"/>
    </xf>
    <xf numFmtId="165" fontId="4" fillId="0" borderId="0" xfId="9" applyNumberFormat="1" applyFont="1" applyFill="1" applyBorder="1"/>
    <xf numFmtId="165" fontId="10" fillId="0" borderId="0" xfId="9" applyNumberFormat="1" applyFont="1" applyFill="1" applyBorder="1"/>
    <xf numFmtId="43" fontId="4" fillId="0" borderId="0" xfId="1" applyFont="1" applyFill="1" applyBorder="1"/>
    <xf numFmtId="43" fontId="4" fillId="0" borderId="0" xfId="9" applyFont="1" applyFill="1" applyBorder="1"/>
    <xf numFmtId="166" fontId="4" fillId="0" borderId="0" xfId="3" applyNumberFormat="1" applyFont="1" applyFill="1" applyBorder="1"/>
    <xf numFmtId="44" fontId="4" fillId="0" borderId="0" xfId="0" applyNumberFormat="1" applyFont="1"/>
    <xf numFmtId="0" fontId="4" fillId="0" borderId="0" xfId="0" quotePrefix="1" applyFont="1"/>
    <xf numFmtId="43" fontId="20" fillId="0" borderId="0" xfId="9" applyFont="1" applyFill="1" applyBorder="1"/>
    <xf numFmtId="4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9" fontId="4" fillId="0" borderId="0" xfId="3" applyFont="1" applyFill="1" applyBorder="1" applyAlignment="1">
      <alignment horizontal="right"/>
    </xf>
    <xf numFmtId="44" fontId="18" fillId="0" borderId="0" xfId="0" applyNumberFormat="1" applyFont="1" applyAlignment="1">
      <alignment horizontal="right"/>
    </xf>
    <xf numFmtId="44" fontId="4" fillId="0" borderId="0" xfId="10" applyFont="1" applyFill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8" fillId="0" borderId="0" xfId="3" applyNumberFormat="1" applyFont="1" applyFill="1" applyBorder="1" applyAlignment="1">
      <alignment horizontal="right"/>
    </xf>
    <xf numFmtId="9" fontId="19" fillId="0" borderId="0" xfId="4" applyNumberFormat="1" applyFont="1" applyAlignment="1">
      <alignment horizontal="right"/>
    </xf>
    <xf numFmtId="9" fontId="4" fillId="0" borderId="0" xfId="9" applyNumberFormat="1" applyFont="1" applyFill="1" applyBorder="1" applyAlignment="1">
      <alignment horizontal="right"/>
    </xf>
    <xf numFmtId="9" fontId="10" fillId="0" borderId="0" xfId="9" applyNumberFormat="1" applyFont="1" applyFill="1" applyBorder="1" applyAlignment="1">
      <alignment horizontal="right"/>
    </xf>
    <xf numFmtId="9" fontId="1" fillId="0" borderId="0" xfId="3" applyFont="1" applyFill="1" applyBorder="1" applyAlignment="1">
      <alignment horizontal="right"/>
    </xf>
    <xf numFmtId="9" fontId="19" fillId="0" borderId="0" xfId="3" applyFont="1" applyFill="1" applyBorder="1" applyAlignment="1">
      <alignment horizontal="right"/>
    </xf>
    <xf numFmtId="9" fontId="20" fillId="0" borderId="0" xfId="3" applyFont="1" applyFill="1" applyBorder="1" applyAlignment="1">
      <alignment horizontal="right"/>
    </xf>
    <xf numFmtId="44" fontId="1" fillId="0" borderId="0" xfId="0" applyNumberFormat="1" applyFont="1" applyAlignment="1">
      <alignment horizontal="right"/>
    </xf>
    <xf numFmtId="44" fontId="4" fillId="0" borderId="0" xfId="3" applyNumberFormat="1" applyFont="1" applyFill="1" applyBorder="1" applyAlignment="1">
      <alignment horizontal="right"/>
    </xf>
    <xf numFmtId="44" fontId="19" fillId="0" borderId="0" xfId="0" applyNumberFormat="1" applyFont="1" applyAlignment="1">
      <alignment horizontal="right"/>
    </xf>
    <xf numFmtId="44" fontId="4" fillId="0" borderId="0" xfId="9" applyNumberFormat="1" applyFont="1" applyFill="1" applyBorder="1" applyAlignment="1">
      <alignment horizontal="right"/>
    </xf>
    <xf numFmtId="44" fontId="10" fillId="0" borderId="0" xfId="9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center"/>
    </xf>
    <xf numFmtId="44" fontId="4" fillId="0" borderId="0" xfId="1" applyNumberFormat="1" applyFont="1" applyBorder="1"/>
    <xf numFmtId="10" fontId="4" fillId="0" borderId="0" xfId="1" applyNumberFormat="1" applyFont="1"/>
    <xf numFmtId="10" fontId="4" fillId="0" borderId="0" xfId="1" applyNumberFormat="1" applyFont="1" applyBorder="1"/>
    <xf numFmtId="165" fontId="10" fillId="0" borderId="0" xfId="0" applyNumberFormat="1" applyFont="1"/>
    <xf numFmtId="164" fontId="4" fillId="0" borderId="0" xfId="2" applyNumberFormat="1" applyFont="1" applyBorder="1"/>
    <xf numFmtId="0" fontId="8" fillId="0" borderId="0" xfId="0" applyFont="1"/>
    <xf numFmtId="44" fontId="4" fillId="0" borderId="0" xfId="2" applyFont="1"/>
    <xf numFmtId="10" fontId="4" fillId="0" borderId="1" xfId="0" applyNumberFormat="1" applyFont="1" applyBorder="1"/>
    <xf numFmtId="165" fontId="8" fillId="0" borderId="0" xfId="1" applyNumberFormat="1" applyFont="1"/>
    <xf numFmtId="44" fontId="8" fillId="0" borderId="0" xfId="1" applyNumberFormat="1" applyFont="1" applyBorder="1"/>
    <xf numFmtId="164" fontId="8" fillId="0" borderId="0" xfId="2" applyNumberFormat="1" applyFont="1" applyBorder="1"/>
    <xf numFmtId="43" fontId="4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2" applyNumberFormat="1" applyFont="1"/>
    <xf numFmtId="164" fontId="11" fillId="0" borderId="0" xfId="2" applyNumberFormat="1" applyFont="1"/>
    <xf numFmtId="164" fontId="4" fillId="0" borderId="1" xfId="6" applyNumberFormat="1" applyFont="1" applyBorder="1"/>
    <xf numFmtId="165" fontId="4" fillId="0" borderId="0" xfId="5" applyNumberFormat="1" applyFont="1" applyFill="1" applyBorder="1"/>
    <xf numFmtId="0" fontId="5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0" xfId="5" applyFont="1"/>
    <xf numFmtId="165" fontId="4" fillId="0" borderId="0" xfId="5" applyNumberFormat="1" applyFont="1" applyAlignment="1">
      <alignment horizontal="right"/>
    </xf>
    <xf numFmtId="165" fontId="4" fillId="0" borderId="1" xfId="5" applyNumberFormat="1" applyFont="1" applyBorder="1" applyAlignment="1">
      <alignment horizontal="right"/>
    </xf>
    <xf numFmtId="43" fontId="4" fillId="0" borderId="0" xfId="0" applyNumberFormat="1" applyFont="1"/>
    <xf numFmtId="165" fontId="4" fillId="0" borderId="0" xfId="5" applyNumberFormat="1" applyFont="1" applyFill="1"/>
    <xf numFmtId="166" fontId="4" fillId="0" borderId="0" xfId="7" applyNumberFormat="1" applyFont="1" applyFill="1"/>
    <xf numFmtId="164" fontId="8" fillId="0" borderId="0" xfId="0" applyNumberFormat="1" applyFont="1" applyAlignment="1">
      <alignment horizontal="right"/>
    </xf>
    <xf numFmtId="0" fontId="22" fillId="0" borderId="0" xfId="0" applyFont="1"/>
    <xf numFmtId="37" fontId="4" fillId="0" borderId="1" xfId="0" applyNumberFormat="1" applyFont="1" applyBorder="1" applyAlignment="1">
      <alignment horizontal="center"/>
    </xf>
    <xf numFmtId="3" fontId="4" fillId="0" borderId="0" xfId="5" applyNumberFormat="1" applyFont="1" applyFill="1"/>
    <xf numFmtId="37" fontId="4" fillId="0" borderId="1" xfId="0" applyNumberFormat="1" applyFont="1" applyBorder="1"/>
    <xf numFmtId="3" fontId="4" fillId="0" borderId="1" xfId="5" applyNumberFormat="1" applyFont="1" applyFill="1" applyBorder="1"/>
    <xf numFmtId="165" fontId="4" fillId="0" borderId="1" xfId="5" applyNumberFormat="1" applyFont="1" applyFill="1" applyBorder="1"/>
    <xf numFmtId="44" fontId="4" fillId="0" borderId="0" xfId="6" applyFont="1"/>
    <xf numFmtId="0" fontId="4" fillId="0" borderId="1" xfId="0" applyFont="1" applyBorder="1"/>
    <xf numFmtId="44" fontId="4" fillId="0" borderId="1" xfId="6" applyFont="1" applyBorder="1"/>
    <xf numFmtId="166" fontId="4" fillId="0" borderId="0" xfId="7" applyNumberFormat="1" applyFont="1"/>
    <xf numFmtId="0" fontId="4" fillId="0" borderId="0" xfId="0" quotePrefix="1" applyFont="1" applyAlignment="1">
      <alignment horizontal="center"/>
    </xf>
    <xf numFmtId="37" fontId="4" fillId="0" borderId="1" xfId="0" applyNumberFormat="1" applyFont="1" applyBorder="1" applyAlignment="1">
      <alignment horizontal="right"/>
    </xf>
    <xf numFmtId="165" fontId="4" fillId="0" borderId="0" xfId="1" applyNumberFormat="1" applyFont="1" applyFill="1"/>
    <xf numFmtId="165" fontId="4" fillId="0" borderId="1" xfId="1" applyNumberFormat="1" applyFont="1" applyFill="1" applyBorder="1"/>
    <xf numFmtId="37" fontId="4" fillId="0" borderId="12" xfId="0" applyNumberFormat="1" applyFont="1" applyBorder="1"/>
    <xf numFmtId="3" fontId="4" fillId="0" borderId="12" xfId="5" applyNumberFormat="1" applyFont="1" applyFill="1" applyBorder="1"/>
    <xf numFmtId="165" fontId="4" fillId="0" borderId="12" xfId="5" applyNumberFormat="1" applyFont="1" applyFill="1" applyBorder="1"/>
    <xf numFmtId="165" fontId="4" fillId="0" borderId="12" xfId="1" applyNumberFormat="1" applyFont="1" applyFill="1" applyBorder="1"/>
    <xf numFmtId="164" fontId="4" fillId="0" borderId="12" xfId="6" applyNumberFormat="1" applyFont="1" applyBorder="1"/>
    <xf numFmtId="165" fontId="4" fillId="0" borderId="12" xfId="5" applyNumberFormat="1" applyFont="1" applyBorder="1"/>
    <xf numFmtId="44" fontId="4" fillId="0" borderId="12" xfId="6" applyFont="1" applyBorder="1"/>
    <xf numFmtId="10" fontId="4" fillId="0" borderId="0" xfId="3" applyNumberFormat="1" applyFont="1"/>
    <xf numFmtId="0" fontId="21" fillId="0" borderId="0" xfId="0" applyFont="1"/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165" fontId="4" fillId="0" borderId="0" xfId="5" applyNumberFormat="1" applyFont="1" applyBorder="1" applyAlignment="1"/>
    <xf numFmtId="44" fontId="4" fillId="0" borderId="0" xfId="6" applyFont="1" applyBorder="1" applyAlignment="1"/>
    <xf numFmtId="10" fontId="4" fillId="0" borderId="8" xfId="7" applyNumberFormat="1" applyFont="1" applyBorder="1" applyAlignment="1">
      <alignment horizontal="center"/>
    </xf>
    <xf numFmtId="44" fontId="21" fillId="0" borderId="0" xfId="0" applyNumberFormat="1" applyFont="1"/>
    <xf numFmtId="43" fontId="4" fillId="0" borderId="0" xfId="5" applyFont="1" applyBorder="1" applyAlignment="1"/>
    <xf numFmtId="43" fontId="4" fillId="0" borderId="7" xfId="5" applyFont="1" applyBorder="1"/>
    <xf numFmtId="43" fontId="21" fillId="0" borderId="0" xfId="5" applyFont="1" applyAlignment="1"/>
    <xf numFmtId="0" fontId="21" fillId="0" borderId="7" xfId="0" applyFont="1" applyBorder="1"/>
    <xf numFmtId="0" fontId="21" fillId="0" borderId="8" xfId="0" applyFont="1" applyBorder="1"/>
    <xf numFmtId="44" fontId="4" fillId="0" borderId="7" xfId="6" applyFont="1" applyBorder="1"/>
    <xf numFmtId="165" fontId="4" fillId="0" borderId="1" xfId="5" applyNumberFormat="1" applyFont="1" applyBorder="1" applyAlignment="1"/>
    <xf numFmtId="43" fontId="4" fillId="0" borderId="5" xfId="5" applyFont="1" applyBorder="1"/>
    <xf numFmtId="43" fontId="4" fillId="0" borderId="6" xfId="5" applyFont="1" applyBorder="1" applyAlignment="1">
      <alignment horizontal="center"/>
    </xf>
    <xf numFmtId="165" fontId="21" fillId="0" borderId="0" xfId="5" applyNumberFormat="1" applyFont="1" applyAlignment="1"/>
    <xf numFmtId="165" fontId="4" fillId="0" borderId="0" xfId="5" applyNumberFormat="1" applyFont="1" applyAlignment="1"/>
    <xf numFmtId="166" fontId="4" fillId="0" borderId="0" xfId="7" applyNumberFormat="1" applyFont="1" applyAlignment="1"/>
    <xf numFmtId="43" fontId="4" fillId="0" borderId="0" xfId="5" applyFont="1" applyAlignment="1"/>
    <xf numFmtId="43" fontId="4" fillId="0" borderId="0" xfId="5" applyFont="1" applyBorder="1"/>
    <xf numFmtId="165" fontId="4" fillId="0" borderId="5" xfId="5" applyNumberFormat="1" applyFont="1" applyBorder="1"/>
    <xf numFmtId="165" fontId="10" fillId="0" borderId="0" xfId="5" applyNumberFormat="1" applyFont="1" applyBorder="1" applyAlignment="1">
      <alignment horizontal="center"/>
    </xf>
    <xf numFmtId="165" fontId="10" fillId="0" borderId="8" xfId="5" applyNumberFormat="1" applyFont="1" applyBorder="1" applyAlignment="1">
      <alignment horizontal="center"/>
    </xf>
    <xf numFmtId="165" fontId="10" fillId="0" borderId="7" xfId="5" applyNumberFormat="1" applyFont="1" applyBorder="1" applyAlignment="1">
      <alignment horizontal="center"/>
    </xf>
    <xf numFmtId="166" fontId="4" fillId="0" borderId="8" xfId="7" applyNumberFormat="1" applyFont="1" applyFill="1" applyBorder="1"/>
    <xf numFmtId="10" fontId="4" fillId="0" borderId="0" xfId="7" applyNumberFormat="1" applyFont="1" applyBorder="1"/>
    <xf numFmtId="166" fontId="4" fillId="0" borderId="8" xfId="7" applyNumberFormat="1" applyFont="1" applyBorder="1"/>
    <xf numFmtId="43" fontId="4" fillId="0" borderId="1" xfId="5" applyFont="1" applyBorder="1"/>
    <xf numFmtId="43" fontId="4" fillId="0" borderId="10" xfId="1" applyFont="1" applyBorder="1" applyAlignment="1">
      <alignment horizontal="center"/>
    </xf>
    <xf numFmtId="44" fontId="4" fillId="0" borderId="0" xfId="6" applyFont="1" applyFill="1"/>
    <xf numFmtId="165" fontId="4" fillId="0" borderId="1" xfId="5" applyNumberFormat="1" applyFont="1" applyFill="1" applyBorder="1" applyAlignment="1">
      <alignment horizontal="center"/>
    </xf>
    <xf numFmtId="164" fontId="4" fillId="0" borderId="0" xfId="6" applyNumberFormat="1" applyFont="1" applyFill="1"/>
    <xf numFmtId="44" fontId="4" fillId="0" borderId="1" xfId="6" applyFont="1" applyFill="1" applyBorder="1"/>
    <xf numFmtId="164" fontId="4" fillId="0" borderId="1" xfId="6" applyNumberFormat="1" applyFont="1" applyFill="1" applyBorder="1"/>
    <xf numFmtId="165" fontId="4" fillId="0" borderId="0" xfId="5" applyNumberFormat="1" applyFont="1" applyBorder="1" applyAlignment="1">
      <alignment horizontal="center"/>
    </xf>
    <xf numFmtId="44" fontId="4" fillId="0" borderId="0" xfId="2" applyFont="1" applyFill="1"/>
    <xf numFmtId="0" fontId="23" fillId="0" borderId="0" xfId="0" applyFont="1"/>
    <xf numFmtId="43" fontId="23" fillId="0" borderId="0" xfId="1" applyFont="1"/>
    <xf numFmtId="43" fontId="23" fillId="0" borderId="1" xfId="1" applyFont="1" applyBorder="1"/>
    <xf numFmtId="43" fontId="23" fillId="0" borderId="0" xfId="1" applyFont="1" applyAlignment="1">
      <alignment horizontal="right"/>
    </xf>
    <xf numFmtId="0" fontId="23" fillId="0" borderId="0" xfId="0" applyFont="1" applyAlignment="1">
      <alignment horizontal="right"/>
    </xf>
    <xf numFmtId="43" fontId="23" fillId="0" borderId="0" xfId="0" applyNumberFormat="1" applyFont="1"/>
    <xf numFmtId="43" fontId="23" fillId="0" borderId="1" xfId="0" applyNumberFormat="1" applyFont="1" applyBorder="1"/>
    <xf numFmtId="165" fontId="23" fillId="0" borderId="0" xfId="1" applyNumberFormat="1" applyFont="1"/>
    <xf numFmtId="165" fontId="23" fillId="0" borderId="1" xfId="1" applyNumberFormat="1" applyFont="1" applyBorder="1"/>
    <xf numFmtId="43" fontId="4" fillId="0" borderId="0" xfId="0" applyNumberFormat="1" applyFont="1" applyAlignment="1">
      <alignment horizontal="right"/>
    </xf>
    <xf numFmtId="165" fontId="4" fillId="0" borderId="0" xfId="1" applyNumberFormat="1" applyFont="1" applyFill="1" applyAlignment="1">
      <alignment horizontal="center"/>
    </xf>
    <xf numFmtId="165" fontId="10" fillId="0" borderId="0" xfId="1" applyNumberFormat="1" applyFont="1" applyBorder="1"/>
    <xf numFmtId="44" fontId="4" fillId="0" borderId="7" xfId="2" applyFont="1" applyBorder="1"/>
    <xf numFmtId="165" fontId="4" fillId="2" borderId="0" xfId="5" applyNumberFormat="1" applyFont="1" applyFill="1" applyBorder="1"/>
    <xf numFmtId="43" fontId="4" fillId="2" borderId="8" xfId="5" quotePrefix="1" applyFont="1" applyFill="1" applyBorder="1" applyAlignment="1">
      <alignment horizontal="center"/>
    </xf>
    <xf numFmtId="43" fontId="4" fillId="2" borderId="7" xfId="5" applyFont="1" applyFill="1" applyBorder="1"/>
    <xf numFmtId="43" fontId="4" fillId="2" borderId="0" xfId="5" applyFont="1" applyFill="1" applyBorder="1"/>
    <xf numFmtId="10" fontId="4" fillId="2" borderId="0" xfId="7" applyNumberFormat="1" applyFont="1" applyFill="1" applyBorder="1"/>
    <xf numFmtId="165" fontId="4" fillId="0" borderId="7" xfId="5" quotePrefix="1" applyNumberFormat="1" applyFont="1" applyBorder="1" applyAlignment="1">
      <alignment horizontal="center"/>
    </xf>
    <xf numFmtId="164" fontId="8" fillId="0" borderId="0" xfId="6" applyNumberFormat="1" applyFont="1" applyFill="1"/>
    <xf numFmtId="0" fontId="24" fillId="0" borderId="0" xfId="0" applyFont="1"/>
    <xf numFmtId="164" fontId="4" fillId="0" borderId="0" xfId="0" applyNumberFormat="1" applyFont="1" applyAlignment="1">
      <alignment horizontal="right"/>
    </xf>
    <xf numFmtId="167" fontId="4" fillId="0" borderId="0" xfId="5" applyNumberFormat="1" applyFont="1" applyAlignment="1"/>
    <xf numFmtId="0" fontId="4" fillId="0" borderId="3" xfId="0" applyFont="1" applyBorder="1"/>
    <xf numFmtId="3" fontId="4" fillId="0" borderId="2" xfId="0" applyNumberFormat="1" applyFont="1" applyBorder="1"/>
    <xf numFmtId="164" fontId="4" fillId="0" borderId="2" xfId="0" applyNumberFormat="1" applyFont="1" applyBorder="1" applyAlignment="1">
      <alignment horizontal="right"/>
    </xf>
    <xf numFmtId="167" fontId="4" fillId="0" borderId="2" xfId="5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167" fontId="4" fillId="0" borderId="0" xfId="5" applyNumberFormat="1" applyFont="1" applyBorder="1" applyAlignment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7" fontId="9" fillId="0" borderId="0" xfId="5" applyNumberFormat="1" applyFont="1" applyBorder="1" applyAlignment="1">
      <alignment horizontal="center"/>
    </xf>
    <xf numFmtId="44" fontId="1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3" fontId="9" fillId="0" borderId="0" xfId="0" applyNumberFormat="1" applyFont="1"/>
    <xf numFmtId="168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4" fontId="4" fillId="0" borderId="0" xfId="5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7" fontId="4" fillId="0" borderId="0" xfId="5" applyNumberFormat="1" applyFont="1" applyBorder="1" applyAlignment="1">
      <alignment horizontal="center"/>
    </xf>
    <xf numFmtId="167" fontId="4" fillId="0" borderId="0" xfId="5" quotePrefix="1" applyNumberFormat="1" applyFont="1" applyBorder="1" applyAlignment="1">
      <alignment horizontal="center"/>
    </xf>
    <xf numFmtId="167" fontId="14" fillId="0" borderId="0" xfId="5" applyNumberFormat="1" applyFont="1" applyBorder="1" applyAlignment="1"/>
    <xf numFmtId="167" fontId="4" fillId="0" borderId="0" xfId="5" applyNumberFormat="1" applyFont="1" applyBorder="1" applyAlignment="1">
      <alignment horizontal="right"/>
    </xf>
    <xf numFmtId="3" fontId="8" fillId="0" borderId="0" xfId="0" applyNumberFormat="1" applyFont="1"/>
    <xf numFmtId="169" fontId="8" fillId="0" borderId="0" xfId="0" applyNumberFormat="1" applyFont="1" applyAlignment="1">
      <alignment horizontal="right"/>
    </xf>
    <xf numFmtId="170" fontId="4" fillId="0" borderId="0" xfId="0" applyNumberFormat="1" applyFont="1"/>
    <xf numFmtId="169" fontId="8" fillId="0" borderId="0" xfId="0" applyNumberFormat="1" applyFont="1"/>
    <xf numFmtId="3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7" fontId="4" fillId="0" borderId="1" xfId="5" applyNumberFormat="1" applyFont="1" applyBorder="1" applyAlignment="1">
      <alignment horizontal="right"/>
    </xf>
    <xf numFmtId="3" fontId="4" fillId="0" borderId="6" xfId="0" applyNumberFormat="1" applyFont="1" applyBorder="1"/>
    <xf numFmtId="4" fontId="4" fillId="0" borderId="7" xfId="0" applyNumberFormat="1" applyFont="1" applyBorder="1"/>
    <xf numFmtId="0" fontId="0" fillId="0" borderId="0" xfId="0" applyAlignment="1">
      <alignment horizontal="right"/>
    </xf>
    <xf numFmtId="3" fontId="24" fillId="0" borderId="0" xfId="0" applyNumberFormat="1" applyFont="1"/>
    <xf numFmtId="0" fontId="24" fillId="0" borderId="0" xfId="0" applyFont="1" applyAlignment="1">
      <alignment horizontal="right"/>
    </xf>
    <xf numFmtId="165" fontId="4" fillId="0" borderId="0" xfId="1" applyNumberFormat="1" applyFont="1" applyFill="1" applyAlignment="1">
      <alignment horizontal="center" vertical="center"/>
    </xf>
    <xf numFmtId="44" fontId="4" fillId="0" borderId="0" xfId="2" applyFont="1" applyFill="1" applyBorder="1"/>
    <xf numFmtId="43" fontId="4" fillId="0" borderId="0" xfId="1" applyFont="1" applyFill="1"/>
    <xf numFmtId="10" fontId="4" fillId="0" borderId="1" xfId="3" applyNumberFormat="1" applyFont="1" applyFill="1" applyBorder="1"/>
    <xf numFmtId="165" fontId="4" fillId="0" borderId="0" xfId="1" applyNumberFormat="1" applyFont="1" applyFill="1" applyBorder="1" applyAlignment="1">
      <alignment horizontal="center" vertical="center"/>
    </xf>
    <xf numFmtId="43" fontId="0" fillId="0" borderId="0" xfId="0" applyNumberFormat="1"/>
    <xf numFmtId="10" fontId="4" fillId="0" borderId="0" xfId="3" applyNumberFormat="1" applyFont="1" applyFill="1" applyBorder="1"/>
    <xf numFmtId="10" fontId="4" fillId="0" borderId="0" xfId="7" applyNumberFormat="1" applyFont="1" applyFill="1"/>
    <xf numFmtId="43" fontId="4" fillId="0" borderId="7" xfId="1" applyFont="1" applyBorder="1" applyAlignment="1">
      <alignment horizontal="center"/>
    </xf>
    <xf numFmtId="44" fontId="4" fillId="2" borderId="7" xfId="5" applyNumberFormat="1" applyFont="1" applyFill="1" applyBorder="1"/>
    <xf numFmtId="165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167" fontId="9" fillId="0" borderId="0" xfId="5" applyNumberFormat="1" applyFont="1" applyBorder="1" applyAlignment="1">
      <alignment horizontal="center"/>
    </xf>
    <xf numFmtId="165" fontId="11" fillId="0" borderId="7" xfId="5" applyNumberFormat="1" applyFont="1" applyBorder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165" fontId="8" fillId="0" borderId="5" xfId="5" applyNumberFormat="1" applyFont="1" applyBorder="1" applyAlignment="1">
      <alignment horizontal="center"/>
    </xf>
    <xf numFmtId="165" fontId="8" fillId="0" borderId="1" xfId="5" applyNumberFormat="1" applyFont="1" applyBorder="1" applyAlignment="1">
      <alignment horizontal="center"/>
    </xf>
    <xf numFmtId="165" fontId="8" fillId="0" borderId="6" xfId="5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Muhlenberg%20County%20WD/MCWD%20Depreciation%20Sch%202023.xlsx" TargetMode="External"/><Relationship Id="rId1" Type="http://schemas.openxmlformats.org/officeDocument/2006/relationships/externalLinkPath" Target="MCWD%20Depreciation%20S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7">
          <cell r="D27">
            <v>307687.09000000008</v>
          </cell>
          <cell r="E27">
            <v>11028.079999999998</v>
          </cell>
        </row>
        <row r="40">
          <cell r="D40">
            <v>69372.75</v>
          </cell>
          <cell r="E40">
            <v>3304.15</v>
          </cell>
        </row>
        <row r="43">
          <cell r="D43">
            <v>9122.85</v>
          </cell>
          <cell r="E43">
            <v>1303.26</v>
          </cell>
        </row>
        <row r="51">
          <cell r="D51">
            <v>26467.440000000002</v>
          </cell>
          <cell r="E51">
            <v>3121.2699999999995</v>
          </cell>
        </row>
        <row r="54">
          <cell r="D54">
            <v>24000</v>
          </cell>
          <cell r="E54">
            <v>600</v>
          </cell>
        </row>
        <row r="56">
          <cell r="D56">
            <v>101409.5</v>
          </cell>
          <cell r="E56">
            <v>10140.950000000001</v>
          </cell>
        </row>
        <row r="65">
          <cell r="D65">
            <v>80048.05</v>
          </cell>
          <cell r="E65">
            <v>3883.56</v>
          </cell>
        </row>
        <row r="73">
          <cell r="D73">
            <v>11800.529999999999</v>
          </cell>
          <cell r="E73">
            <v>484.89</v>
          </cell>
        </row>
        <row r="109">
          <cell r="D109">
            <v>6106577.8899999997</v>
          </cell>
          <cell r="E109">
            <v>135289.26</v>
          </cell>
        </row>
        <row r="113">
          <cell r="D113">
            <v>1282220.25</v>
          </cell>
          <cell r="E113">
            <v>85598.01</v>
          </cell>
        </row>
        <row r="117">
          <cell r="D117">
            <v>64267.53</v>
          </cell>
          <cell r="E117">
            <v>4284.51</v>
          </cell>
        </row>
        <row r="137">
          <cell r="D137">
            <v>2316102.1999999997</v>
          </cell>
          <cell r="E137">
            <v>67300.489999999976</v>
          </cell>
        </row>
        <row r="167">
          <cell r="D167">
            <v>1111732.1599999999</v>
          </cell>
          <cell r="E167">
            <v>123797.65999999999</v>
          </cell>
        </row>
        <row r="184">
          <cell r="D184">
            <v>3639495.64</v>
          </cell>
          <cell r="E184">
            <v>72668.399999999994</v>
          </cell>
        </row>
        <row r="186">
          <cell r="D186">
            <v>1847.84</v>
          </cell>
          <cell r="E186">
            <v>338.77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workbookViewId="0">
      <selection sqref="A1:G36"/>
    </sheetView>
  </sheetViews>
  <sheetFormatPr defaultColWidth="8.77734375" defaultRowHeight="14.25" x14ac:dyDescent="0.45"/>
  <cols>
    <col min="1" max="1" width="3.6640625" style="6" customWidth="1"/>
    <col min="2" max="2" width="2.6640625" style="6" customWidth="1"/>
    <col min="3" max="3" width="29.44140625" style="6" customWidth="1"/>
    <col min="4" max="4" width="11.33203125" style="6" customWidth="1"/>
    <col min="5" max="5" width="11.5546875" style="6" customWidth="1"/>
    <col min="6" max="6" width="5.33203125" style="6" customWidth="1"/>
    <col min="7" max="7" width="11.5546875" style="6" customWidth="1"/>
    <col min="8" max="8" width="3.5546875" style="6" customWidth="1"/>
    <col min="9" max="9" width="34.109375" style="6" bestFit="1" customWidth="1"/>
    <col min="10" max="10" width="11.33203125" style="6" customWidth="1"/>
    <col min="11" max="11" width="10.88671875" style="6" customWidth="1"/>
    <col min="12" max="16384" width="8.77734375" style="6"/>
  </cols>
  <sheetData>
    <row r="1" spans="1:11" ht="18" x14ac:dyDescent="0.45">
      <c r="A1" s="296" t="s">
        <v>0</v>
      </c>
      <c r="B1" s="296"/>
      <c r="C1" s="296"/>
      <c r="D1" s="296"/>
      <c r="E1" s="296"/>
      <c r="F1" s="296"/>
      <c r="G1" s="296"/>
      <c r="H1" s="32"/>
      <c r="I1" s="32"/>
      <c r="J1" s="32"/>
    </row>
    <row r="2" spans="1:11" ht="15.75" x14ac:dyDescent="0.45">
      <c r="A2" s="33" t="s">
        <v>1</v>
      </c>
      <c r="B2" s="31"/>
      <c r="C2" s="31"/>
      <c r="D2" s="31"/>
      <c r="E2" s="31"/>
      <c r="F2" s="31"/>
      <c r="G2" s="31"/>
      <c r="H2" s="32"/>
      <c r="I2" s="32"/>
      <c r="J2" s="32"/>
      <c r="K2" s="32"/>
    </row>
    <row r="3" spans="1:11" x14ac:dyDescent="0.45">
      <c r="A3" s="27"/>
      <c r="B3" s="31"/>
      <c r="C3" s="31"/>
      <c r="D3" s="31"/>
      <c r="E3" s="31"/>
      <c r="F3" s="31"/>
      <c r="G3" s="31"/>
      <c r="H3" s="32"/>
      <c r="I3" s="32"/>
      <c r="J3" s="32"/>
    </row>
    <row r="4" spans="1:11" x14ac:dyDescent="0.45">
      <c r="A4" s="32"/>
      <c r="B4" s="32"/>
      <c r="C4" s="32"/>
      <c r="D4" s="34" t="s">
        <v>229</v>
      </c>
      <c r="E4" s="34" t="s">
        <v>2</v>
      </c>
      <c r="F4" s="34" t="s">
        <v>3</v>
      </c>
      <c r="G4" s="34" t="s">
        <v>4</v>
      </c>
      <c r="H4" s="32"/>
      <c r="I4" s="32"/>
      <c r="J4" s="32"/>
    </row>
    <row r="5" spans="1:11" x14ac:dyDescent="0.45">
      <c r="A5" s="35" t="s">
        <v>6</v>
      </c>
      <c r="B5" s="32"/>
      <c r="C5" s="32"/>
      <c r="D5" s="32"/>
      <c r="F5" s="32"/>
      <c r="G5" s="32"/>
      <c r="H5" s="32"/>
      <c r="I5" s="32"/>
      <c r="J5" s="32"/>
    </row>
    <row r="6" spans="1:11" x14ac:dyDescent="0.45">
      <c r="A6" s="32"/>
      <c r="B6" s="32" t="s">
        <v>223</v>
      </c>
      <c r="C6" s="32"/>
      <c r="D6" s="32">
        <v>4095760</v>
      </c>
      <c r="E6" s="32">
        <f>ExBA!G18</f>
        <v>359246.41299999971</v>
      </c>
      <c r="F6" s="36" t="s">
        <v>260</v>
      </c>
      <c r="G6" s="32">
        <f>D6+E6</f>
        <v>4455006.4129999997</v>
      </c>
      <c r="H6" s="37"/>
      <c r="I6" s="32" t="s">
        <v>234</v>
      </c>
      <c r="J6" s="32"/>
    </row>
    <row r="7" spans="1:11" x14ac:dyDescent="0.45">
      <c r="A7" s="32"/>
      <c r="B7" s="32" t="s">
        <v>7</v>
      </c>
      <c r="D7" s="32">
        <v>68761</v>
      </c>
      <c r="E7" s="32">
        <v>0</v>
      </c>
      <c r="F7" s="36"/>
      <c r="G7" s="32">
        <f>D7+E7</f>
        <v>68761</v>
      </c>
      <c r="H7" s="37"/>
      <c r="I7" s="32"/>
      <c r="J7" s="32"/>
    </row>
    <row r="8" spans="1:11" x14ac:dyDescent="0.45">
      <c r="A8" s="32"/>
      <c r="B8" s="32" t="s">
        <v>8</v>
      </c>
      <c r="D8" s="32">
        <v>76838</v>
      </c>
      <c r="E8" s="32">
        <v>0</v>
      </c>
      <c r="F8" s="36"/>
      <c r="G8" s="32">
        <f>D8+E8</f>
        <v>76838</v>
      </c>
      <c r="H8" s="37"/>
      <c r="I8" s="32"/>
      <c r="J8" s="32"/>
    </row>
    <row r="9" spans="1:11" ht="16.5" x14ac:dyDescent="0.45">
      <c r="A9" s="32"/>
      <c r="B9" s="32" t="s">
        <v>9</v>
      </c>
      <c r="D9" s="51">
        <v>0</v>
      </c>
      <c r="E9" s="53">
        <v>0</v>
      </c>
      <c r="F9" s="36"/>
      <c r="G9" s="51">
        <f>D9+E9</f>
        <v>0</v>
      </c>
      <c r="H9" s="38"/>
      <c r="I9" s="32"/>
      <c r="J9" s="32"/>
    </row>
    <row r="10" spans="1:11" x14ac:dyDescent="0.45">
      <c r="A10" s="40" t="s">
        <v>10</v>
      </c>
      <c r="B10" s="32"/>
      <c r="C10" s="32"/>
      <c r="D10" s="32">
        <f>SUM(D6:D9)</f>
        <v>4241359</v>
      </c>
      <c r="E10" s="32">
        <f>SUM(E6:E9)</f>
        <v>359246.41299999971</v>
      </c>
      <c r="F10" s="36"/>
      <c r="G10" s="32">
        <f>SUM(G6:G9)</f>
        <v>4600605.4129999997</v>
      </c>
      <c r="H10" s="39"/>
      <c r="I10" s="32"/>
      <c r="J10" s="32"/>
    </row>
    <row r="11" spans="1:11" x14ac:dyDescent="0.45">
      <c r="A11" s="32"/>
      <c r="B11" s="32"/>
      <c r="C11" s="32"/>
      <c r="D11" s="32"/>
      <c r="E11" s="32"/>
      <c r="F11" s="36"/>
      <c r="G11" s="32"/>
      <c r="H11" s="39"/>
      <c r="I11" s="32"/>
      <c r="J11" s="32"/>
    </row>
    <row r="12" spans="1:11" x14ac:dyDescent="0.45">
      <c r="A12" s="35" t="s">
        <v>11</v>
      </c>
      <c r="B12" s="32"/>
      <c r="C12" s="32"/>
      <c r="D12" s="32"/>
      <c r="E12" s="32"/>
      <c r="F12" s="36"/>
      <c r="G12" s="32"/>
      <c r="H12" s="39"/>
      <c r="I12" s="32"/>
      <c r="J12" s="32"/>
    </row>
    <row r="13" spans="1:11" x14ac:dyDescent="0.45">
      <c r="A13" s="32"/>
      <c r="B13" s="32" t="s">
        <v>12</v>
      </c>
      <c r="C13" s="32"/>
      <c r="D13" s="32"/>
      <c r="E13" s="32"/>
      <c r="F13" s="36"/>
      <c r="G13" s="32"/>
      <c r="H13" s="39"/>
      <c r="I13" s="32"/>
      <c r="J13" s="32"/>
    </row>
    <row r="14" spans="1:11" x14ac:dyDescent="0.45">
      <c r="A14" s="32"/>
      <c r="B14" s="32"/>
      <c r="C14" s="32" t="s">
        <v>13</v>
      </c>
      <c r="D14" s="32">
        <v>956992</v>
      </c>
      <c r="E14" s="104">
        <f>Wages!I32</f>
        <v>-38554.661249999888</v>
      </c>
      <c r="F14" s="236" t="s">
        <v>259</v>
      </c>
      <c r="G14" s="32">
        <f>SUM(D14:E14)</f>
        <v>918437.33875000011</v>
      </c>
      <c r="H14" s="37"/>
      <c r="I14" s="32" t="s">
        <v>258</v>
      </c>
      <c r="J14" s="32"/>
    </row>
    <row r="15" spans="1:11" x14ac:dyDescent="0.45">
      <c r="A15" s="32"/>
      <c r="B15" s="32"/>
      <c r="C15" s="32" t="s">
        <v>14</v>
      </c>
      <c r="D15" s="32">
        <v>18000</v>
      </c>
      <c r="E15" s="104">
        <v>0</v>
      </c>
      <c r="F15" s="36"/>
      <c r="G15" s="32">
        <f>D15+E15</f>
        <v>18000</v>
      </c>
      <c r="H15" s="37"/>
    </row>
    <row r="16" spans="1:11" x14ac:dyDescent="0.45">
      <c r="A16" s="32"/>
      <c r="B16" s="32"/>
      <c r="C16" s="32" t="s">
        <v>15</v>
      </c>
      <c r="D16" s="32">
        <v>545168</v>
      </c>
      <c r="E16" s="104">
        <f>Medical!C14</f>
        <v>-129916.65720000002</v>
      </c>
      <c r="F16" s="41" t="s">
        <v>261</v>
      </c>
      <c r="G16" s="32"/>
      <c r="H16" s="37"/>
      <c r="I16" s="32" t="s">
        <v>233</v>
      </c>
      <c r="J16" s="32"/>
    </row>
    <row r="17" spans="1:10" x14ac:dyDescent="0.45">
      <c r="A17" s="32"/>
      <c r="B17" s="32"/>
      <c r="C17" s="32"/>
      <c r="D17" s="32"/>
      <c r="E17" s="104">
        <f>Wages!I44</f>
        <v>-47140.872230374982</v>
      </c>
      <c r="F17" s="236" t="s">
        <v>232</v>
      </c>
      <c r="G17" s="32">
        <f>D16+E16+E17</f>
        <v>368110.47056962503</v>
      </c>
      <c r="H17" s="37"/>
      <c r="I17" s="32" t="s">
        <v>268</v>
      </c>
      <c r="J17" s="32"/>
    </row>
    <row r="18" spans="1:10" x14ac:dyDescent="0.45">
      <c r="A18" s="32"/>
      <c r="B18" s="32"/>
      <c r="C18" s="32" t="s">
        <v>16</v>
      </c>
      <c r="D18" s="32">
        <v>1609028</v>
      </c>
      <c r="E18" s="104">
        <f>'Purchased Water'!B45</f>
        <v>325715.48</v>
      </c>
      <c r="F18" s="41" t="s">
        <v>263</v>
      </c>
      <c r="H18" s="42"/>
      <c r="I18" s="6" t="s">
        <v>231</v>
      </c>
    </row>
    <row r="19" spans="1:10" x14ac:dyDescent="0.45">
      <c r="A19" s="32"/>
      <c r="B19" s="32"/>
      <c r="C19" s="32"/>
      <c r="D19" s="32"/>
      <c r="E19" s="6">
        <f>-'Purchased Water'!D32-'Purchased Water'!D33</f>
        <v>-49307.759256418693</v>
      </c>
      <c r="F19" s="41" t="s">
        <v>264</v>
      </c>
      <c r="G19" s="32">
        <f>SUM(D18:E19)</f>
        <v>1885435.7207435812</v>
      </c>
      <c r="H19" s="42"/>
      <c r="I19" s="6" t="s">
        <v>235</v>
      </c>
    </row>
    <row r="20" spans="1:10" x14ac:dyDescent="0.45">
      <c r="A20" s="32"/>
      <c r="B20" s="32"/>
      <c r="C20" s="32" t="s">
        <v>17</v>
      </c>
      <c r="D20" s="32">
        <v>119207</v>
      </c>
      <c r="E20" s="104">
        <f>-'Purchased Water'!D34</f>
        <v>-3038.0410211693302</v>
      </c>
      <c r="F20" s="41" t="s">
        <v>264</v>
      </c>
      <c r="G20" s="32">
        <f t="shared" ref="G20:G27" si="0">D20+E20</f>
        <v>116168.95897883068</v>
      </c>
      <c r="H20" s="43"/>
      <c r="I20" s="6" t="s">
        <v>235</v>
      </c>
      <c r="J20" s="32"/>
    </row>
    <row r="21" spans="1:10" x14ac:dyDescent="0.45">
      <c r="A21" s="32"/>
      <c r="B21" s="32"/>
      <c r="C21" s="32" t="s">
        <v>18</v>
      </c>
      <c r="D21" s="32">
        <v>7609</v>
      </c>
      <c r="E21" s="104">
        <f>-'Purchased Water'!D35</f>
        <v>-193.91859647568879</v>
      </c>
      <c r="F21" s="41" t="s">
        <v>264</v>
      </c>
      <c r="G21" s="32">
        <f t="shared" si="0"/>
        <v>7415.0814035243111</v>
      </c>
      <c r="H21" s="43"/>
      <c r="I21" s="6" t="s">
        <v>235</v>
      </c>
      <c r="J21" s="32"/>
    </row>
    <row r="22" spans="1:10" x14ac:dyDescent="0.45">
      <c r="A22" s="32"/>
      <c r="B22" s="32"/>
      <c r="C22" s="32" t="s">
        <v>19</v>
      </c>
      <c r="D22" s="32">
        <v>191565</v>
      </c>
      <c r="E22" s="32">
        <f>'Materials and Supplies'!E8</f>
        <v>159750.67999999996</v>
      </c>
      <c r="F22" s="41" t="s">
        <v>265</v>
      </c>
      <c r="G22" s="32">
        <f t="shared" si="0"/>
        <v>351315.67999999993</v>
      </c>
      <c r="H22" s="37"/>
      <c r="I22" s="32" t="s">
        <v>244</v>
      </c>
      <c r="J22" s="32"/>
    </row>
    <row r="23" spans="1:10" x14ac:dyDescent="0.45">
      <c r="A23" s="32"/>
      <c r="B23" s="32"/>
      <c r="C23" s="32" t="s">
        <v>20</v>
      </c>
      <c r="D23" s="32">
        <f>11203+64015+8034+12584+900</f>
        <v>96736</v>
      </c>
      <c r="E23" s="32">
        <f>'Software Upgrade'!C13</f>
        <v>13110</v>
      </c>
      <c r="F23" s="41" t="s">
        <v>266</v>
      </c>
      <c r="G23" s="32">
        <f t="shared" si="0"/>
        <v>109846</v>
      </c>
      <c r="H23" s="37"/>
      <c r="I23" s="32" t="s">
        <v>255</v>
      </c>
      <c r="J23" s="32"/>
    </row>
    <row r="24" spans="1:10" x14ac:dyDescent="0.45">
      <c r="A24" s="32"/>
      <c r="B24" s="32"/>
      <c r="C24" s="32" t="s">
        <v>21</v>
      </c>
      <c r="D24" s="32">
        <v>2511</v>
      </c>
      <c r="E24" s="32">
        <v>0</v>
      </c>
      <c r="F24" s="41"/>
      <c r="G24" s="32">
        <f t="shared" si="0"/>
        <v>2511</v>
      </c>
      <c r="H24" s="37"/>
      <c r="I24" s="32"/>
      <c r="J24" s="32"/>
    </row>
    <row r="25" spans="1:10" x14ac:dyDescent="0.45">
      <c r="A25" s="32"/>
      <c r="B25" s="32"/>
      <c r="C25" s="32" t="s">
        <v>22</v>
      </c>
      <c r="D25" s="32">
        <v>72286</v>
      </c>
      <c r="E25" s="32">
        <v>0</v>
      </c>
      <c r="F25" s="41"/>
      <c r="G25" s="32">
        <f t="shared" si="0"/>
        <v>72286</v>
      </c>
      <c r="H25" s="39"/>
      <c r="I25" s="32"/>
      <c r="J25" s="32"/>
    </row>
    <row r="26" spans="1:10" x14ac:dyDescent="0.45">
      <c r="A26" s="32"/>
      <c r="B26" s="32"/>
      <c r="C26" s="32" t="s">
        <v>23</v>
      </c>
      <c r="D26" s="32">
        <v>16471</v>
      </c>
      <c r="E26" s="32">
        <v>0</v>
      </c>
      <c r="F26" s="41"/>
      <c r="G26" s="32">
        <f t="shared" si="0"/>
        <v>16471</v>
      </c>
      <c r="H26" s="39"/>
      <c r="I26" s="32"/>
      <c r="J26" s="32"/>
    </row>
    <row r="27" spans="1:10" x14ac:dyDescent="0.45">
      <c r="A27" s="32"/>
      <c r="B27" s="32"/>
      <c r="C27" s="32" t="s">
        <v>24</v>
      </c>
      <c r="D27" s="32">
        <v>60480</v>
      </c>
      <c r="E27" s="32">
        <v>0</v>
      </c>
      <c r="F27" s="41"/>
      <c r="G27" s="32">
        <f t="shared" si="0"/>
        <v>60480</v>
      </c>
      <c r="H27" s="39"/>
      <c r="I27" s="32"/>
      <c r="J27" s="32"/>
    </row>
    <row r="28" spans="1:10" x14ac:dyDescent="0.45">
      <c r="A28" s="32"/>
      <c r="B28" s="32"/>
      <c r="C28" s="32" t="s">
        <v>25</v>
      </c>
      <c r="D28" s="32">
        <v>2604</v>
      </c>
      <c r="E28" s="32">
        <v>0</v>
      </c>
      <c r="F28" s="41"/>
      <c r="G28" s="32">
        <f>SUM(D28:E28)</f>
        <v>2604</v>
      </c>
      <c r="H28" s="39"/>
      <c r="I28" s="32"/>
      <c r="J28" s="32"/>
    </row>
    <row r="29" spans="1:10" x14ac:dyDescent="0.45">
      <c r="A29" s="32"/>
      <c r="B29" s="32"/>
      <c r="C29" s="32" t="s">
        <v>26</v>
      </c>
      <c r="D29" s="32">
        <v>24800</v>
      </c>
      <c r="E29" s="32">
        <v>0</v>
      </c>
      <c r="F29" s="36"/>
      <c r="G29" s="32">
        <f>D29+E29</f>
        <v>24800</v>
      </c>
      <c r="H29" s="39"/>
      <c r="I29" s="32"/>
      <c r="J29" s="32"/>
    </row>
    <row r="30" spans="1:10" ht="16.5" x14ac:dyDescent="0.45">
      <c r="A30" s="32"/>
      <c r="B30" s="32"/>
      <c r="C30" s="32" t="s">
        <v>27</v>
      </c>
      <c r="D30" s="51">
        <v>185161</v>
      </c>
      <c r="E30" s="51">
        <v>0</v>
      </c>
      <c r="F30" s="41"/>
      <c r="G30" s="51">
        <f>D30+E30</f>
        <v>185161</v>
      </c>
      <c r="H30" s="39"/>
      <c r="I30" s="32"/>
      <c r="J30" s="32"/>
    </row>
    <row r="31" spans="1:10" x14ac:dyDescent="0.45">
      <c r="A31" s="32"/>
      <c r="B31" s="32" t="s">
        <v>28</v>
      </c>
      <c r="C31" s="32"/>
      <c r="D31" s="32">
        <f>SUM(D14:D30)</f>
        <v>3908618</v>
      </c>
      <c r="E31" s="32">
        <f>SUM(E14:E30)</f>
        <v>230424.25044556134</v>
      </c>
      <c r="F31" s="36"/>
      <c r="G31" s="32">
        <f>SUM(G14:G30)</f>
        <v>4139042.2504455615</v>
      </c>
      <c r="H31" s="39"/>
      <c r="I31" s="32"/>
      <c r="J31" s="32"/>
    </row>
    <row r="32" spans="1:10" x14ac:dyDescent="0.45">
      <c r="A32" s="32"/>
      <c r="B32" s="32" t="s">
        <v>29</v>
      </c>
      <c r="C32" s="32"/>
      <c r="D32" s="32">
        <v>523144</v>
      </c>
      <c r="E32" s="104">
        <f>Depreciation!L44</f>
        <v>-37110.273600880224</v>
      </c>
      <c r="F32" s="286" t="s">
        <v>267</v>
      </c>
      <c r="G32" s="32">
        <f>D32+E32</f>
        <v>486033.72639911977</v>
      </c>
      <c r="H32" s="39"/>
      <c r="I32" s="32" t="s">
        <v>257</v>
      </c>
    </row>
    <row r="33" spans="1:10" x14ac:dyDescent="0.45">
      <c r="A33" s="32"/>
      <c r="B33" s="32" t="s">
        <v>30</v>
      </c>
      <c r="C33" s="32"/>
      <c r="D33" s="32">
        <v>0</v>
      </c>
      <c r="E33" s="32">
        <f>'Software Upgrade'!B13</f>
        <v>8335</v>
      </c>
      <c r="F33" s="36" t="s">
        <v>266</v>
      </c>
      <c r="G33" s="32">
        <f>SUM(D33:E33)</f>
        <v>8335</v>
      </c>
      <c r="H33" s="39"/>
      <c r="I33" s="32" t="s">
        <v>256</v>
      </c>
    </row>
    <row r="34" spans="1:10" ht="16.5" x14ac:dyDescent="0.45">
      <c r="A34" s="32"/>
      <c r="B34" s="32" t="s">
        <v>31</v>
      </c>
      <c r="C34" s="32"/>
      <c r="D34" s="51">
        <v>80633</v>
      </c>
      <c r="E34" s="50">
        <f>Wages!I38</f>
        <v>-10372.543585624997</v>
      </c>
      <c r="F34" s="290" t="s">
        <v>262</v>
      </c>
      <c r="G34" s="51">
        <f>D34+E34</f>
        <v>70260.456414375003</v>
      </c>
      <c r="H34" s="39"/>
      <c r="I34" s="32"/>
    </row>
    <row r="35" spans="1:10" ht="16.5" x14ac:dyDescent="0.45">
      <c r="A35" s="40" t="s">
        <v>32</v>
      </c>
      <c r="B35" s="32"/>
      <c r="C35" s="32"/>
      <c r="D35" s="51">
        <f>SUM(D31:D34)</f>
        <v>4512395</v>
      </c>
      <c r="E35" s="50"/>
      <c r="F35" s="52"/>
      <c r="G35" s="51">
        <f>SUM(G31:G34)</f>
        <v>4703671.4332590569</v>
      </c>
      <c r="H35" s="39"/>
      <c r="I35" s="32"/>
      <c r="J35" s="32"/>
    </row>
    <row r="36" spans="1:10" x14ac:dyDescent="0.45">
      <c r="A36" s="40" t="s">
        <v>33</v>
      </c>
      <c r="B36" s="32"/>
      <c r="C36" s="32"/>
      <c r="D36" s="32">
        <f>D10-D35</f>
        <v>-271036</v>
      </c>
      <c r="E36" s="32"/>
      <c r="F36" s="36"/>
      <c r="G36" s="32">
        <f>G10-G35</f>
        <v>-103066.02025905717</v>
      </c>
      <c r="H36" s="32"/>
      <c r="J36" s="32"/>
    </row>
    <row r="37" spans="1:10" x14ac:dyDescent="0.45">
      <c r="A37" s="32"/>
      <c r="B37" s="32"/>
      <c r="C37" s="32"/>
      <c r="D37" s="32"/>
      <c r="E37" s="32"/>
      <c r="F37" s="36"/>
      <c r="G37" s="32"/>
      <c r="H37" s="32"/>
      <c r="I37" s="32"/>
      <c r="J37" s="32"/>
    </row>
    <row r="51" spans="1:7" x14ac:dyDescent="0.45">
      <c r="A51" s="40"/>
      <c r="B51" s="32"/>
      <c r="C51" s="32"/>
      <c r="D51" s="45"/>
      <c r="E51" s="32"/>
      <c r="F51" s="41"/>
      <c r="G51" s="32"/>
    </row>
    <row r="52" spans="1:7" x14ac:dyDescent="0.45">
      <c r="A52" s="32"/>
      <c r="B52" s="32"/>
      <c r="C52" s="32"/>
      <c r="D52" s="45"/>
      <c r="E52" s="32"/>
      <c r="F52" s="41"/>
      <c r="G52" s="32"/>
    </row>
    <row r="53" spans="1:7" x14ac:dyDescent="0.45">
      <c r="A53" s="40"/>
      <c r="B53" s="32"/>
      <c r="C53" s="32"/>
      <c r="D53" s="45"/>
      <c r="E53" s="32"/>
      <c r="F53" s="41"/>
      <c r="G53" s="32"/>
    </row>
  </sheetData>
  <mergeCells count="1">
    <mergeCell ref="A1:G1"/>
  </mergeCells>
  <printOptions horizontalCentered="1" verticalCentered="1"/>
  <pageMargins left="0.7" right="0.7" top="0.75" bottom="0.75" header="0.3" footer="0.3"/>
  <pageSetup orientation="portrait" horizontalDpi="4294967293" r:id="rId1"/>
  <rowBreaks count="2" manualBreakCount="2">
    <brk id="36" max="16383" man="1"/>
    <brk id="37" max="16383" man="1"/>
  </rowBreaks>
  <ignoredErrors>
    <ignoredError sqref="G28 G33 G3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53"/>
  <sheetViews>
    <sheetView showGridLines="0" topLeftCell="A25" workbookViewId="0">
      <selection activeCell="D13" sqref="D13"/>
    </sheetView>
  </sheetViews>
  <sheetFormatPr defaultColWidth="8.88671875" defaultRowHeight="15.75" outlineLevelRow="1" x14ac:dyDescent="0.5"/>
  <cols>
    <col min="1" max="1" width="2.109375" style="183" customWidth="1"/>
    <col min="2" max="2" width="1.109375" style="183" customWidth="1"/>
    <col min="3" max="3" width="4.77734375" style="183" customWidth="1"/>
    <col min="4" max="4" width="6.77734375" style="183" customWidth="1"/>
    <col min="5" max="5" width="6.33203125" style="183" customWidth="1"/>
    <col min="6" max="6" width="8" style="183" customWidth="1"/>
    <col min="7" max="7" width="13.33203125" style="183" customWidth="1"/>
    <col min="8" max="8" width="1.21875" style="183" customWidth="1"/>
    <col min="9" max="9" width="4.77734375" style="183" customWidth="1"/>
    <col min="10" max="10" width="7" style="183" customWidth="1"/>
    <col min="11" max="11" width="6.33203125" style="183" customWidth="1"/>
    <col min="12" max="12" width="8.33203125" style="183" customWidth="1"/>
    <col min="13" max="13" width="13.33203125" style="183" customWidth="1"/>
    <col min="14" max="14" width="8.5546875" style="183" bestFit="1" customWidth="1"/>
    <col min="15" max="15" width="6.5546875" style="183" bestFit="1" customWidth="1"/>
    <col min="16" max="16" width="2.6640625" style="183" customWidth="1"/>
    <col min="17" max="207" width="9.6640625" style="183" customWidth="1"/>
    <col min="208" max="16384" width="8.88671875" style="183"/>
  </cols>
  <sheetData>
    <row r="2" spans="2:18" ht="18" customHeight="1" x14ac:dyDescent="0.55000000000000004">
      <c r="B2" s="305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7"/>
    </row>
    <row r="3" spans="2:18" ht="18" customHeight="1" x14ac:dyDescent="0.55000000000000004">
      <c r="B3" s="184"/>
      <c r="C3" s="308" t="s">
        <v>155</v>
      </c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9"/>
      <c r="O3" s="310"/>
    </row>
    <row r="4" spans="2:18" ht="18" x14ac:dyDescent="0.55000000000000004">
      <c r="B4" s="184"/>
      <c r="C4" s="308" t="s">
        <v>1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9"/>
      <c r="O4" s="310"/>
      <c r="P4" s="21"/>
      <c r="Q4" s="21"/>
      <c r="R4" s="21"/>
    </row>
    <row r="5" spans="2:18" ht="18" customHeight="1" x14ac:dyDescent="0.5">
      <c r="B5" s="185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86"/>
    </row>
    <row r="6" spans="2:18" ht="6" customHeight="1" x14ac:dyDescent="0.5">
      <c r="B6" s="184"/>
      <c r="C6" s="1"/>
      <c r="D6" s="1"/>
      <c r="E6" s="1"/>
      <c r="F6" s="1"/>
      <c r="G6" s="187"/>
      <c r="H6" s="184"/>
      <c r="I6" s="1"/>
      <c r="J6" s="1"/>
      <c r="K6" s="1"/>
      <c r="L6" s="1"/>
      <c r="M6" s="187"/>
      <c r="N6" s="184"/>
      <c r="O6" s="187"/>
    </row>
    <row r="7" spans="2:18" ht="15.75" customHeight="1" x14ac:dyDescent="0.5">
      <c r="B7" s="184"/>
      <c r="C7" s="303" t="s">
        <v>156</v>
      </c>
      <c r="D7" s="303"/>
      <c r="E7" s="303"/>
      <c r="F7" s="303"/>
      <c r="G7" s="304"/>
      <c r="H7" s="1"/>
      <c r="I7" s="303" t="s">
        <v>157</v>
      </c>
      <c r="J7" s="303"/>
      <c r="K7" s="303"/>
      <c r="L7" s="303"/>
      <c r="M7" s="304"/>
      <c r="N7" s="189" t="s">
        <v>158</v>
      </c>
      <c r="O7" s="188" t="s">
        <v>159</v>
      </c>
    </row>
    <row r="8" spans="2:18" ht="15.75" customHeight="1" x14ac:dyDescent="0.5">
      <c r="B8" s="184"/>
      <c r="C8" s="1"/>
      <c r="D8" s="1"/>
      <c r="E8" s="1"/>
      <c r="F8" s="1"/>
      <c r="G8" s="187"/>
      <c r="H8" s="1"/>
      <c r="I8" s="1"/>
      <c r="J8" s="1"/>
      <c r="K8" s="1"/>
      <c r="L8" s="1"/>
      <c r="M8" s="187"/>
      <c r="N8" s="184"/>
      <c r="O8" s="187"/>
    </row>
    <row r="9" spans="2:18" ht="14.25" customHeight="1" x14ac:dyDescent="0.5">
      <c r="B9" s="184"/>
      <c r="C9" s="190" t="s">
        <v>226</v>
      </c>
      <c r="D9" s="1"/>
      <c r="E9" s="1"/>
      <c r="F9" s="1"/>
      <c r="G9" s="187"/>
      <c r="H9" s="1"/>
      <c r="I9" s="190" t="str">
        <f>C9</f>
        <v>5/8" X 3/4" Meters</v>
      </c>
      <c r="J9" s="1"/>
      <c r="K9" s="1"/>
      <c r="L9" s="191"/>
      <c r="M9" s="187"/>
      <c r="N9" s="184"/>
      <c r="O9" s="187"/>
    </row>
    <row r="10" spans="2:18" ht="30.4" customHeight="1" outlineLevel="1" x14ac:dyDescent="0.5">
      <c r="B10" s="184"/>
      <c r="C10" s="13" t="s">
        <v>160</v>
      </c>
      <c r="D10" s="192">
        <f>ExBA!B35</f>
        <v>2000</v>
      </c>
      <c r="E10" s="1" t="s">
        <v>161</v>
      </c>
      <c r="F10" s="193">
        <f>ExBA!E35</f>
        <v>30.27</v>
      </c>
      <c r="G10" s="187" t="s">
        <v>162</v>
      </c>
      <c r="H10" s="1"/>
      <c r="I10" s="13" t="s">
        <v>160</v>
      </c>
      <c r="J10" s="192">
        <f>D10</f>
        <v>2000</v>
      </c>
      <c r="K10" s="1" t="s">
        <v>161</v>
      </c>
      <c r="L10" s="193">
        <f>PrBA!E35</f>
        <v>34.010148431016212</v>
      </c>
      <c r="M10" s="187" t="s">
        <v>162</v>
      </c>
      <c r="N10" s="238">
        <f>L10-F10</f>
        <v>3.7401484310162125</v>
      </c>
      <c r="O10" s="194">
        <f>N10/F10</f>
        <v>0.12355957816373349</v>
      </c>
      <c r="R10" s="195"/>
    </row>
    <row r="11" spans="2:18" ht="15.75" customHeight="1" outlineLevel="1" x14ac:dyDescent="0.5">
      <c r="B11" s="184"/>
      <c r="C11" s="13" t="s">
        <v>163</v>
      </c>
      <c r="D11" s="192">
        <f>ExBA!B36</f>
        <v>8000</v>
      </c>
      <c r="E11" s="1" t="s">
        <v>161</v>
      </c>
      <c r="F11" s="193">
        <f>ExBA!E36</f>
        <v>11.32</v>
      </c>
      <c r="G11" s="187" t="s">
        <v>164</v>
      </c>
      <c r="H11" s="1"/>
      <c r="I11" s="13" t="s">
        <v>163</v>
      </c>
      <c r="J11" s="192">
        <f t="shared" ref="J11:J14" si="0">D11</f>
        <v>8000</v>
      </c>
      <c r="K11" s="1" t="s">
        <v>161</v>
      </c>
      <c r="L11" s="193">
        <f>PrBA!E36</f>
        <v>12.718694424813464</v>
      </c>
      <c r="M11" s="187" t="s">
        <v>164</v>
      </c>
      <c r="N11" s="238">
        <f>L11-F11</f>
        <v>1.3986944248134634</v>
      </c>
      <c r="O11" s="194">
        <f>N11/F11</f>
        <v>0.12355957816373352</v>
      </c>
      <c r="R11" s="198"/>
    </row>
    <row r="12" spans="2:18" ht="15.75" customHeight="1" outlineLevel="1" x14ac:dyDescent="0.5">
      <c r="B12" s="184"/>
      <c r="C12" s="13" t="s">
        <v>163</v>
      </c>
      <c r="D12" s="192">
        <f>ExBA!B37</f>
        <v>10000</v>
      </c>
      <c r="E12" s="1" t="s">
        <v>161</v>
      </c>
      <c r="F12" s="193">
        <f>ExBA!E37</f>
        <v>10.66</v>
      </c>
      <c r="G12" s="187" t="s">
        <v>164</v>
      </c>
      <c r="H12" s="1"/>
      <c r="I12" s="13" t="s">
        <v>163</v>
      </c>
      <c r="J12" s="192">
        <f t="shared" si="0"/>
        <v>10000</v>
      </c>
      <c r="K12" s="1" t="s">
        <v>161</v>
      </c>
      <c r="L12" s="193">
        <f>PrBA!E37</f>
        <v>11.9771451032254</v>
      </c>
      <c r="M12" s="187" t="s">
        <v>164</v>
      </c>
      <c r="N12" s="238">
        <f>L12-F12</f>
        <v>1.3171451032253998</v>
      </c>
      <c r="O12" s="194">
        <f>N12/F12</f>
        <v>0.12355957816373356</v>
      </c>
      <c r="R12" s="198"/>
    </row>
    <row r="13" spans="2:18" ht="15.75" customHeight="1" outlineLevel="1" x14ac:dyDescent="0.5">
      <c r="B13" s="184"/>
      <c r="C13" s="13" t="s">
        <v>163</v>
      </c>
      <c r="D13" s="192">
        <f>ExBA!B38</f>
        <v>30000</v>
      </c>
      <c r="E13" s="1" t="s">
        <v>161</v>
      </c>
      <c r="F13" s="193">
        <f>ExBA!E38</f>
        <v>10.01</v>
      </c>
      <c r="G13" s="187" t="s">
        <v>164</v>
      </c>
      <c r="H13" s="1"/>
      <c r="I13" s="13" t="s">
        <v>163</v>
      </c>
      <c r="J13" s="192">
        <f>D13</f>
        <v>30000</v>
      </c>
      <c r="K13" s="1" t="s">
        <v>161</v>
      </c>
      <c r="L13" s="193">
        <f>PrBA!E38</f>
        <v>11.246831377418973</v>
      </c>
      <c r="M13" s="187" t="s">
        <v>164</v>
      </c>
      <c r="N13" s="238">
        <f>L13-F13</f>
        <v>1.236831377418973</v>
      </c>
      <c r="O13" s="194">
        <f>N13/F13</f>
        <v>0.12355957816373357</v>
      </c>
      <c r="R13" s="198"/>
    </row>
    <row r="14" spans="2:18" ht="15.75" customHeight="1" outlineLevel="1" x14ac:dyDescent="0.5">
      <c r="B14" s="184"/>
      <c r="C14" s="13" t="s">
        <v>165</v>
      </c>
      <c r="D14" s="192">
        <f>ExBA!B39</f>
        <v>50000</v>
      </c>
      <c r="E14" s="1" t="s">
        <v>161</v>
      </c>
      <c r="F14" s="193">
        <f>ExBA!E39</f>
        <v>9.35</v>
      </c>
      <c r="G14" s="187" t="s">
        <v>164</v>
      </c>
      <c r="H14" s="1"/>
      <c r="I14" s="13" t="s">
        <v>165</v>
      </c>
      <c r="J14" s="192">
        <f t="shared" si="0"/>
        <v>50000</v>
      </c>
      <c r="K14" s="1" t="s">
        <v>161</v>
      </c>
      <c r="L14" s="193">
        <f>PrBA!E39</f>
        <v>10.505282055830907</v>
      </c>
      <c r="M14" s="187" t="s">
        <v>164</v>
      </c>
      <c r="N14" s="238">
        <f>L14-F14</f>
        <v>1.1552820558309076</v>
      </c>
      <c r="O14" s="194">
        <f>N14/F14</f>
        <v>0.12355957816373343</v>
      </c>
      <c r="R14" s="198"/>
    </row>
    <row r="15" spans="2:18" ht="15.75" customHeight="1" outlineLevel="1" x14ac:dyDescent="0.5">
      <c r="B15" s="184"/>
      <c r="C15" s="192"/>
      <c r="D15" s="1"/>
      <c r="E15" s="1"/>
      <c r="F15" s="1"/>
      <c r="G15" s="187"/>
      <c r="H15" s="1"/>
      <c r="I15" s="192"/>
      <c r="J15" s="1"/>
      <c r="K15" s="1"/>
      <c r="L15" s="1"/>
      <c r="M15" s="187"/>
      <c r="N15" s="184"/>
      <c r="O15" s="187"/>
    </row>
    <row r="16" spans="2:18" ht="15.75" customHeight="1" outlineLevel="1" x14ac:dyDescent="0.5">
      <c r="B16" s="184"/>
      <c r="C16" s="190" t="s">
        <v>227</v>
      </c>
      <c r="D16" s="1"/>
      <c r="E16" s="1"/>
      <c r="F16" s="1"/>
      <c r="G16" s="187"/>
      <c r="H16" s="1"/>
      <c r="I16" s="190" t="str">
        <f>C16</f>
        <v>1" Meters</v>
      </c>
      <c r="J16" s="1"/>
      <c r="K16" s="1"/>
      <c r="L16" s="1"/>
      <c r="M16" s="187"/>
      <c r="N16" s="184"/>
      <c r="O16" s="187"/>
    </row>
    <row r="17" spans="2:15" ht="15" customHeight="1" outlineLevel="1" x14ac:dyDescent="0.5">
      <c r="B17" s="184"/>
      <c r="C17" s="13" t="s">
        <v>160</v>
      </c>
      <c r="D17" s="192">
        <f>ExBA!B55</f>
        <v>5000</v>
      </c>
      <c r="E17" s="1" t="s">
        <v>161</v>
      </c>
      <c r="F17" s="193">
        <f>ExBA!E55</f>
        <v>64.23</v>
      </c>
      <c r="G17" s="187" t="s">
        <v>162</v>
      </c>
      <c r="H17" s="1"/>
      <c r="I17" s="13" t="s">
        <v>160</v>
      </c>
      <c r="J17" s="192">
        <f>D17</f>
        <v>5000</v>
      </c>
      <c r="K17" s="1" t="s">
        <v>161</v>
      </c>
      <c r="L17" s="193">
        <f>PrBA!E55</f>
        <v>72.16623170545661</v>
      </c>
      <c r="M17" s="187" t="s">
        <v>162</v>
      </c>
      <c r="N17" s="238">
        <f>L17-F17</f>
        <v>7.9362317054566063</v>
      </c>
      <c r="O17" s="194">
        <f>N17/F17</f>
        <v>0.12355957816373354</v>
      </c>
    </row>
    <row r="18" spans="2:15" ht="15" customHeight="1" outlineLevel="1" x14ac:dyDescent="0.5">
      <c r="B18" s="184"/>
      <c r="C18" s="13" t="s">
        <v>163</v>
      </c>
      <c r="D18" s="192">
        <f>ExBA!B56</f>
        <v>5000</v>
      </c>
      <c r="E18" s="1" t="s">
        <v>161</v>
      </c>
      <c r="F18" s="193">
        <f>ExBA!E56</f>
        <v>11.32</v>
      </c>
      <c r="G18" s="187" t="s">
        <v>164</v>
      </c>
      <c r="H18" s="1"/>
      <c r="I18" s="13" t="s">
        <v>163</v>
      </c>
      <c r="J18" s="192">
        <f t="shared" ref="J18:J21" si="1">D18</f>
        <v>5000</v>
      </c>
      <c r="K18" s="1" t="s">
        <v>161</v>
      </c>
      <c r="L18" s="193">
        <f>PrBA!E56</f>
        <v>12.718694424813464</v>
      </c>
      <c r="M18" s="187" t="s">
        <v>164</v>
      </c>
      <c r="N18" s="238">
        <f>L18-F18</f>
        <v>1.3986944248134634</v>
      </c>
      <c r="O18" s="194">
        <f>N18/F18</f>
        <v>0.12355957816373352</v>
      </c>
    </row>
    <row r="19" spans="2:15" ht="15" customHeight="1" outlineLevel="1" x14ac:dyDescent="0.5">
      <c r="B19" s="184"/>
      <c r="C19" s="13" t="s">
        <v>163</v>
      </c>
      <c r="D19" s="192">
        <f>ExBA!B57</f>
        <v>10000</v>
      </c>
      <c r="E19" s="1" t="s">
        <v>161</v>
      </c>
      <c r="F19" s="193">
        <f>ExBA!E57</f>
        <v>10.66</v>
      </c>
      <c r="G19" s="187" t="s">
        <v>164</v>
      </c>
      <c r="H19" s="1"/>
      <c r="I19" s="13" t="s">
        <v>163</v>
      </c>
      <c r="J19" s="192">
        <f t="shared" si="1"/>
        <v>10000</v>
      </c>
      <c r="K19" s="1" t="s">
        <v>161</v>
      </c>
      <c r="L19" s="193">
        <f>PrBA!E57</f>
        <v>11.9771451032254</v>
      </c>
      <c r="M19" s="187" t="s">
        <v>164</v>
      </c>
      <c r="N19" s="238">
        <f>L19-F19</f>
        <v>1.3171451032253998</v>
      </c>
      <c r="O19" s="194">
        <f>N19/F19</f>
        <v>0.12355957816373356</v>
      </c>
    </row>
    <row r="20" spans="2:15" ht="15" customHeight="1" outlineLevel="1" x14ac:dyDescent="0.5">
      <c r="B20" s="184"/>
      <c r="C20" s="13" t="s">
        <v>163</v>
      </c>
      <c r="D20" s="192">
        <f>ExBA!B58</f>
        <v>30000</v>
      </c>
      <c r="E20" s="1" t="s">
        <v>161</v>
      </c>
      <c r="F20" s="193">
        <f>ExBA!E58</f>
        <v>10.01</v>
      </c>
      <c r="G20" s="187" t="s">
        <v>164</v>
      </c>
      <c r="H20" s="1"/>
      <c r="I20" s="13" t="s">
        <v>163</v>
      </c>
      <c r="J20" s="192">
        <f>D20</f>
        <v>30000</v>
      </c>
      <c r="K20" s="1" t="s">
        <v>161</v>
      </c>
      <c r="L20" s="193">
        <f>PrBA!E58</f>
        <v>11.246831377418973</v>
      </c>
      <c r="M20" s="187" t="s">
        <v>164</v>
      </c>
      <c r="N20" s="238">
        <f>L20-F20</f>
        <v>1.236831377418973</v>
      </c>
      <c r="O20" s="194">
        <f>N20/F20</f>
        <v>0.12355957816373357</v>
      </c>
    </row>
    <row r="21" spans="2:15" ht="15" customHeight="1" outlineLevel="1" x14ac:dyDescent="0.5">
      <c r="B21" s="184"/>
      <c r="C21" s="13" t="s">
        <v>165</v>
      </c>
      <c r="D21" s="192">
        <f>ExBA!B59</f>
        <v>50000</v>
      </c>
      <c r="E21" s="1" t="s">
        <v>161</v>
      </c>
      <c r="F21" s="193">
        <f>ExBA!E59</f>
        <v>9.35</v>
      </c>
      <c r="G21" s="187" t="s">
        <v>164</v>
      </c>
      <c r="H21" s="1"/>
      <c r="I21" s="13" t="s">
        <v>165</v>
      </c>
      <c r="J21" s="192">
        <f t="shared" si="1"/>
        <v>50000</v>
      </c>
      <c r="K21" s="1" t="s">
        <v>161</v>
      </c>
      <c r="L21" s="193">
        <f>PrBA!E59</f>
        <v>10.505282055830907</v>
      </c>
      <c r="M21" s="187" t="s">
        <v>164</v>
      </c>
      <c r="N21" s="238">
        <f>L21-F21</f>
        <v>1.1552820558309076</v>
      </c>
      <c r="O21" s="194">
        <f>N21/F21</f>
        <v>0.12355957816373343</v>
      </c>
    </row>
    <row r="22" spans="2:15" ht="15" customHeight="1" outlineLevel="1" x14ac:dyDescent="0.5">
      <c r="B22" s="184"/>
      <c r="C22" s="13"/>
      <c r="D22" s="192"/>
      <c r="E22" s="1"/>
      <c r="F22" s="193"/>
      <c r="G22" s="187"/>
      <c r="H22" s="1"/>
      <c r="I22" s="13"/>
      <c r="J22" s="192"/>
      <c r="K22" s="1"/>
      <c r="L22" s="193"/>
      <c r="M22" s="187"/>
      <c r="N22" s="197"/>
      <c r="O22" s="194"/>
    </row>
    <row r="23" spans="2:15" ht="15" customHeight="1" outlineLevel="1" x14ac:dyDescent="0.5">
      <c r="B23" s="184"/>
      <c r="C23" s="190" t="s">
        <v>166</v>
      </c>
      <c r="D23" s="192"/>
      <c r="E23" s="1"/>
      <c r="F23" s="193"/>
      <c r="G23" s="187"/>
      <c r="H23" s="1"/>
      <c r="I23" s="190" t="s">
        <v>166</v>
      </c>
      <c r="J23" s="192"/>
      <c r="K23" s="1"/>
      <c r="L23" s="193"/>
      <c r="M23" s="187"/>
      <c r="N23" s="197"/>
      <c r="O23" s="194"/>
    </row>
    <row r="24" spans="2:15" ht="15" customHeight="1" outlineLevel="1" x14ac:dyDescent="0.5">
      <c r="B24" s="184"/>
      <c r="C24" s="13" t="s">
        <v>160</v>
      </c>
      <c r="D24" s="192">
        <f>ExBA!B73</f>
        <v>11000</v>
      </c>
      <c r="E24" s="1" t="s">
        <v>161</v>
      </c>
      <c r="F24" s="193">
        <f>ExBA!E73</f>
        <v>131.46</v>
      </c>
      <c r="G24" s="187" t="s">
        <v>162</v>
      </c>
      <c r="H24" s="1"/>
      <c r="I24" s="13" t="s">
        <v>160</v>
      </c>
      <c r="J24" s="192">
        <f>D24</f>
        <v>11000</v>
      </c>
      <c r="K24" s="1" t="s">
        <v>161</v>
      </c>
      <c r="L24" s="193">
        <f>PrBA!E73</f>
        <v>147.70314214540443</v>
      </c>
      <c r="M24" s="187" t="s">
        <v>162</v>
      </c>
      <c r="N24" s="238">
        <f t="shared" ref="N24:N27" si="2">L24-F24</f>
        <v>16.24314214540442</v>
      </c>
      <c r="O24" s="194">
        <f t="shared" ref="O24:O27" si="3">N24/F24</f>
        <v>0.1235595781637336</v>
      </c>
    </row>
    <row r="25" spans="2:15" ht="15" customHeight="1" outlineLevel="1" x14ac:dyDescent="0.5">
      <c r="B25" s="184"/>
      <c r="C25" s="13" t="s">
        <v>163</v>
      </c>
      <c r="D25" s="192">
        <f>ExBA!B74</f>
        <v>9000</v>
      </c>
      <c r="E25" s="1" t="s">
        <v>161</v>
      </c>
      <c r="F25" s="193">
        <f>ExBA!E74</f>
        <v>10.66</v>
      </c>
      <c r="G25" s="187" t="s">
        <v>164</v>
      </c>
      <c r="H25" s="1"/>
      <c r="I25" s="13" t="s">
        <v>163</v>
      </c>
      <c r="J25" s="192">
        <f t="shared" ref="J25:J27" si="4">D25</f>
        <v>9000</v>
      </c>
      <c r="K25" s="1" t="s">
        <v>161</v>
      </c>
      <c r="L25" s="193">
        <f>PrBA!E74</f>
        <v>11.9771451032254</v>
      </c>
      <c r="M25" s="187" t="s">
        <v>164</v>
      </c>
      <c r="N25" s="238">
        <f t="shared" si="2"/>
        <v>1.3171451032253998</v>
      </c>
      <c r="O25" s="194">
        <f t="shared" si="3"/>
        <v>0.12355957816373356</v>
      </c>
    </row>
    <row r="26" spans="2:15" ht="15" customHeight="1" outlineLevel="1" x14ac:dyDescent="0.5">
      <c r="B26" s="184"/>
      <c r="C26" s="13" t="s">
        <v>163</v>
      </c>
      <c r="D26" s="192">
        <f>ExBA!B75</f>
        <v>30000</v>
      </c>
      <c r="E26" s="1" t="s">
        <v>161</v>
      </c>
      <c r="F26" s="193">
        <f>ExBA!E75</f>
        <v>10.01</v>
      </c>
      <c r="G26" s="187" t="s">
        <v>164</v>
      </c>
      <c r="H26" s="1"/>
      <c r="I26" s="13" t="s">
        <v>163</v>
      </c>
      <c r="J26" s="192">
        <f t="shared" si="4"/>
        <v>30000</v>
      </c>
      <c r="K26" s="1" t="s">
        <v>161</v>
      </c>
      <c r="L26" s="193">
        <f>PrBA!E75</f>
        <v>11.246831377418973</v>
      </c>
      <c r="M26" s="187" t="s">
        <v>164</v>
      </c>
      <c r="N26" s="238">
        <f t="shared" si="2"/>
        <v>1.236831377418973</v>
      </c>
      <c r="O26" s="194">
        <f t="shared" si="3"/>
        <v>0.12355957816373357</v>
      </c>
    </row>
    <row r="27" spans="2:15" ht="15" customHeight="1" outlineLevel="1" x14ac:dyDescent="0.5">
      <c r="B27" s="184"/>
      <c r="C27" s="13" t="s">
        <v>165</v>
      </c>
      <c r="D27" s="192">
        <f>ExBA!B76</f>
        <v>50000</v>
      </c>
      <c r="E27" s="1" t="s">
        <v>161</v>
      </c>
      <c r="F27" s="193">
        <f>ExBA!E76</f>
        <v>9.35</v>
      </c>
      <c r="G27" s="187" t="s">
        <v>164</v>
      </c>
      <c r="H27" s="1"/>
      <c r="I27" s="13" t="s">
        <v>165</v>
      </c>
      <c r="J27" s="192">
        <f t="shared" si="4"/>
        <v>50000</v>
      </c>
      <c r="K27" s="1" t="s">
        <v>161</v>
      </c>
      <c r="L27" s="193">
        <f>PrBA!E76</f>
        <v>10.505282055830907</v>
      </c>
      <c r="M27" s="187" t="s">
        <v>164</v>
      </c>
      <c r="N27" s="238">
        <f t="shared" si="2"/>
        <v>1.1552820558309076</v>
      </c>
      <c r="O27" s="194">
        <f t="shared" si="3"/>
        <v>0.12355957816373343</v>
      </c>
    </row>
    <row r="28" spans="2:15" ht="15" customHeight="1" outlineLevel="1" x14ac:dyDescent="0.5">
      <c r="B28" s="184"/>
      <c r="C28" s="13"/>
      <c r="D28" s="192"/>
      <c r="E28" s="1"/>
      <c r="F28" s="193"/>
      <c r="G28" s="187"/>
      <c r="H28" s="1"/>
      <c r="I28" s="13"/>
      <c r="J28" s="192"/>
      <c r="K28" s="1"/>
      <c r="L28" s="193"/>
      <c r="M28" s="187"/>
      <c r="N28" s="197"/>
      <c r="O28" s="194"/>
    </row>
    <row r="29" spans="2:15" ht="15.75" customHeight="1" outlineLevel="1" x14ac:dyDescent="0.5">
      <c r="B29" s="184"/>
      <c r="C29" s="190" t="s">
        <v>228</v>
      </c>
      <c r="D29" s="1"/>
      <c r="E29" s="1"/>
      <c r="F29" s="1"/>
      <c r="G29" s="187"/>
      <c r="H29" s="1"/>
      <c r="I29" s="190" t="str">
        <f>C29</f>
        <v>2" Meters</v>
      </c>
      <c r="J29" s="1"/>
      <c r="K29" s="1"/>
      <c r="L29" s="1"/>
      <c r="M29" s="187"/>
      <c r="N29" s="184"/>
      <c r="O29" s="187"/>
    </row>
    <row r="30" spans="2:15" ht="15.75" customHeight="1" outlineLevel="1" x14ac:dyDescent="0.5">
      <c r="B30" s="184"/>
      <c r="C30" s="13" t="s">
        <v>160</v>
      </c>
      <c r="D30" s="192">
        <f>ExBA!B82</f>
        <v>16000</v>
      </c>
      <c r="E30" s="1" t="s">
        <v>161</v>
      </c>
      <c r="F30" s="193">
        <f>ExBA!E90</f>
        <v>184.74</v>
      </c>
      <c r="G30" s="187" t="s">
        <v>162</v>
      </c>
      <c r="H30" s="1"/>
      <c r="I30" s="13" t="s">
        <v>160</v>
      </c>
      <c r="J30" s="192">
        <f>D30</f>
        <v>16000</v>
      </c>
      <c r="K30" s="1" t="s">
        <v>161</v>
      </c>
      <c r="L30" s="193">
        <f>PrBA!E90</f>
        <v>207.56639646996814</v>
      </c>
      <c r="M30" s="187" t="s">
        <v>162</v>
      </c>
      <c r="N30" s="238">
        <f t="shared" ref="N30:N33" si="5">L30-F30</f>
        <v>22.826396469968131</v>
      </c>
      <c r="O30" s="194">
        <f t="shared" ref="O30:O33" si="6">N30/F30</f>
        <v>0.12355957816373352</v>
      </c>
    </row>
    <row r="31" spans="2:15" ht="15.75" customHeight="1" outlineLevel="1" x14ac:dyDescent="0.5">
      <c r="B31" s="184"/>
      <c r="C31" s="13" t="s">
        <v>163</v>
      </c>
      <c r="D31" s="192">
        <f>ExBA!B83</f>
        <v>4000</v>
      </c>
      <c r="E31" s="1" t="s">
        <v>161</v>
      </c>
      <c r="F31" s="193">
        <f>ExBA!E91</f>
        <v>10.66</v>
      </c>
      <c r="G31" s="187" t="s">
        <v>164</v>
      </c>
      <c r="H31" s="1"/>
      <c r="I31" s="13" t="s">
        <v>163</v>
      </c>
      <c r="J31" s="192">
        <f t="shared" ref="J31:J33" si="7">D31</f>
        <v>4000</v>
      </c>
      <c r="K31" s="1" t="s">
        <v>161</v>
      </c>
      <c r="L31" s="193">
        <f>PrBA!E91</f>
        <v>11.9771451032254</v>
      </c>
      <c r="M31" s="187" t="s">
        <v>164</v>
      </c>
      <c r="N31" s="238">
        <f t="shared" si="5"/>
        <v>1.3171451032253998</v>
      </c>
      <c r="O31" s="194">
        <f t="shared" si="6"/>
        <v>0.12355957816373356</v>
      </c>
    </row>
    <row r="32" spans="2:15" ht="15.75" customHeight="1" outlineLevel="1" x14ac:dyDescent="0.5">
      <c r="B32" s="184"/>
      <c r="C32" s="13" t="s">
        <v>163</v>
      </c>
      <c r="D32" s="192">
        <f>ExBA!B84</f>
        <v>30000</v>
      </c>
      <c r="E32" s="1" t="s">
        <v>161</v>
      </c>
      <c r="F32" s="193">
        <f>ExBA!E92</f>
        <v>10.01</v>
      </c>
      <c r="G32" s="187" t="s">
        <v>164</v>
      </c>
      <c r="H32" s="1"/>
      <c r="I32" s="13" t="s">
        <v>163</v>
      </c>
      <c r="J32" s="192">
        <f t="shared" si="7"/>
        <v>30000</v>
      </c>
      <c r="K32" s="1" t="s">
        <v>161</v>
      </c>
      <c r="L32" s="193">
        <f>PrBA!E92</f>
        <v>11.246831377418973</v>
      </c>
      <c r="M32" s="187" t="s">
        <v>164</v>
      </c>
      <c r="N32" s="238">
        <f t="shared" si="5"/>
        <v>1.236831377418973</v>
      </c>
      <c r="O32" s="194">
        <f t="shared" si="6"/>
        <v>0.12355957816373357</v>
      </c>
    </row>
    <row r="33" spans="2:15" ht="15.75" customHeight="1" outlineLevel="1" x14ac:dyDescent="0.5">
      <c r="B33" s="184"/>
      <c r="C33" s="13" t="s">
        <v>165</v>
      </c>
      <c r="D33" s="192">
        <f>ExBA!B85</f>
        <v>50000</v>
      </c>
      <c r="E33" s="1" t="s">
        <v>161</v>
      </c>
      <c r="F33" s="193">
        <f>ExBA!E93</f>
        <v>9.35</v>
      </c>
      <c r="G33" s="187" t="s">
        <v>164</v>
      </c>
      <c r="H33" s="1"/>
      <c r="I33" s="13" t="s">
        <v>165</v>
      </c>
      <c r="J33" s="192">
        <f t="shared" si="7"/>
        <v>50000</v>
      </c>
      <c r="K33" s="1" t="s">
        <v>161</v>
      </c>
      <c r="L33" s="193">
        <f>PrBA!E93</f>
        <v>10.505282055830907</v>
      </c>
      <c r="M33" s="187" t="s">
        <v>164</v>
      </c>
      <c r="N33" s="238">
        <f t="shared" si="5"/>
        <v>1.1552820558309076</v>
      </c>
      <c r="O33" s="194">
        <f t="shared" si="6"/>
        <v>0.12355957816373343</v>
      </c>
    </row>
    <row r="34" spans="2:15" ht="15.75" customHeight="1" x14ac:dyDescent="0.5">
      <c r="B34" s="199"/>
      <c r="G34" s="200"/>
      <c r="M34" s="200"/>
      <c r="N34" s="197"/>
      <c r="O34" s="194"/>
    </row>
    <row r="35" spans="2:15" ht="15.75" customHeight="1" outlineLevel="1" x14ac:dyDescent="0.5">
      <c r="B35" s="184"/>
      <c r="C35" s="190" t="s">
        <v>167</v>
      </c>
      <c r="D35" s="192"/>
      <c r="E35" s="1"/>
      <c r="F35" s="196"/>
      <c r="G35" s="187"/>
      <c r="H35" s="1"/>
      <c r="I35" s="190" t="s">
        <v>167</v>
      </c>
      <c r="J35" s="192"/>
      <c r="K35" s="1"/>
      <c r="L35" s="196"/>
      <c r="M35" s="187"/>
      <c r="N35" s="197"/>
      <c r="O35" s="194"/>
    </row>
    <row r="36" spans="2:15" ht="15.75" customHeight="1" outlineLevel="1" x14ac:dyDescent="0.5">
      <c r="B36" s="184"/>
      <c r="C36" s="13" t="s">
        <v>160</v>
      </c>
      <c r="D36" s="192">
        <f>ExBA!B99</f>
        <v>26000</v>
      </c>
      <c r="E36" s="1" t="s">
        <v>161</v>
      </c>
      <c r="F36" s="196">
        <f>ExBA!E106</f>
        <v>287.39</v>
      </c>
      <c r="G36" s="187" t="s">
        <v>162</v>
      </c>
      <c r="H36" s="1"/>
      <c r="I36" s="13" t="s">
        <v>160</v>
      </c>
      <c r="J36" s="192">
        <f>D36</f>
        <v>26000</v>
      </c>
      <c r="K36" s="1" t="s">
        <v>161</v>
      </c>
      <c r="L36" s="196">
        <f>PrBA!E106</f>
        <v>322.89978716847537</v>
      </c>
      <c r="M36" s="187" t="s">
        <v>162</v>
      </c>
      <c r="N36" s="238">
        <f t="shared" ref="N36:N43" si="8">L36-F36</f>
        <v>35.509787168475384</v>
      </c>
      <c r="O36" s="194">
        <f t="shared" ref="O36:O43" si="9">N36/F36</f>
        <v>0.12355957816373356</v>
      </c>
    </row>
    <row r="37" spans="2:15" ht="15.75" customHeight="1" outlineLevel="1" x14ac:dyDescent="0.5">
      <c r="B37" s="184"/>
      <c r="C37" s="13" t="s">
        <v>163</v>
      </c>
      <c r="D37" s="192">
        <f>ExBA!B100</f>
        <v>24000</v>
      </c>
      <c r="E37" s="1" t="s">
        <v>161</v>
      </c>
      <c r="F37" s="196">
        <f>ExBA!E107</f>
        <v>10.01</v>
      </c>
      <c r="G37" s="187" t="s">
        <v>164</v>
      </c>
      <c r="H37" s="1"/>
      <c r="I37" s="13" t="s">
        <v>163</v>
      </c>
      <c r="J37" s="192">
        <f t="shared" ref="J37:J38" si="10">D37</f>
        <v>24000</v>
      </c>
      <c r="K37" s="1" t="s">
        <v>161</v>
      </c>
      <c r="L37" s="196">
        <f>PrBA!E107</f>
        <v>11.246831377418973</v>
      </c>
      <c r="M37" s="187" t="s">
        <v>164</v>
      </c>
      <c r="N37" s="238">
        <f t="shared" si="8"/>
        <v>1.236831377418973</v>
      </c>
      <c r="O37" s="194">
        <f t="shared" si="9"/>
        <v>0.12355957816373357</v>
      </c>
    </row>
    <row r="38" spans="2:15" ht="15.75" customHeight="1" outlineLevel="1" x14ac:dyDescent="0.5">
      <c r="B38" s="184"/>
      <c r="C38" s="13" t="s">
        <v>165</v>
      </c>
      <c r="D38" s="192">
        <f>ExBA!B101</f>
        <v>50000</v>
      </c>
      <c r="E38" s="1" t="s">
        <v>161</v>
      </c>
      <c r="F38" s="196">
        <f>ExBA!E108</f>
        <v>9.35</v>
      </c>
      <c r="G38" s="187" t="s">
        <v>164</v>
      </c>
      <c r="H38" s="1"/>
      <c r="I38" s="13" t="s">
        <v>165</v>
      </c>
      <c r="J38" s="192">
        <f t="shared" si="10"/>
        <v>50000</v>
      </c>
      <c r="K38" s="1" t="s">
        <v>161</v>
      </c>
      <c r="L38" s="196">
        <f>PrBA!E108</f>
        <v>10.505282055830907</v>
      </c>
      <c r="M38" s="187" t="s">
        <v>164</v>
      </c>
      <c r="N38" s="238">
        <f t="shared" si="8"/>
        <v>1.1552820558309076</v>
      </c>
      <c r="O38" s="194">
        <f t="shared" si="9"/>
        <v>0.12355957816373343</v>
      </c>
    </row>
    <row r="39" spans="2:15" ht="15.75" customHeight="1" outlineLevel="1" x14ac:dyDescent="0.5">
      <c r="B39" s="184"/>
      <c r="C39" s="13"/>
      <c r="D39" s="192"/>
      <c r="E39" s="1"/>
      <c r="F39" s="196"/>
      <c r="G39" s="187"/>
      <c r="H39" s="1"/>
      <c r="I39" s="13"/>
      <c r="J39" s="192"/>
      <c r="K39" s="1"/>
      <c r="L39" s="196"/>
      <c r="M39" s="187"/>
      <c r="N39" s="197"/>
      <c r="O39" s="194"/>
    </row>
    <row r="40" spans="2:15" ht="15.75" customHeight="1" outlineLevel="1" x14ac:dyDescent="0.5">
      <c r="B40" s="184"/>
      <c r="C40" s="190" t="s">
        <v>168</v>
      </c>
      <c r="D40" s="192"/>
      <c r="E40" s="1"/>
      <c r="F40" s="196"/>
      <c r="G40" s="187"/>
      <c r="H40" s="1"/>
      <c r="I40" s="190" t="s">
        <v>168</v>
      </c>
      <c r="J40" s="192"/>
      <c r="K40" s="1"/>
      <c r="L40" s="196"/>
      <c r="M40" s="187"/>
      <c r="N40" s="197"/>
      <c r="O40" s="194"/>
    </row>
    <row r="41" spans="2:15" ht="15.75" customHeight="1" outlineLevel="1" x14ac:dyDescent="0.5">
      <c r="B41" s="184"/>
      <c r="C41" s="13" t="s">
        <v>160</v>
      </c>
      <c r="D41" s="192">
        <f>ExBA!B114</f>
        <v>36000</v>
      </c>
      <c r="E41" s="1" t="s">
        <v>161</v>
      </c>
      <c r="F41" s="196">
        <f>ExBA!E121</f>
        <v>387.47</v>
      </c>
      <c r="G41" s="187" t="s">
        <v>162</v>
      </c>
      <c r="H41" s="1"/>
      <c r="I41" s="13" t="s">
        <v>160</v>
      </c>
      <c r="J41" s="192">
        <f>D41</f>
        <v>36000</v>
      </c>
      <c r="K41" s="1" t="s">
        <v>161</v>
      </c>
      <c r="L41" s="196">
        <f>PrBA!E121</f>
        <v>435.34562975110185</v>
      </c>
      <c r="M41" s="187" t="s">
        <v>162</v>
      </c>
      <c r="N41" s="238">
        <f t="shared" si="8"/>
        <v>47.875629751101826</v>
      </c>
      <c r="O41" s="194">
        <f t="shared" si="9"/>
        <v>0.1235595781637335</v>
      </c>
    </row>
    <row r="42" spans="2:15" ht="15.75" customHeight="1" outlineLevel="1" x14ac:dyDescent="0.5">
      <c r="B42" s="184"/>
      <c r="C42" s="13" t="s">
        <v>163</v>
      </c>
      <c r="D42" s="192">
        <f>ExBA!B115</f>
        <v>14000</v>
      </c>
      <c r="E42" s="1" t="s">
        <v>161</v>
      </c>
      <c r="F42" s="196">
        <f>ExBA!E122</f>
        <v>10.01</v>
      </c>
      <c r="G42" s="187" t="s">
        <v>164</v>
      </c>
      <c r="H42" s="1"/>
      <c r="I42" s="13" t="s">
        <v>163</v>
      </c>
      <c r="J42" s="192">
        <f t="shared" ref="J42:J43" si="11">D42</f>
        <v>14000</v>
      </c>
      <c r="K42" s="1" t="s">
        <v>161</v>
      </c>
      <c r="L42" s="196">
        <f>PrBA!E122</f>
        <v>11.246831377418973</v>
      </c>
      <c r="M42" s="187" t="s">
        <v>164</v>
      </c>
      <c r="N42" s="238">
        <f t="shared" ref="N42" si="12">L42-F42</f>
        <v>1.236831377418973</v>
      </c>
      <c r="O42" s="194">
        <f t="shared" ref="O42" si="13">N42/F42</f>
        <v>0.12355957816373357</v>
      </c>
    </row>
    <row r="43" spans="2:15" ht="15.75" customHeight="1" outlineLevel="1" x14ac:dyDescent="0.5">
      <c r="B43" s="184"/>
      <c r="C43" s="13" t="s">
        <v>165</v>
      </c>
      <c r="D43" s="192">
        <f>ExBA!B116</f>
        <v>50000</v>
      </c>
      <c r="E43" s="1" t="s">
        <v>161</v>
      </c>
      <c r="F43" s="196">
        <f>ExBA!E123</f>
        <v>9.35</v>
      </c>
      <c r="G43" s="187" t="s">
        <v>164</v>
      </c>
      <c r="H43" s="1"/>
      <c r="I43" s="13" t="s">
        <v>165</v>
      </c>
      <c r="J43" s="192">
        <f t="shared" si="11"/>
        <v>50000</v>
      </c>
      <c r="K43" s="1" t="s">
        <v>161</v>
      </c>
      <c r="L43" s="196">
        <f>PrBA!E123</f>
        <v>10.505282055830907</v>
      </c>
      <c r="M43" s="187" t="s">
        <v>164</v>
      </c>
      <c r="N43" s="238">
        <f t="shared" si="8"/>
        <v>1.1552820558309076</v>
      </c>
      <c r="O43" s="194">
        <f t="shared" si="9"/>
        <v>0.12355957816373343</v>
      </c>
    </row>
    <row r="44" spans="2:15" ht="15.75" customHeight="1" outlineLevel="1" x14ac:dyDescent="0.5">
      <c r="B44" s="184"/>
      <c r="C44" s="13"/>
      <c r="D44" s="192"/>
      <c r="E44" s="1"/>
      <c r="F44" s="196"/>
      <c r="G44" s="187"/>
      <c r="H44" s="1"/>
      <c r="I44" s="13"/>
      <c r="J44" s="192"/>
      <c r="K44" s="1"/>
      <c r="L44" s="196"/>
      <c r="M44" s="187"/>
      <c r="N44" s="197"/>
      <c r="O44" s="194"/>
    </row>
    <row r="45" spans="2:15" ht="15.75" customHeight="1" outlineLevel="1" x14ac:dyDescent="0.5">
      <c r="B45" s="184"/>
      <c r="C45" s="190" t="s">
        <v>169</v>
      </c>
      <c r="D45" s="192"/>
      <c r="E45" s="1"/>
      <c r="F45" s="196"/>
      <c r="G45" s="187"/>
      <c r="H45" s="1"/>
      <c r="I45" s="190" t="s">
        <v>169</v>
      </c>
      <c r="J45" s="192"/>
      <c r="K45" s="1"/>
      <c r="L45" s="196"/>
      <c r="M45" s="187"/>
      <c r="N45" s="197"/>
      <c r="O45" s="194"/>
    </row>
    <row r="46" spans="2:15" ht="15.75" customHeight="1" outlineLevel="1" x14ac:dyDescent="0.5">
      <c r="B46" s="184"/>
      <c r="C46" s="13"/>
      <c r="D46" s="192"/>
      <c r="E46" s="1"/>
      <c r="F46" s="193">
        <f>ExBA!E145</f>
        <v>6.86</v>
      </c>
      <c r="G46" s="187" t="s">
        <v>164</v>
      </c>
      <c r="H46" s="1"/>
      <c r="I46" s="13"/>
      <c r="J46" s="192"/>
      <c r="K46" s="1"/>
      <c r="L46" s="193">
        <f>PrBA!E145</f>
        <v>7.7076187062032124</v>
      </c>
      <c r="M46" s="187" t="s">
        <v>164</v>
      </c>
      <c r="N46" s="201">
        <f>L46-F46</f>
        <v>0.84761870620321211</v>
      </c>
      <c r="O46" s="194">
        <f>N46/F46</f>
        <v>0.12355957816373354</v>
      </c>
    </row>
    <row r="47" spans="2:15" ht="15.75" customHeight="1" x14ac:dyDescent="0.5">
      <c r="B47" s="185"/>
      <c r="C47" s="202"/>
      <c r="D47" s="168"/>
      <c r="E47" s="168"/>
      <c r="F47" s="168"/>
      <c r="G47" s="186"/>
      <c r="H47" s="168"/>
      <c r="I47" s="168"/>
      <c r="J47" s="168"/>
      <c r="K47" s="168"/>
      <c r="L47" s="168"/>
      <c r="M47" s="186"/>
      <c r="N47" s="203"/>
      <c r="O47" s="204"/>
    </row>
    <row r="48" spans="2:15" ht="15.75" customHeight="1" x14ac:dyDescent="0.5">
      <c r="C48" s="205"/>
    </row>
    <row r="49" spans="3:21" ht="15.75" customHeight="1" x14ac:dyDescent="0.5">
      <c r="C49" s="205"/>
      <c r="Q49" s="1"/>
      <c r="R49" s="1"/>
      <c r="S49" s="191"/>
      <c r="T49" s="191"/>
      <c r="U49" s="191"/>
    </row>
    <row r="50" spans="3:21" ht="15.75" customHeight="1" x14ac:dyDescent="0.5">
      <c r="C50" s="205"/>
      <c r="Q50" s="206"/>
      <c r="R50" s="1"/>
      <c r="S50" s="110"/>
      <c r="T50" s="110"/>
      <c r="U50" s="207"/>
    </row>
    <row r="51" spans="3:21" ht="15.75" customHeight="1" x14ac:dyDescent="0.5">
      <c r="C51" s="205"/>
      <c r="Q51" s="206"/>
      <c r="R51" s="1"/>
      <c r="S51" s="208"/>
      <c r="T51" s="208"/>
      <c r="U51" s="207"/>
    </row>
    <row r="52" spans="3:21" ht="15.75" customHeight="1" x14ac:dyDescent="0.5">
      <c r="C52" s="205"/>
      <c r="Q52" s="206"/>
      <c r="R52" s="1"/>
      <c r="S52" s="208"/>
      <c r="T52" s="208"/>
      <c r="U52" s="207"/>
    </row>
    <row r="53" spans="3:21" ht="15.75" customHeight="1" x14ac:dyDescent="0.5">
      <c r="P53" s="205"/>
      <c r="Q53" s="206"/>
      <c r="R53" s="1"/>
      <c r="S53" s="208"/>
      <c r="T53" s="208"/>
      <c r="U53" s="207"/>
    </row>
  </sheetData>
  <mergeCells count="5">
    <mergeCell ref="C7:G7"/>
    <mergeCell ref="I7:M7"/>
    <mergeCell ref="B2:O2"/>
    <mergeCell ref="C3:O3"/>
    <mergeCell ref="C4:O4"/>
  </mergeCells>
  <printOptions horizontalCentered="1"/>
  <pageMargins left="0.55000000000000004" right="0.55000000000000004" top="1.6" bottom="0.5" header="0" footer="0"/>
  <pageSetup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27"/>
  <sheetViews>
    <sheetView showGridLines="0" workbookViewId="0">
      <selection activeCell="F15" sqref="F15"/>
    </sheetView>
  </sheetViews>
  <sheetFormatPr defaultColWidth="8.88671875" defaultRowHeight="14.25" x14ac:dyDescent="0.45"/>
  <cols>
    <col min="1" max="1" width="9" style="9" customWidth="1"/>
    <col min="2" max="2" width="1.77734375" style="9" customWidth="1"/>
    <col min="3" max="8" width="9.77734375" style="9" customWidth="1"/>
    <col min="9" max="9" width="1.77734375" style="9" customWidth="1"/>
    <col min="10" max="16384" width="8.88671875" style="9"/>
  </cols>
  <sheetData>
    <row r="1" spans="2:11" x14ac:dyDescent="0.45">
      <c r="B1" s="54"/>
      <c r="C1" s="55"/>
      <c r="D1" s="55"/>
      <c r="E1" s="55"/>
      <c r="F1" s="55"/>
      <c r="G1" s="55"/>
      <c r="H1" s="55"/>
      <c r="I1" s="56"/>
    </row>
    <row r="2" spans="2:11" ht="18" x14ac:dyDescent="0.55000000000000004">
      <c r="B2" s="311" t="s">
        <v>170</v>
      </c>
      <c r="C2" s="312"/>
      <c r="D2" s="312"/>
      <c r="E2" s="312"/>
      <c r="F2" s="312"/>
      <c r="G2" s="312"/>
      <c r="H2" s="312"/>
      <c r="I2" s="313"/>
    </row>
    <row r="3" spans="2:11" ht="15.75" x14ac:dyDescent="0.45">
      <c r="B3" s="314" t="s">
        <v>1</v>
      </c>
      <c r="C3" s="299"/>
      <c r="D3" s="299"/>
      <c r="E3" s="299"/>
      <c r="F3" s="299"/>
      <c r="G3" s="299"/>
      <c r="H3" s="299"/>
      <c r="I3" s="315"/>
    </row>
    <row r="4" spans="2:11" x14ac:dyDescent="0.45">
      <c r="B4" s="316" t="s">
        <v>317</v>
      </c>
      <c r="C4" s="317"/>
      <c r="D4" s="317"/>
      <c r="E4" s="317"/>
      <c r="F4" s="317"/>
      <c r="G4" s="317"/>
      <c r="H4" s="317"/>
      <c r="I4" s="318"/>
    </row>
    <row r="5" spans="2:11" ht="18" x14ac:dyDescent="0.45">
      <c r="B5" s="11"/>
      <c r="C5" s="224" t="s">
        <v>330</v>
      </c>
      <c r="D5" s="48"/>
      <c r="E5" s="22"/>
      <c r="F5" s="23"/>
      <c r="G5" s="23"/>
      <c r="H5" s="23"/>
      <c r="I5" s="24"/>
      <c r="J5" s="21"/>
      <c r="K5" s="21"/>
    </row>
    <row r="6" spans="2:11" ht="16.5" customHeight="1" x14ac:dyDescent="0.75">
      <c r="B6" s="11"/>
      <c r="C6" s="211" t="s">
        <v>171</v>
      </c>
      <c r="D6" s="212" t="s">
        <v>172</v>
      </c>
      <c r="E6" s="213" t="s">
        <v>173</v>
      </c>
      <c r="F6" s="211" t="s">
        <v>174</v>
      </c>
      <c r="G6" s="211"/>
      <c r="H6" s="211"/>
      <c r="I6" s="212"/>
    </row>
    <row r="7" spans="2:11" ht="16.5" x14ac:dyDescent="0.75">
      <c r="B7" s="11"/>
      <c r="C7" s="211" t="s">
        <v>175</v>
      </c>
      <c r="D7" s="212" t="s">
        <v>176</v>
      </c>
      <c r="E7" s="213" t="s">
        <v>177</v>
      </c>
      <c r="F7" s="211" t="s">
        <v>177</v>
      </c>
      <c r="G7" s="211" t="s">
        <v>178</v>
      </c>
      <c r="H7" s="211" t="s">
        <v>179</v>
      </c>
      <c r="I7" s="212"/>
    </row>
    <row r="8" spans="2:11" x14ac:dyDescent="0.45">
      <c r="B8" s="11"/>
      <c r="C8" s="239">
        <f>ExBA!M40</f>
        <v>3432</v>
      </c>
      <c r="D8" s="240" t="s">
        <v>180</v>
      </c>
      <c r="E8" s="295">
        <f>Rates!F10+(((Bills!C8-2000)/1000)*Rates!F11)</f>
        <v>46.480239999999995</v>
      </c>
      <c r="F8" s="241">
        <f>Rates!L10+(((Bills!C8-2000)/1000)*Rates!L11)</f>
        <v>52.223318847349091</v>
      </c>
      <c r="G8" s="242">
        <f t="shared" ref="G8:G11" si="0">F8-E8</f>
        <v>5.7430788473490963</v>
      </c>
      <c r="H8" s="243">
        <f t="shared" ref="H8:H11" si="1">G8/E8</f>
        <v>0.1235595781637336</v>
      </c>
      <c r="I8" s="214"/>
    </row>
    <row r="9" spans="2:11" x14ac:dyDescent="0.45">
      <c r="B9" s="11"/>
      <c r="C9" s="15">
        <f>ExBA!M60</f>
        <v>37510</v>
      </c>
      <c r="D9" s="25" t="s">
        <v>181</v>
      </c>
      <c r="E9" s="197">
        <f>Rates!F17+(5*Rates!F18)+(10*Rates!F19)+(((Bills!C9-20000)/1000)*Rates!F20)</f>
        <v>402.70510000000002</v>
      </c>
      <c r="F9" s="197">
        <f>Rates!L17+(5*Rates!L18)+(10*Rates!L19)+(((Bills!C9-20000)/1000)*Rates!L20)</f>
        <v>452.46317228038413</v>
      </c>
      <c r="G9" s="209">
        <f t="shared" si="0"/>
        <v>49.758072280384113</v>
      </c>
      <c r="H9" s="215">
        <f t="shared" si="1"/>
        <v>0.12355957816373349</v>
      </c>
      <c r="I9" s="216"/>
    </row>
    <row r="10" spans="2:11" x14ac:dyDescent="0.45">
      <c r="B10" s="11"/>
      <c r="C10" s="15">
        <f>ExBA!M77</f>
        <v>15860</v>
      </c>
      <c r="D10" s="25" t="s">
        <v>182</v>
      </c>
      <c r="E10" s="197">
        <f>Rates!F24+(((Bills!C10-11000)/1000)*Rates!F25)</f>
        <v>183.26760000000002</v>
      </c>
      <c r="F10" s="197">
        <f>Rates!L24+(((Bills!C10-11000)/1000)*Rates!L25)</f>
        <v>205.91206734707987</v>
      </c>
      <c r="G10" s="209">
        <f t="shared" ref="G10" si="2">F10-E10</f>
        <v>22.644467347079853</v>
      </c>
      <c r="H10" s="215">
        <f t="shared" ref="H10" si="3">G10/E10</f>
        <v>0.12355957816373353</v>
      </c>
      <c r="I10" s="216"/>
    </row>
    <row r="11" spans="2:11" x14ac:dyDescent="0.45">
      <c r="B11" s="11"/>
      <c r="C11" s="15">
        <f>ExBA!M94</f>
        <v>113592</v>
      </c>
      <c r="D11" s="25" t="s">
        <v>183</v>
      </c>
      <c r="E11" s="197">
        <f>Rates!F30+(4*Rates!F31)+(30*Rates!F32)+(((Bills!C11-50000)/1000)*Rates!F33)</f>
        <v>1122.2652</v>
      </c>
      <c r="F11" s="197">
        <f>Rates!L30+(4*Rates!L31)+(30*Rates!L32)+(((Bills!C11-50000)/1000)*Rates!L33)</f>
        <v>1260.931814699838</v>
      </c>
      <c r="G11" s="209">
        <f t="shared" si="0"/>
        <v>138.66661469983796</v>
      </c>
      <c r="H11" s="215">
        <f t="shared" si="1"/>
        <v>0.12355957816373346</v>
      </c>
      <c r="I11" s="216"/>
    </row>
    <row r="12" spans="2:11" x14ac:dyDescent="0.45">
      <c r="B12" s="11"/>
      <c r="C12" s="15"/>
      <c r="D12" s="12" t="s">
        <v>184</v>
      </c>
      <c r="E12" s="218"/>
      <c r="F12" s="209"/>
      <c r="G12" s="209"/>
      <c r="H12" s="215"/>
      <c r="I12" s="216"/>
    </row>
    <row r="13" spans="2:11" x14ac:dyDescent="0.45">
      <c r="B13" s="11"/>
      <c r="C13" s="15">
        <f>ExBA!M124</f>
        <v>190177</v>
      </c>
      <c r="D13" s="12" t="s">
        <v>185</v>
      </c>
      <c r="E13" s="294">
        <f>Rates!F41+(14*Rates!F42)+(((Bills!C13-50000)/1000)*Rates!F43)</f>
        <v>1838.2649499999998</v>
      </c>
      <c r="F13" s="294">
        <f>Rates!L41+(14*Rates!L42)+(((Bills!C13-50000)/1000)*Rates!L43)</f>
        <v>2065.4001917751766</v>
      </c>
      <c r="G13" s="209">
        <f t="shared" ref="G13" si="4">F13-E13</f>
        <v>227.13524177517684</v>
      </c>
      <c r="H13" s="215">
        <f t="shared" ref="H13" si="5">G13/E13</f>
        <v>0.12355957816373361</v>
      </c>
      <c r="I13" s="216"/>
    </row>
    <row r="14" spans="2:11" x14ac:dyDescent="0.45">
      <c r="B14" s="11"/>
      <c r="C14" s="15">
        <f>ExBA!M135</f>
        <v>490414</v>
      </c>
      <c r="D14" s="12" t="s">
        <v>329</v>
      </c>
      <c r="E14" s="218">
        <f>(C14/1000)*Rates!F46</f>
        <v>3364.2400400000001</v>
      </c>
      <c r="F14" s="209">
        <f>(C14/1000)*Rates!L46</f>
        <v>3779.9241201839423</v>
      </c>
      <c r="G14" s="209">
        <f t="shared" ref="G14" si="6">F14-E14</f>
        <v>415.68408018394211</v>
      </c>
      <c r="H14" s="215">
        <f t="shared" ref="H14" si="7">G14/E14</f>
        <v>0.12355957816373356</v>
      </c>
      <c r="I14" s="216"/>
    </row>
    <row r="15" spans="2:11" ht="15.4" x14ac:dyDescent="0.45">
      <c r="B15" s="210"/>
      <c r="C15" s="14"/>
      <c r="D15" s="4"/>
      <c r="E15" s="203"/>
      <c r="F15" s="217"/>
      <c r="G15" s="217"/>
      <c r="H15" s="14"/>
      <c r="I15" s="47"/>
    </row>
    <row r="17" spans="4:4" x14ac:dyDescent="0.45">
      <c r="D17" s="30" t="s">
        <v>186</v>
      </c>
    </row>
    <row r="27" spans="4:4" ht="6" customHeight="1" x14ac:dyDescent="0.45"/>
  </sheetData>
  <mergeCells count="3">
    <mergeCell ref="B2:I2"/>
    <mergeCell ref="B3:I3"/>
    <mergeCell ref="B4:I4"/>
  </mergeCells>
  <printOptions horizontalCentered="1"/>
  <pageMargins left="0.7" right="0.7" top="1.1000000000000001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146"/>
  <sheetViews>
    <sheetView showGridLines="0" topLeftCell="A15" zoomScaleNormal="100" workbookViewId="0">
      <selection activeCell="D38" sqref="D38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2.5546875" style="9" customWidth="1"/>
    <col min="5" max="10" width="12.5546875" style="1" customWidth="1"/>
    <col min="11" max="11" width="9.88671875" style="1" bestFit="1" customWidth="1"/>
    <col min="12" max="12" width="10.5546875" style="9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150" t="s">
        <v>187</v>
      </c>
      <c r="B1" s="16"/>
      <c r="C1" s="16"/>
      <c r="D1" s="63"/>
      <c r="E1" s="16"/>
      <c r="F1" s="16"/>
      <c r="G1" s="16"/>
      <c r="H1" s="16"/>
      <c r="I1" s="16"/>
    </row>
    <row r="2" spans="1:17" ht="18" x14ac:dyDescent="0.45">
      <c r="A2" s="319" t="s">
        <v>1</v>
      </c>
      <c r="B2" s="319"/>
      <c r="C2" s="319"/>
      <c r="D2" s="319"/>
      <c r="E2" s="319"/>
      <c r="F2" s="319"/>
      <c r="G2" s="319"/>
      <c r="H2" s="319"/>
      <c r="I2" s="319"/>
    </row>
    <row r="3" spans="1:17" x14ac:dyDescent="0.45">
      <c r="M3" s="9"/>
      <c r="Q3" s="9"/>
    </row>
    <row r="4" spans="1:17" ht="16.5" x14ac:dyDescent="0.75">
      <c r="C4" s="151" t="s">
        <v>188</v>
      </c>
      <c r="M4" s="100"/>
      <c r="Q4" s="136"/>
    </row>
    <row r="5" spans="1:17" x14ac:dyDescent="0.45">
      <c r="C5" s="152"/>
      <c r="D5" s="14"/>
      <c r="E5" s="153" t="s">
        <v>189</v>
      </c>
      <c r="F5" s="153" t="s">
        <v>190</v>
      </c>
      <c r="G5" s="153" t="s">
        <v>191</v>
      </c>
      <c r="H5" s="12"/>
      <c r="J5" s="154"/>
      <c r="K5" s="9"/>
      <c r="L5" s="154"/>
      <c r="M5" s="9"/>
      <c r="Q5" s="2"/>
    </row>
    <row r="6" spans="1:17" x14ac:dyDescent="0.45">
      <c r="C6" s="1" t="s">
        <v>192</v>
      </c>
      <c r="E6" s="9">
        <f>C31</f>
        <v>70776</v>
      </c>
      <c r="F6" s="155">
        <f>D31</f>
        <v>242891300</v>
      </c>
      <c r="G6" s="19">
        <f>F40</f>
        <v>3589020.91</v>
      </c>
      <c r="H6" s="19"/>
      <c r="J6" s="154"/>
      <c r="K6" s="2"/>
    </row>
    <row r="7" spans="1:17" x14ac:dyDescent="0.45">
      <c r="C7" s="1" t="s">
        <v>193</v>
      </c>
      <c r="E7" s="9">
        <f>C51</f>
        <v>432</v>
      </c>
      <c r="F7" s="155">
        <f>D51</f>
        <v>16204500</v>
      </c>
      <c r="G7" s="9">
        <f>F60</f>
        <v>145014.35800000001</v>
      </c>
      <c r="H7" s="9"/>
      <c r="J7" s="154"/>
      <c r="K7" s="9"/>
    </row>
    <row r="8" spans="1:17" x14ac:dyDescent="0.45">
      <c r="B8" s="1" t="s">
        <v>83</v>
      </c>
      <c r="C8" s="1" t="s">
        <v>194</v>
      </c>
      <c r="E8" s="9">
        <f>C69</f>
        <v>84</v>
      </c>
      <c r="F8" s="155">
        <f>D69</f>
        <v>1332200</v>
      </c>
      <c r="G8" s="9">
        <f>F77</f>
        <v>19549.641</v>
      </c>
      <c r="H8" s="9"/>
      <c r="J8" s="154"/>
      <c r="K8" s="9"/>
    </row>
    <row r="9" spans="1:17" x14ac:dyDescent="0.45">
      <c r="C9" s="1" t="s">
        <v>195</v>
      </c>
      <c r="E9" s="15">
        <f>C86</f>
        <v>396</v>
      </c>
      <c r="F9" s="103">
        <f>D86</f>
        <v>44982300</v>
      </c>
      <c r="G9" s="15">
        <f>F94</f>
        <v>452405.79700000002</v>
      </c>
      <c r="H9" s="9"/>
      <c r="J9" s="154"/>
      <c r="K9" s="9"/>
    </row>
    <row r="10" spans="1:17" x14ac:dyDescent="0.45">
      <c r="C10" s="1" t="s">
        <v>196</v>
      </c>
      <c r="E10" s="15">
        <f>C106</f>
        <v>0</v>
      </c>
      <c r="F10" s="103">
        <f>D109</f>
        <v>0</v>
      </c>
      <c r="G10" s="15">
        <f>F109</f>
        <v>0</v>
      </c>
      <c r="H10" s="9"/>
      <c r="J10" s="154"/>
      <c r="K10" s="9"/>
    </row>
    <row r="11" spans="1:17" x14ac:dyDescent="0.45">
      <c r="C11" s="1" t="s">
        <v>197</v>
      </c>
      <c r="E11" s="15">
        <f>C124</f>
        <v>60</v>
      </c>
      <c r="F11" s="103">
        <f>D124</f>
        <v>11410600</v>
      </c>
      <c r="G11" s="15">
        <f>F124</f>
        <v>115936.54299999999</v>
      </c>
      <c r="H11" s="9"/>
      <c r="J11" s="154"/>
      <c r="K11" s="9"/>
    </row>
    <row r="12" spans="1:17" x14ac:dyDescent="0.45">
      <c r="C12" s="1" t="s">
        <v>198</v>
      </c>
      <c r="E12" s="15">
        <f>C135</f>
        <v>30</v>
      </c>
      <c r="F12" s="103">
        <f>D135</f>
        <v>18174200</v>
      </c>
      <c r="G12" s="15">
        <f>F135</f>
        <v>124675.012</v>
      </c>
      <c r="H12" s="9"/>
      <c r="J12" s="154"/>
      <c r="K12" s="9"/>
    </row>
    <row r="13" spans="1:17" x14ac:dyDescent="0.45">
      <c r="C13" s="1" t="s">
        <v>199</v>
      </c>
      <c r="E13" s="14">
        <f>C146</f>
        <v>12</v>
      </c>
      <c r="F13" s="156">
        <f>D145</f>
        <v>2423200</v>
      </c>
      <c r="G13" s="14">
        <f>F146</f>
        <v>16623.151999999998</v>
      </c>
      <c r="H13" s="9"/>
      <c r="J13" s="154"/>
      <c r="K13" s="9"/>
    </row>
    <row r="14" spans="1:17" x14ac:dyDescent="0.45">
      <c r="C14" s="1" t="s">
        <v>200</v>
      </c>
      <c r="E14" s="2">
        <f>SUM(E6:E13)</f>
        <v>71790</v>
      </c>
      <c r="F14" s="15">
        <f>SUM(F6:F13)</f>
        <v>337418300</v>
      </c>
      <c r="G14" s="99">
        <f>SUM(G6:G13)</f>
        <v>4463225.4129999997</v>
      </c>
      <c r="H14" s="99"/>
      <c r="J14" s="154"/>
      <c r="K14" s="2"/>
      <c r="M14" s="157"/>
    </row>
    <row r="15" spans="1:17" x14ac:dyDescent="0.45">
      <c r="C15" s="1" t="s">
        <v>201</v>
      </c>
      <c r="E15" s="2"/>
      <c r="F15" s="15"/>
      <c r="G15" s="148">
        <f>-8219</f>
        <v>-8219</v>
      </c>
      <c r="H15" s="99"/>
      <c r="J15" s="154"/>
      <c r="K15" s="2"/>
      <c r="M15" s="157"/>
    </row>
    <row r="16" spans="1:17" x14ac:dyDescent="0.45">
      <c r="C16" s="1" t="s">
        <v>202</v>
      </c>
      <c r="E16" s="2"/>
      <c r="F16" s="15"/>
      <c r="G16" s="99">
        <f>G14+G15</f>
        <v>4455006.4129999997</v>
      </c>
      <c r="H16" s="99"/>
      <c r="J16" s="154"/>
      <c r="K16" s="2"/>
      <c r="M16" s="157"/>
    </row>
    <row r="17" spans="1:19" x14ac:dyDescent="0.45">
      <c r="C17" s="1" t="s">
        <v>323</v>
      </c>
      <c r="E17" s="2"/>
      <c r="F17" s="15"/>
      <c r="G17" s="148">
        <f>-SAO!D6</f>
        <v>-4095760</v>
      </c>
      <c r="H17" s="99"/>
      <c r="J17" s="154"/>
      <c r="K17" s="157"/>
    </row>
    <row r="18" spans="1:19" x14ac:dyDescent="0.45">
      <c r="C18" s="1" t="s">
        <v>203</v>
      </c>
      <c r="D18" s="158"/>
      <c r="F18" s="10"/>
      <c r="G18" s="100">
        <f>G16+G17</f>
        <v>359246.41299999971</v>
      </c>
      <c r="H18" s="159" t="s">
        <v>325</v>
      </c>
      <c r="I18" s="100"/>
      <c r="J18" s="154"/>
      <c r="O18" s="2"/>
    </row>
    <row r="19" spans="1:19" x14ac:dyDescent="0.45">
      <c r="C19" s="1" t="s">
        <v>324</v>
      </c>
      <c r="D19" s="158"/>
      <c r="F19" s="10"/>
      <c r="G19" s="292">
        <f>G18/-G17</f>
        <v>8.7711783161122645E-2</v>
      </c>
      <c r="H19" s="1" t="s">
        <v>326</v>
      </c>
      <c r="I19" s="100"/>
      <c r="J19" s="154"/>
    </row>
    <row r="20" spans="1:19" x14ac:dyDescent="0.45">
      <c r="D20" s="158"/>
      <c r="F20" s="10"/>
      <c r="G20" s="158"/>
      <c r="I20" s="100"/>
    </row>
    <row r="21" spans="1:19" x14ac:dyDescent="0.45">
      <c r="F21" s="160"/>
      <c r="G21" s="182"/>
    </row>
    <row r="22" spans="1:19" x14ac:dyDescent="0.45">
      <c r="F22" s="100"/>
      <c r="G22" s="100"/>
    </row>
    <row r="23" spans="1:19" ht="15.75" x14ac:dyDescent="0.5">
      <c r="A23" s="161" t="s">
        <v>204</v>
      </c>
      <c r="N23"/>
      <c r="O23"/>
      <c r="P23"/>
      <c r="Q23"/>
      <c r="R23"/>
      <c r="S23"/>
    </row>
    <row r="24" spans="1:19" ht="15.4" x14ac:dyDescent="0.45">
      <c r="E24" s="12" t="s">
        <v>205</v>
      </c>
      <c r="F24" s="12" t="s">
        <v>206</v>
      </c>
      <c r="G24" s="12" t="s">
        <v>206</v>
      </c>
      <c r="H24" s="12" t="s">
        <v>206</v>
      </c>
      <c r="I24" s="12" t="s">
        <v>207</v>
      </c>
      <c r="L24"/>
      <c r="M24"/>
      <c r="N24"/>
      <c r="O24"/>
      <c r="P24"/>
      <c r="Q24"/>
    </row>
    <row r="25" spans="1:19" ht="15.4" x14ac:dyDescent="0.45">
      <c r="B25" s="153" t="s">
        <v>208</v>
      </c>
      <c r="C25" s="162" t="s">
        <v>209</v>
      </c>
      <c r="D25" s="96" t="s">
        <v>210</v>
      </c>
      <c r="E25" s="162">
        <f>B26</f>
        <v>2000</v>
      </c>
      <c r="F25" s="162">
        <f>B27</f>
        <v>8000</v>
      </c>
      <c r="G25" s="162">
        <f>B28</f>
        <v>10000</v>
      </c>
      <c r="H25" s="162">
        <f>B29</f>
        <v>30000</v>
      </c>
      <c r="I25" s="162">
        <f>B30</f>
        <v>50000</v>
      </c>
      <c r="J25" s="153" t="s">
        <v>111</v>
      </c>
      <c r="L25"/>
      <c r="M25"/>
      <c r="N25"/>
      <c r="O25"/>
      <c r="P25"/>
      <c r="Q25"/>
    </row>
    <row r="26" spans="1:19" ht="15.4" x14ac:dyDescent="0.45">
      <c r="A26" s="13" t="s">
        <v>205</v>
      </c>
      <c r="B26" s="101">
        <v>2000</v>
      </c>
      <c r="C26" s="163">
        <v>27577</v>
      </c>
      <c r="D26" s="158">
        <v>26887500</v>
      </c>
      <c r="E26" s="158">
        <f>D26</f>
        <v>26887500</v>
      </c>
      <c r="F26" s="158">
        <v>0</v>
      </c>
      <c r="G26" s="158">
        <v>0</v>
      </c>
      <c r="H26" s="158">
        <v>0</v>
      </c>
      <c r="I26" s="158">
        <v>0</v>
      </c>
      <c r="J26" s="158">
        <f>SUM(E26:I26)</f>
        <v>26887500</v>
      </c>
      <c r="L26"/>
      <c r="M26"/>
      <c r="N26"/>
      <c r="O26"/>
      <c r="P26"/>
      <c r="Q26"/>
    </row>
    <row r="27" spans="1:19" ht="15.4" x14ac:dyDescent="0.45">
      <c r="A27" s="13" t="s">
        <v>206</v>
      </c>
      <c r="B27" s="101">
        <v>8000</v>
      </c>
      <c r="C27" s="163">
        <v>40616</v>
      </c>
      <c r="D27" s="158">
        <v>170293400</v>
      </c>
      <c r="E27" s="158">
        <f>C27*E$25</f>
        <v>81232000</v>
      </c>
      <c r="F27" s="158">
        <f>D27-E27</f>
        <v>89061400</v>
      </c>
      <c r="G27" s="158">
        <v>0</v>
      </c>
      <c r="H27" s="158">
        <v>0</v>
      </c>
      <c r="I27" s="158">
        <v>0</v>
      </c>
      <c r="J27" s="158">
        <f>SUM(E27:I27)</f>
        <v>170293400</v>
      </c>
      <c r="L27"/>
      <c r="M27"/>
      <c r="N27"/>
      <c r="O27"/>
      <c r="P27"/>
      <c r="Q27"/>
    </row>
    <row r="28" spans="1:19" ht="15.4" x14ac:dyDescent="0.45">
      <c r="A28" s="13" t="s">
        <v>206</v>
      </c>
      <c r="B28" s="101">
        <v>10000</v>
      </c>
      <c r="C28" s="163">
        <v>2102</v>
      </c>
      <c r="D28" s="158">
        <v>27748000</v>
      </c>
      <c r="E28" s="158">
        <f>C28*E$25</f>
        <v>4204000</v>
      </c>
      <c r="F28" s="158">
        <f>$C28*F$25</f>
        <v>16816000</v>
      </c>
      <c r="G28" s="158">
        <f>D28-(F28+E28)</f>
        <v>6728000</v>
      </c>
      <c r="H28" s="158">
        <v>0</v>
      </c>
      <c r="I28" s="158">
        <v>0</v>
      </c>
      <c r="J28" s="158">
        <f>SUM(E28:I28)</f>
        <v>27748000</v>
      </c>
      <c r="L28"/>
      <c r="M28"/>
      <c r="N28"/>
      <c r="O28"/>
      <c r="P28"/>
      <c r="Q28"/>
    </row>
    <row r="29" spans="1:19" ht="15.4" x14ac:dyDescent="0.45">
      <c r="A29" s="13" t="s">
        <v>206</v>
      </c>
      <c r="B29" s="101">
        <v>30000</v>
      </c>
      <c r="C29" s="163">
        <v>412</v>
      </c>
      <c r="D29" s="158">
        <v>11538700</v>
      </c>
      <c r="E29" s="158">
        <f>C29*E$25</f>
        <v>824000</v>
      </c>
      <c r="F29" s="158">
        <f>$C29*F$25</f>
        <v>3296000</v>
      </c>
      <c r="G29" s="158">
        <f>C29*G25</f>
        <v>4120000</v>
      </c>
      <c r="H29" s="2">
        <f>D29-E29-F29-G29</f>
        <v>3298700</v>
      </c>
      <c r="I29" s="158">
        <v>0</v>
      </c>
      <c r="J29" s="158">
        <f>SUM(E29:I29)</f>
        <v>11538700</v>
      </c>
      <c r="L29"/>
      <c r="M29"/>
      <c r="N29"/>
      <c r="O29"/>
      <c r="P29"/>
      <c r="Q29"/>
    </row>
    <row r="30" spans="1:19" ht="15.4" x14ac:dyDescent="0.45">
      <c r="A30" s="13" t="s">
        <v>207</v>
      </c>
      <c r="B30" s="164">
        <v>50000</v>
      </c>
      <c r="C30" s="165">
        <v>69</v>
      </c>
      <c r="D30" s="166">
        <v>6423700</v>
      </c>
      <c r="E30" s="166">
        <f>C30*E$25</f>
        <v>138000</v>
      </c>
      <c r="F30" s="166">
        <f>$C30*F$25</f>
        <v>552000</v>
      </c>
      <c r="G30" s="166">
        <f>$C30*G$25</f>
        <v>690000</v>
      </c>
      <c r="H30" s="18">
        <f>C30*H25</f>
        <v>2070000</v>
      </c>
      <c r="I30" s="166">
        <f>D30-E30-F30-G30-H30</f>
        <v>2973700</v>
      </c>
      <c r="J30" s="166">
        <f>SUM(E30:I30)</f>
        <v>6423700</v>
      </c>
      <c r="L30"/>
      <c r="M30"/>
      <c r="N30"/>
      <c r="O30"/>
      <c r="P30"/>
      <c r="Q30"/>
    </row>
    <row r="31" spans="1:19" ht="15.4" x14ac:dyDescent="0.45">
      <c r="A31" s="13"/>
      <c r="B31" s="101" t="s">
        <v>111</v>
      </c>
      <c r="C31" s="15">
        <f t="shared" ref="C31:J31" si="0">SUM(C26:C30)</f>
        <v>70776</v>
      </c>
      <c r="D31" s="15">
        <f t="shared" si="0"/>
        <v>242891300</v>
      </c>
      <c r="E31" s="15">
        <f t="shared" si="0"/>
        <v>113285500</v>
      </c>
      <c r="F31" s="15">
        <f t="shared" si="0"/>
        <v>109725400</v>
      </c>
      <c r="G31" s="15">
        <f t="shared" si="0"/>
        <v>11538000</v>
      </c>
      <c r="H31" s="15">
        <f t="shared" si="0"/>
        <v>5368700</v>
      </c>
      <c r="I31" s="15">
        <f>SUM(I26:I30)</f>
        <v>2973700</v>
      </c>
      <c r="J31" s="15">
        <f t="shared" si="0"/>
        <v>242891300</v>
      </c>
      <c r="K31" s="9"/>
      <c r="L31"/>
      <c r="M31"/>
      <c r="N31"/>
      <c r="O31"/>
      <c r="P31"/>
      <c r="Q31"/>
    </row>
    <row r="32" spans="1:19" ht="15.4" x14ac:dyDescent="0.45">
      <c r="A32" s="13"/>
      <c r="B32" s="101"/>
      <c r="E32" s="101"/>
      <c r="F32" s="101"/>
      <c r="G32" s="101"/>
      <c r="H32" s="101"/>
      <c r="I32" s="101"/>
      <c r="N32"/>
      <c r="O32"/>
      <c r="P32"/>
      <c r="Q32"/>
      <c r="R32"/>
      <c r="S32"/>
    </row>
    <row r="33" spans="1:19" ht="15.4" x14ac:dyDescent="0.45">
      <c r="A33" s="102" t="s">
        <v>211</v>
      </c>
      <c r="B33" s="102"/>
      <c r="E33" s="101"/>
      <c r="F33" s="101"/>
      <c r="G33" s="101"/>
      <c r="H33" s="101"/>
      <c r="I33" s="101"/>
      <c r="N33"/>
      <c r="O33"/>
      <c r="P33"/>
      <c r="Q33"/>
      <c r="R33"/>
      <c r="S33"/>
    </row>
    <row r="34" spans="1:19" ht="15.4" x14ac:dyDescent="0.45">
      <c r="A34" s="13"/>
      <c r="B34" s="153"/>
      <c r="C34" s="162" t="s">
        <v>209</v>
      </c>
      <c r="D34" s="96" t="s">
        <v>210</v>
      </c>
      <c r="E34" s="162" t="s">
        <v>212</v>
      </c>
      <c r="F34" s="162" t="s">
        <v>213</v>
      </c>
      <c r="G34" s="101"/>
      <c r="H34" s="101"/>
      <c r="I34" s="101"/>
      <c r="N34"/>
      <c r="O34"/>
      <c r="P34"/>
      <c r="Q34"/>
      <c r="R34"/>
      <c r="S34"/>
    </row>
    <row r="35" spans="1:19" ht="15.4" x14ac:dyDescent="0.45">
      <c r="A35" s="13" t="s">
        <v>205</v>
      </c>
      <c r="B35" s="101">
        <f>B26</f>
        <v>2000</v>
      </c>
      <c r="C35" s="9">
        <f>C31</f>
        <v>70776</v>
      </c>
      <c r="D35" s="158">
        <f>E31</f>
        <v>113285500</v>
      </c>
      <c r="E35" s="167">
        <v>30.27</v>
      </c>
      <c r="F35" s="19">
        <f>E35*C35</f>
        <v>2142389.52</v>
      </c>
      <c r="G35" s="101"/>
      <c r="N35"/>
      <c r="O35"/>
      <c r="P35"/>
      <c r="Q35"/>
      <c r="R35"/>
      <c r="S35"/>
    </row>
    <row r="36" spans="1:19" ht="15.4" x14ac:dyDescent="0.45">
      <c r="A36" s="13" t="s">
        <v>206</v>
      </c>
      <c r="B36" s="101">
        <f>B27</f>
        <v>8000</v>
      </c>
      <c r="D36" s="158">
        <f>F31</f>
        <v>109725400</v>
      </c>
      <c r="E36" s="167">
        <v>11.32</v>
      </c>
      <c r="F36" s="9">
        <f>E36*(D36/1000)</f>
        <v>1242091.5279999999</v>
      </c>
      <c r="G36" s="101"/>
      <c r="N36"/>
      <c r="O36"/>
      <c r="P36"/>
      <c r="Q36"/>
      <c r="R36"/>
      <c r="S36"/>
    </row>
    <row r="37" spans="1:19" ht="15.4" x14ac:dyDescent="0.45">
      <c r="A37" s="13" t="s">
        <v>206</v>
      </c>
      <c r="B37" s="101">
        <f>B28</f>
        <v>10000</v>
      </c>
      <c r="D37" s="158">
        <f>G31</f>
        <v>11538000</v>
      </c>
      <c r="E37" s="167">
        <v>10.66</v>
      </c>
      <c r="F37" s="9">
        <f>E37*(D37/1000)</f>
        <v>122995.08</v>
      </c>
      <c r="G37" s="101"/>
      <c r="N37"/>
      <c r="O37"/>
      <c r="P37"/>
      <c r="Q37"/>
      <c r="R37"/>
      <c r="S37"/>
    </row>
    <row r="38" spans="1:19" ht="15.4" x14ac:dyDescent="0.45">
      <c r="A38" s="13" t="s">
        <v>206</v>
      </c>
      <c r="B38" s="101">
        <v>30000</v>
      </c>
      <c r="D38" s="158">
        <f>H31</f>
        <v>5368700</v>
      </c>
      <c r="E38" s="167">
        <v>10.01</v>
      </c>
      <c r="F38" s="9">
        <f>E38*(D38/1000)</f>
        <v>53740.686999999998</v>
      </c>
      <c r="G38" s="101"/>
      <c r="N38"/>
      <c r="O38"/>
      <c r="P38"/>
      <c r="Q38"/>
      <c r="R38"/>
      <c r="S38"/>
    </row>
    <row r="39" spans="1:19" x14ac:dyDescent="0.45">
      <c r="A39" s="13" t="s">
        <v>207</v>
      </c>
      <c r="B39" s="164">
        <f>B30</f>
        <v>50000</v>
      </c>
      <c r="C39" s="168"/>
      <c r="D39" s="166">
        <f>I31</f>
        <v>2973700</v>
      </c>
      <c r="E39" s="169">
        <v>9.35</v>
      </c>
      <c r="F39" s="14">
        <f>E39*(D39/1000)</f>
        <v>27804.094999999998</v>
      </c>
      <c r="G39" s="101"/>
      <c r="Q39" s="9">
        <f>Q32/12</f>
        <v>0</v>
      </c>
    </row>
    <row r="40" spans="1:19" x14ac:dyDescent="0.45">
      <c r="A40" s="13"/>
      <c r="B40" s="101" t="s">
        <v>111</v>
      </c>
      <c r="C40" s="9">
        <f>SUM(C35:C39)</f>
        <v>70776</v>
      </c>
      <c r="D40" s="15">
        <f>SUM(D35:D39)</f>
        <v>242891300</v>
      </c>
      <c r="F40" s="19">
        <f>SUM(F35:F39)</f>
        <v>3589020.91</v>
      </c>
      <c r="G40" s="19"/>
      <c r="H40" s="101"/>
      <c r="I40" s="170"/>
      <c r="M40" s="6">
        <f>ROUND(D40/C40,0)</f>
        <v>3432</v>
      </c>
    </row>
    <row r="41" spans="1:19" x14ac:dyDescent="0.45">
      <c r="A41" s="13"/>
      <c r="B41" s="101"/>
      <c r="C41" s="9"/>
      <c r="D41" s="15"/>
      <c r="F41" s="19"/>
      <c r="G41" s="101"/>
      <c r="H41" s="101"/>
      <c r="I41" s="101"/>
    </row>
    <row r="42" spans="1:19" x14ac:dyDescent="0.45">
      <c r="A42" s="13"/>
      <c r="B42" s="101"/>
      <c r="C42" s="9"/>
      <c r="D42" s="15"/>
      <c r="F42" s="19"/>
      <c r="G42" s="101"/>
      <c r="H42" s="101"/>
      <c r="I42" s="101"/>
    </row>
    <row r="43" spans="1:19" ht="15.75" x14ac:dyDescent="0.5">
      <c r="A43" s="161" t="s">
        <v>214</v>
      </c>
    </row>
    <row r="44" spans="1:19" x14ac:dyDescent="0.45">
      <c r="E44" s="12" t="s">
        <v>205</v>
      </c>
      <c r="F44" s="12" t="s">
        <v>206</v>
      </c>
      <c r="G44" s="13" t="s">
        <v>206</v>
      </c>
      <c r="H44" s="13" t="s">
        <v>206</v>
      </c>
      <c r="I44" s="12" t="s">
        <v>207</v>
      </c>
      <c r="L44" s="1"/>
    </row>
    <row r="45" spans="1:19" x14ac:dyDescent="0.45">
      <c r="B45" s="153" t="s">
        <v>208</v>
      </c>
      <c r="C45" s="162" t="s">
        <v>209</v>
      </c>
      <c r="D45" s="96" t="s">
        <v>210</v>
      </c>
      <c r="E45" s="162">
        <f>B46</f>
        <v>5000</v>
      </c>
      <c r="F45" s="162">
        <f>B47</f>
        <v>5000</v>
      </c>
      <c r="G45" s="172">
        <f>B48</f>
        <v>10000</v>
      </c>
      <c r="H45" s="172">
        <f>B49</f>
        <v>30000</v>
      </c>
      <c r="I45" s="162">
        <f>B50</f>
        <v>50000</v>
      </c>
      <c r="J45" s="153" t="s">
        <v>111</v>
      </c>
      <c r="L45" s="1"/>
    </row>
    <row r="46" spans="1:19" x14ac:dyDescent="0.45">
      <c r="A46" s="13" t="s">
        <v>205</v>
      </c>
      <c r="B46" s="101">
        <v>5000</v>
      </c>
      <c r="C46" s="163">
        <v>241</v>
      </c>
      <c r="D46" s="158">
        <v>3288800</v>
      </c>
      <c r="E46" s="158">
        <f>D46</f>
        <v>3288800</v>
      </c>
      <c r="F46" s="158">
        <v>0</v>
      </c>
      <c r="G46" s="6">
        <v>0</v>
      </c>
      <c r="H46" s="6">
        <v>0</v>
      </c>
      <c r="I46" s="158">
        <v>0</v>
      </c>
      <c r="J46" s="158">
        <f>SUM(E46:I46)</f>
        <v>3288800</v>
      </c>
      <c r="L46" s="1"/>
    </row>
    <row r="47" spans="1:19" x14ac:dyDescent="0.45">
      <c r="A47" s="13" t="s">
        <v>206</v>
      </c>
      <c r="B47" s="101">
        <v>5000</v>
      </c>
      <c r="C47" s="163">
        <v>24</v>
      </c>
      <c r="D47" s="158">
        <v>177200</v>
      </c>
      <c r="E47" s="158">
        <f>C47*$E$45</f>
        <v>120000</v>
      </c>
      <c r="F47" s="158">
        <f>D47-E47</f>
        <v>57200</v>
      </c>
      <c r="G47" s="6">
        <v>0</v>
      </c>
      <c r="H47" s="6">
        <v>0</v>
      </c>
      <c r="I47" s="158">
        <v>0</v>
      </c>
      <c r="J47" s="158">
        <f>SUM(E47:I47)</f>
        <v>177200</v>
      </c>
      <c r="L47" s="1"/>
    </row>
    <row r="48" spans="1:19" x14ac:dyDescent="0.45">
      <c r="A48" s="13" t="s">
        <v>206</v>
      </c>
      <c r="B48" s="101">
        <v>10000</v>
      </c>
      <c r="C48" s="163">
        <v>49</v>
      </c>
      <c r="D48" s="158">
        <v>680300</v>
      </c>
      <c r="E48" s="158">
        <f>C48*$E$45</f>
        <v>245000</v>
      </c>
      <c r="F48" s="158">
        <f>$C$48*$F$45</f>
        <v>245000</v>
      </c>
      <c r="G48" s="2">
        <f>D48-E48-F48</f>
        <v>190300</v>
      </c>
      <c r="H48" s="6">
        <v>0</v>
      </c>
      <c r="I48" s="158">
        <v>0</v>
      </c>
      <c r="J48" s="158">
        <f>SUM(E48:I48)</f>
        <v>680300</v>
      </c>
      <c r="L48" s="1"/>
    </row>
    <row r="49" spans="1:13" x14ac:dyDescent="0.45">
      <c r="A49" s="13" t="s">
        <v>206</v>
      </c>
      <c r="B49" s="101">
        <v>30000</v>
      </c>
      <c r="C49" s="163">
        <v>35</v>
      </c>
      <c r="D49" s="158">
        <v>1061100</v>
      </c>
      <c r="E49" s="158">
        <f>C49*$E$45</f>
        <v>175000</v>
      </c>
      <c r="F49" s="158">
        <f>$C$49*$F$45</f>
        <v>175000</v>
      </c>
      <c r="G49" s="2">
        <f>$C$49*$G$45</f>
        <v>350000</v>
      </c>
      <c r="H49" s="2">
        <f>D49-E49-F49-G49</f>
        <v>361100</v>
      </c>
      <c r="I49" s="158">
        <v>0</v>
      </c>
      <c r="J49" s="158">
        <f>SUM(E49:I49)</f>
        <v>1061100</v>
      </c>
      <c r="L49" s="1"/>
    </row>
    <row r="50" spans="1:13" x14ac:dyDescent="0.45">
      <c r="A50" s="13" t="s">
        <v>207</v>
      </c>
      <c r="B50" s="164">
        <v>50000</v>
      </c>
      <c r="C50" s="165">
        <v>83</v>
      </c>
      <c r="D50" s="166">
        <v>10997100</v>
      </c>
      <c r="E50" s="166">
        <f>C50*$E$45</f>
        <v>415000</v>
      </c>
      <c r="F50" s="166">
        <f>$C$50*$F$45</f>
        <v>415000</v>
      </c>
      <c r="G50" s="18">
        <f xml:space="preserve"> $C$50*$G$45</f>
        <v>830000</v>
      </c>
      <c r="H50" s="18">
        <f>$C$50*$H$45</f>
        <v>2490000</v>
      </c>
      <c r="I50" s="166">
        <f>D50-E50-G50-H50-F50</f>
        <v>6847100</v>
      </c>
      <c r="J50" s="166">
        <f>SUM(E50:I50)</f>
        <v>10997100</v>
      </c>
      <c r="L50" s="1"/>
    </row>
    <row r="51" spans="1:13" x14ac:dyDescent="0.45">
      <c r="A51" s="13"/>
      <c r="B51" s="101"/>
      <c r="C51" s="15">
        <f t="shared" ref="C51:H51" si="1">SUM(C46:C50)</f>
        <v>432</v>
      </c>
      <c r="D51" s="15">
        <f t="shared" si="1"/>
        <v>16204500</v>
      </c>
      <c r="E51" s="15">
        <f t="shared" si="1"/>
        <v>4243800</v>
      </c>
      <c r="F51" s="15">
        <f t="shared" si="1"/>
        <v>892200</v>
      </c>
      <c r="G51" s="15">
        <f t="shared" si="1"/>
        <v>1370300</v>
      </c>
      <c r="H51" s="15">
        <f t="shared" si="1"/>
        <v>2851100</v>
      </c>
      <c r="I51" s="15">
        <f>SUM(I46:I50)</f>
        <v>6847100</v>
      </c>
      <c r="J51" s="15">
        <f>SUM(J46:J50)</f>
        <v>16204500</v>
      </c>
      <c r="K51" s="9"/>
      <c r="L51" s="1"/>
    </row>
    <row r="52" spans="1:13" x14ac:dyDescent="0.45">
      <c r="A52" s="13"/>
      <c r="B52" s="101"/>
      <c r="E52" s="101"/>
      <c r="F52" s="101"/>
      <c r="G52" s="101"/>
      <c r="H52" s="101"/>
      <c r="I52" s="101"/>
    </row>
    <row r="53" spans="1:13" x14ac:dyDescent="0.45">
      <c r="A53" s="102" t="s">
        <v>211</v>
      </c>
      <c r="B53" s="102"/>
      <c r="E53" s="101"/>
      <c r="F53" s="101"/>
      <c r="G53" s="101"/>
      <c r="H53" s="101"/>
      <c r="I53" s="101"/>
    </row>
    <row r="54" spans="1:13" x14ac:dyDescent="0.45">
      <c r="A54" s="13"/>
      <c r="B54" s="153"/>
      <c r="C54" s="162" t="s">
        <v>209</v>
      </c>
      <c r="D54" s="96" t="s">
        <v>210</v>
      </c>
      <c r="E54" s="162" t="s">
        <v>212</v>
      </c>
      <c r="F54" s="162" t="s">
        <v>213</v>
      </c>
      <c r="G54" s="101"/>
      <c r="H54" s="101"/>
      <c r="I54" s="101"/>
    </row>
    <row r="55" spans="1:13" x14ac:dyDescent="0.45">
      <c r="A55" s="13" t="s">
        <v>205</v>
      </c>
      <c r="B55" s="101">
        <f>B46</f>
        <v>5000</v>
      </c>
      <c r="C55" s="9">
        <f>C51</f>
        <v>432</v>
      </c>
      <c r="D55" s="158">
        <f>E51</f>
        <v>4243800</v>
      </c>
      <c r="E55" s="167">
        <v>64.23</v>
      </c>
      <c r="F55" s="19">
        <f>E55*C55</f>
        <v>27747.360000000001</v>
      </c>
      <c r="G55" s="101"/>
    </row>
    <row r="56" spans="1:13" x14ac:dyDescent="0.45">
      <c r="A56" s="13" t="s">
        <v>206</v>
      </c>
      <c r="B56" s="101">
        <v>5000</v>
      </c>
      <c r="C56" s="9"/>
      <c r="D56" s="158">
        <f>F51</f>
        <v>892200</v>
      </c>
      <c r="E56" s="167">
        <v>11.32</v>
      </c>
      <c r="F56" s="15">
        <f>E56*(D56/1000)</f>
        <v>10099.704000000002</v>
      </c>
      <c r="G56" s="101"/>
    </row>
    <row r="57" spans="1:13" x14ac:dyDescent="0.45">
      <c r="A57" s="13" t="s">
        <v>206</v>
      </c>
      <c r="B57" s="101">
        <v>10000</v>
      </c>
      <c r="C57" s="9"/>
      <c r="D57" s="158">
        <f>G51</f>
        <v>1370300</v>
      </c>
      <c r="E57" s="167">
        <v>10.66</v>
      </c>
      <c r="F57" s="15">
        <f>E57*(D57/1000)</f>
        <v>14607.397999999999</v>
      </c>
      <c r="G57" s="101"/>
    </row>
    <row r="58" spans="1:13" x14ac:dyDescent="0.45">
      <c r="A58" s="13" t="s">
        <v>206</v>
      </c>
      <c r="B58" s="101">
        <v>30000</v>
      </c>
      <c r="C58" s="9"/>
      <c r="D58" s="158">
        <f>H51</f>
        <v>2851100</v>
      </c>
      <c r="E58" s="167">
        <v>10.01</v>
      </c>
      <c r="F58" s="15">
        <f>E58*(D58/1000)</f>
        <v>28539.510999999999</v>
      </c>
      <c r="G58" s="101"/>
    </row>
    <row r="59" spans="1:13" x14ac:dyDescent="0.45">
      <c r="A59" s="13" t="s">
        <v>207</v>
      </c>
      <c r="B59" s="164">
        <f>B50</f>
        <v>50000</v>
      </c>
      <c r="C59" s="168"/>
      <c r="D59" s="166">
        <f>I51</f>
        <v>6847100</v>
      </c>
      <c r="E59" s="169">
        <v>9.35</v>
      </c>
      <c r="F59" s="14">
        <f>E59*(D59/1000)</f>
        <v>64020.385000000002</v>
      </c>
      <c r="G59" s="101"/>
    </row>
    <row r="60" spans="1:13" x14ac:dyDescent="0.45">
      <c r="A60" s="13"/>
      <c r="B60" s="101" t="s">
        <v>111</v>
      </c>
      <c r="C60" s="9">
        <f>SUM(C55:C59)</f>
        <v>432</v>
      </c>
      <c r="D60" s="15">
        <f>SUM(D55:D59)</f>
        <v>16204500</v>
      </c>
      <c r="F60" s="19">
        <f>SUM(F55:F59)</f>
        <v>145014.35800000001</v>
      </c>
      <c r="G60" s="19"/>
      <c r="H60" s="101"/>
      <c r="I60" s="170"/>
      <c r="M60" s="6">
        <f>ROUND(D60/C60,0)</f>
        <v>37510</v>
      </c>
    </row>
    <row r="61" spans="1:13" x14ac:dyDescent="0.45">
      <c r="A61" s="13"/>
      <c r="B61" s="101"/>
      <c r="C61" s="3"/>
      <c r="D61" s="149"/>
      <c r="F61" s="219"/>
      <c r="G61" s="101"/>
      <c r="H61" s="101"/>
      <c r="I61" s="101"/>
    </row>
    <row r="62" spans="1:13" ht="15.75" x14ac:dyDescent="0.5">
      <c r="A62" s="161" t="s">
        <v>215</v>
      </c>
      <c r="D62" s="158"/>
      <c r="H62" s="101"/>
      <c r="I62" s="101"/>
    </row>
    <row r="63" spans="1:13" x14ac:dyDescent="0.45">
      <c r="D63" s="158"/>
      <c r="E63" s="12" t="s">
        <v>205</v>
      </c>
      <c r="F63" s="1" t="s">
        <v>206</v>
      </c>
      <c r="G63" s="1" t="s">
        <v>206</v>
      </c>
      <c r="H63" s="12" t="s">
        <v>207</v>
      </c>
    </row>
    <row r="64" spans="1:13" x14ac:dyDescent="0.45">
      <c r="B64" s="153" t="s">
        <v>208</v>
      </c>
      <c r="C64" s="162" t="s">
        <v>209</v>
      </c>
      <c r="D64" s="220" t="s">
        <v>210</v>
      </c>
      <c r="E64" s="162">
        <f>B65</f>
        <v>11000</v>
      </c>
      <c r="F64" s="164">
        <f>B66</f>
        <v>9000</v>
      </c>
      <c r="G64" s="164">
        <f>B67</f>
        <v>30000</v>
      </c>
      <c r="H64" s="162">
        <f>B68</f>
        <v>50000</v>
      </c>
      <c r="I64" s="153" t="s">
        <v>111</v>
      </c>
    </row>
    <row r="65" spans="1:13" x14ac:dyDescent="0.45">
      <c r="A65" s="13" t="s">
        <v>205</v>
      </c>
      <c r="B65" s="101">
        <v>11000</v>
      </c>
      <c r="C65" s="163">
        <v>53</v>
      </c>
      <c r="D65" s="158">
        <v>128800</v>
      </c>
      <c r="E65" s="158">
        <f>D65</f>
        <v>128800</v>
      </c>
      <c r="F65" s="173">
        <v>0</v>
      </c>
      <c r="G65" s="173">
        <v>0</v>
      </c>
      <c r="H65" s="158">
        <v>0</v>
      </c>
      <c r="I65" s="158">
        <f>SUM(E65:H65)</f>
        <v>128800</v>
      </c>
    </row>
    <row r="66" spans="1:13" x14ac:dyDescent="0.45">
      <c r="A66" s="13" t="s">
        <v>206</v>
      </c>
      <c r="B66" s="101">
        <v>9000</v>
      </c>
      <c r="C66" s="163">
        <v>15</v>
      </c>
      <c r="D66" s="158">
        <v>254500</v>
      </c>
      <c r="E66" s="173">
        <f>C66*E64</f>
        <v>165000</v>
      </c>
      <c r="F66" s="173">
        <f>D66-E66</f>
        <v>89500</v>
      </c>
      <c r="G66" s="173">
        <v>0</v>
      </c>
      <c r="H66" s="158">
        <v>0</v>
      </c>
      <c r="I66" s="158">
        <f>SUM(E66:H66)</f>
        <v>254500</v>
      </c>
    </row>
    <row r="67" spans="1:13" x14ac:dyDescent="0.45">
      <c r="A67" s="13" t="s">
        <v>206</v>
      </c>
      <c r="B67" s="101">
        <v>30000</v>
      </c>
      <c r="C67" s="163">
        <v>12</v>
      </c>
      <c r="D67" s="158">
        <v>328600</v>
      </c>
      <c r="E67" s="173">
        <f>C67*E64</f>
        <v>132000</v>
      </c>
      <c r="F67" s="173">
        <f>C67*F64</f>
        <v>108000</v>
      </c>
      <c r="G67" s="173">
        <f>D67-E67-F67</f>
        <v>88600</v>
      </c>
      <c r="H67" s="158">
        <v>0</v>
      </c>
      <c r="I67" s="158">
        <f>SUM(E67:H67)</f>
        <v>328600</v>
      </c>
    </row>
    <row r="68" spans="1:13" x14ac:dyDescent="0.45">
      <c r="A68" s="13" t="s">
        <v>207</v>
      </c>
      <c r="B68" s="164">
        <v>50000</v>
      </c>
      <c r="C68" s="165">
        <v>4</v>
      </c>
      <c r="D68" s="166">
        <v>620300</v>
      </c>
      <c r="E68" s="166">
        <f>$C68*E$64</f>
        <v>44000</v>
      </c>
      <c r="F68" s="174">
        <f>C68*F64</f>
        <v>36000</v>
      </c>
      <c r="G68" s="174">
        <f>C68*G64</f>
        <v>120000</v>
      </c>
      <c r="H68" s="166">
        <f>D68-E68-F68-G68</f>
        <v>420300</v>
      </c>
      <c r="I68" s="166">
        <f>SUM(E68:H68)</f>
        <v>620300</v>
      </c>
    </row>
    <row r="69" spans="1:13" x14ac:dyDescent="0.45">
      <c r="A69" s="13"/>
      <c r="B69" s="101"/>
      <c r="C69" s="158">
        <f t="shared" ref="C69:I69" si="2">SUM(C65:C68)</f>
        <v>84</v>
      </c>
      <c r="D69" s="149">
        <f t="shared" si="2"/>
        <v>1332200</v>
      </c>
      <c r="E69" s="149">
        <f t="shared" si="2"/>
        <v>469800</v>
      </c>
      <c r="F69" s="149">
        <f t="shared" si="2"/>
        <v>233500</v>
      </c>
      <c r="G69" s="149">
        <f t="shared" si="2"/>
        <v>208600</v>
      </c>
      <c r="H69" s="149">
        <f t="shared" si="2"/>
        <v>420300</v>
      </c>
      <c r="I69" s="149">
        <f t="shared" si="2"/>
        <v>1332200</v>
      </c>
    </row>
    <row r="70" spans="1:13" x14ac:dyDescent="0.45">
      <c r="A70" s="13"/>
      <c r="B70" s="101"/>
      <c r="D70" s="158"/>
      <c r="E70" s="101"/>
      <c r="F70" s="101"/>
      <c r="G70" s="101"/>
      <c r="H70" s="101"/>
      <c r="I70" s="101"/>
    </row>
    <row r="71" spans="1:13" x14ac:dyDescent="0.45">
      <c r="A71" s="102" t="s">
        <v>211</v>
      </c>
      <c r="B71" s="102"/>
      <c r="D71" s="158"/>
      <c r="E71" s="101"/>
      <c r="F71" s="101"/>
      <c r="G71" s="101"/>
      <c r="H71" s="101"/>
      <c r="I71" s="101"/>
    </row>
    <row r="72" spans="1:13" x14ac:dyDescent="0.45">
      <c r="A72" s="13"/>
      <c r="B72" s="153"/>
      <c r="C72" s="162" t="s">
        <v>209</v>
      </c>
      <c r="D72" s="220" t="s">
        <v>210</v>
      </c>
      <c r="E72" s="162" t="s">
        <v>212</v>
      </c>
      <c r="F72" s="162" t="s">
        <v>213</v>
      </c>
      <c r="G72" s="101"/>
      <c r="H72" s="101"/>
      <c r="I72" s="101"/>
    </row>
    <row r="73" spans="1:13" x14ac:dyDescent="0.45">
      <c r="A73" s="13" t="s">
        <v>205</v>
      </c>
      <c r="B73" s="101">
        <f>B65</f>
        <v>11000</v>
      </c>
      <c r="C73" s="158">
        <f>C69</f>
        <v>84</v>
      </c>
      <c r="D73" s="158">
        <f>E69</f>
        <v>469800</v>
      </c>
      <c r="E73" s="219">
        <v>131.46</v>
      </c>
      <c r="F73" s="221">
        <f>E73*C73</f>
        <v>11042.640000000001</v>
      </c>
      <c r="G73" s="101"/>
      <c r="H73" s="101"/>
      <c r="I73" s="101"/>
    </row>
    <row r="74" spans="1:13" x14ac:dyDescent="0.45">
      <c r="A74" s="13" t="s">
        <v>206</v>
      </c>
      <c r="B74" s="101">
        <f>B66</f>
        <v>9000</v>
      </c>
      <c r="C74" s="158"/>
      <c r="D74" s="158">
        <f>F69</f>
        <v>233500</v>
      </c>
      <c r="E74" s="219">
        <v>10.66</v>
      </c>
      <c r="F74" s="221">
        <f>(E74*D74)/1000</f>
        <v>2489.11</v>
      </c>
      <c r="G74" s="101"/>
      <c r="H74" s="101"/>
      <c r="I74" s="101"/>
    </row>
    <row r="75" spans="1:13" x14ac:dyDescent="0.45">
      <c r="A75" s="13" t="s">
        <v>206</v>
      </c>
      <c r="B75" s="101">
        <f>B67</f>
        <v>30000</v>
      </c>
      <c r="C75" s="158"/>
      <c r="D75" s="158">
        <f>G69</f>
        <v>208600</v>
      </c>
      <c r="E75" s="219">
        <v>10.01</v>
      </c>
      <c r="F75" s="221">
        <f>(E75*D75)/1000</f>
        <v>2088.0859999999998</v>
      </c>
      <c r="G75" s="101"/>
      <c r="H75" s="101"/>
      <c r="I75" s="101"/>
    </row>
    <row r="76" spans="1:13" x14ac:dyDescent="0.45">
      <c r="A76" s="13" t="s">
        <v>207</v>
      </c>
      <c r="B76" s="164">
        <f>B68</f>
        <v>50000</v>
      </c>
      <c r="C76" s="166"/>
      <c r="D76" s="166">
        <f>H69</f>
        <v>420300</v>
      </c>
      <c r="E76" s="222">
        <v>9.35</v>
      </c>
      <c r="F76" s="223">
        <f>(E76*D76)/1000</f>
        <v>3929.8049999999998</v>
      </c>
      <c r="G76" s="101"/>
      <c r="H76" s="101"/>
      <c r="I76" s="101"/>
    </row>
    <row r="77" spans="1:13" x14ac:dyDescent="0.45">
      <c r="A77" s="13"/>
      <c r="B77" s="101" t="s">
        <v>111</v>
      </c>
      <c r="C77" s="158">
        <f>SUM(C73:C76)</f>
        <v>84</v>
      </c>
      <c r="D77" s="149">
        <f>SUM(D73:D76)</f>
        <v>1332200</v>
      </c>
      <c r="F77" s="221">
        <f>SUM(F73:F76)</f>
        <v>19549.641</v>
      </c>
      <c r="G77" s="221"/>
      <c r="H77" s="101"/>
      <c r="I77" s="101"/>
      <c r="M77" s="6">
        <f>ROUND(D77/C77,0)</f>
        <v>15860</v>
      </c>
    </row>
    <row r="78" spans="1:13" x14ac:dyDescent="0.45">
      <c r="A78" s="13"/>
      <c r="B78" s="101"/>
      <c r="C78" s="3"/>
      <c r="D78" s="149"/>
      <c r="F78" s="219"/>
      <c r="G78" s="101"/>
      <c r="H78" s="101"/>
      <c r="I78" s="101"/>
    </row>
    <row r="79" spans="1:13" ht="15.75" x14ac:dyDescent="0.5">
      <c r="A79" s="161" t="s">
        <v>216</v>
      </c>
    </row>
    <row r="80" spans="1:13" x14ac:dyDescent="0.45">
      <c r="E80" s="12" t="s">
        <v>205</v>
      </c>
      <c r="F80" s="13" t="s">
        <v>206</v>
      </c>
      <c r="G80" s="13" t="s">
        <v>206</v>
      </c>
      <c r="H80" s="13" t="s">
        <v>207</v>
      </c>
      <c r="K80" s="9"/>
      <c r="L80" s="1"/>
    </row>
    <row r="81" spans="1:17" x14ac:dyDescent="0.45">
      <c r="B81" s="153" t="s">
        <v>208</v>
      </c>
      <c r="C81" s="162" t="s">
        <v>209</v>
      </c>
      <c r="D81" s="96" t="s">
        <v>210</v>
      </c>
      <c r="E81" s="162">
        <f>B82</f>
        <v>16000</v>
      </c>
      <c r="F81" s="172">
        <f>B83</f>
        <v>4000</v>
      </c>
      <c r="G81" s="172">
        <f>B84</f>
        <v>30000</v>
      </c>
      <c r="H81" s="172">
        <f>B85</f>
        <v>50000</v>
      </c>
      <c r="I81" s="153" t="s">
        <v>111</v>
      </c>
      <c r="L81" s="1"/>
      <c r="Q81" s="1" t="s">
        <v>126</v>
      </c>
    </row>
    <row r="82" spans="1:17" x14ac:dyDescent="0.45">
      <c r="A82" s="13" t="s">
        <v>205</v>
      </c>
      <c r="B82" s="101">
        <v>16000</v>
      </c>
      <c r="C82" s="163">
        <v>138</v>
      </c>
      <c r="D82" s="158">
        <v>863300</v>
      </c>
      <c r="E82" s="173">
        <f>D82</f>
        <v>863300</v>
      </c>
      <c r="F82" s="6">
        <v>0</v>
      </c>
      <c r="G82" s="6">
        <v>0</v>
      </c>
      <c r="H82" s="173">
        <v>0</v>
      </c>
      <c r="I82" s="158">
        <f>SUM(E82:H82)</f>
        <v>863300</v>
      </c>
      <c r="K82" s="171"/>
      <c r="L82" s="1"/>
    </row>
    <row r="83" spans="1:17" x14ac:dyDescent="0.45">
      <c r="A83" s="13" t="s">
        <v>206</v>
      </c>
      <c r="B83" s="101">
        <v>4000</v>
      </c>
      <c r="C83" s="163">
        <v>15</v>
      </c>
      <c r="D83" s="158">
        <v>267100</v>
      </c>
      <c r="E83" s="173">
        <f>C83*E81</f>
        <v>240000</v>
      </c>
      <c r="F83" s="6">
        <f>D83-E83</f>
        <v>27100</v>
      </c>
      <c r="G83" s="6">
        <v>0</v>
      </c>
      <c r="H83" s="173">
        <v>0</v>
      </c>
      <c r="I83" s="158">
        <f>SUM(E83:H83)</f>
        <v>267100</v>
      </c>
      <c r="K83" s="171"/>
      <c r="L83" s="1"/>
    </row>
    <row r="84" spans="1:17" x14ac:dyDescent="0.45">
      <c r="A84" s="13" t="s">
        <v>206</v>
      </c>
      <c r="B84" s="101">
        <v>30000</v>
      </c>
      <c r="C84" s="163">
        <v>76</v>
      </c>
      <c r="D84" s="158">
        <v>2607100</v>
      </c>
      <c r="E84" s="173">
        <f>C84*E81</f>
        <v>1216000</v>
      </c>
      <c r="F84" s="6">
        <f>C84*F81</f>
        <v>304000</v>
      </c>
      <c r="G84" s="6">
        <f>D84-E84-F84</f>
        <v>1087100</v>
      </c>
      <c r="H84" s="173">
        <v>0</v>
      </c>
      <c r="I84" s="158">
        <f>SUM(E84:H84)</f>
        <v>2607100</v>
      </c>
      <c r="K84" s="171"/>
      <c r="L84" s="1"/>
    </row>
    <row r="85" spans="1:17" x14ac:dyDescent="0.45">
      <c r="A85" s="13" t="s">
        <v>207</v>
      </c>
      <c r="B85" s="164">
        <v>50000</v>
      </c>
      <c r="C85" s="165">
        <v>167</v>
      </c>
      <c r="D85" s="166">
        <v>41244800</v>
      </c>
      <c r="E85" s="174">
        <f>$C85*E$81</f>
        <v>2672000</v>
      </c>
      <c r="F85" s="5">
        <f>C85*F81</f>
        <v>668000</v>
      </c>
      <c r="G85" s="5">
        <f>C85*G81</f>
        <v>5010000</v>
      </c>
      <c r="H85" s="174">
        <f>D85-E85-F85-G85</f>
        <v>32894800</v>
      </c>
      <c r="I85" s="166">
        <f>SUM(E85:H85)</f>
        <v>41244800</v>
      </c>
      <c r="K85" s="12"/>
      <c r="L85" s="1"/>
    </row>
    <row r="86" spans="1:17" x14ac:dyDescent="0.45">
      <c r="A86" s="13"/>
      <c r="B86" s="101"/>
      <c r="C86" s="9">
        <f t="shared" ref="C86:I86" si="3">SUM(C82:C85)</f>
        <v>396</v>
      </c>
      <c r="D86" s="15">
        <f t="shared" si="3"/>
        <v>44982300</v>
      </c>
      <c r="E86" s="15">
        <f t="shared" si="3"/>
        <v>4991300</v>
      </c>
      <c r="F86" s="15">
        <f t="shared" si="3"/>
        <v>999100</v>
      </c>
      <c r="G86" s="15">
        <f t="shared" si="3"/>
        <v>6097100</v>
      </c>
      <c r="H86" s="15">
        <f t="shared" si="3"/>
        <v>32894800</v>
      </c>
      <c r="I86" s="15">
        <f t="shared" si="3"/>
        <v>44982300</v>
      </c>
    </row>
    <row r="87" spans="1:17" x14ac:dyDescent="0.45">
      <c r="A87" s="13"/>
      <c r="B87" s="101"/>
      <c r="E87" s="101"/>
      <c r="F87" s="101"/>
      <c r="G87" s="101"/>
      <c r="H87" s="101"/>
      <c r="I87" s="101"/>
    </row>
    <row r="88" spans="1:17" x14ac:dyDescent="0.45">
      <c r="A88" s="102" t="s">
        <v>211</v>
      </c>
      <c r="B88" s="102"/>
      <c r="E88" s="101"/>
      <c r="F88" s="101"/>
      <c r="G88" s="101"/>
      <c r="H88" s="101"/>
      <c r="I88" s="101"/>
    </row>
    <row r="89" spans="1:17" x14ac:dyDescent="0.45">
      <c r="A89" s="13"/>
      <c r="B89" s="153"/>
      <c r="C89" s="162" t="s">
        <v>209</v>
      </c>
      <c r="D89" s="96" t="s">
        <v>210</v>
      </c>
      <c r="E89" s="162" t="s">
        <v>212</v>
      </c>
      <c r="F89" s="162" t="s">
        <v>213</v>
      </c>
      <c r="G89" s="101"/>
      <c r="H89" s="101"/>
      <c r="I89" s="101"/>
    </row>
    <row r="90" spans="1:17" x14ac:dyDescent="0.45">
      <c r="A90" s="13" t="s">
        <v>205</v>
      </c>
      <c r="B90" s="101">
        <f>B82</f>
        <v>16000</v>
      </c>
      <c r="C90" s="9">
        <f>C86</f>
        <v>396</v>
      </c>
      <c r="D90" s="158">
        <f>E86</f>
        <v>4991300</v>
      </c>
      <c r="E90" s="167">
        <v>184.74</v>
      </c>
      <c r="F90" s="19">
        <f>E90*C90</f>
        <v>73157.040000000008</v>
      </c>
      <c r="G90" s="101"/>
      <c r="H90" s="101"/>
      <c r="I90" s="101"/>
    </row>
    <row r="91" spans="1:17" x14ac:dyDescent="0.45">
      <c r="A91" s="13" t="s">
        <v>206</v>
      </c>
      <c r="B91" s="101"/>
      <c r="C91" s="9"/>
      <c r="D91" s="158">
        <f>F86</f>
        <v>999100</v>
      </c>
      <c r="E91" s="167">
        <v>10.66</v>
      </c>
      <c r="F91" s="19">
        <f>(D91*E91)/1000</f>
        <v>10650.406000000001</v>
      </c>
      <c r="G91" s="101"/>
      <c r="H91" s="101"/>
      <c r="I91" s="101"/>
    </row>
    <row r="92" spans="1:17" x14ac:dyDescent="0.45">
      <c r="A92" s="13" t="s">
        <v>206</v>
      </c>
      <c r="B92" s="101"/>
      <c r="C92" s="9"/>
      <c r="D92" s="158">
        <f>G86</f>
        <v>6097100</v>
      </c>
      <c r="E92" s="167">
        <v>10.01</v>
      </c>
      <c r="F92" s="19">
        <f>(D92*E92)/1000</f>
        <v>61031.970999999998</v>
      </c>
      <c r="G92" s="101"/>
      <c r="H92" s="101"/>
      <c r="I92" s="101"/>
    </row>
    <row r="93" spans="1:17" x14ac:dyDescent="0.45">
      <c r="A93" s="13" t="s">
        <v>207</v>
      </c>
      <c r="B93" s="164">
        <f>B85</f>
        <v>50000</v>
      </c>
      <c r="C93" s="14"/>
      <c r="D93" s="166">
        <f>H86</f>
        <v>32894800</v>
      </c>
      <c r="E93" s="169">
        <v>9.35</v>
      </c>
      <c r="F93" s="148">
        <f>(D93*E93)/1000</f>
        <v>307566.38</v>
      </c>
      <c r="G93" s="101"/>
      <c r="H93" s="101"/>
      <c r="I93" s="101"/>
    </row>
    <row r="94" spans="1:17" x14ac:dyDescent="0.45">
      <c r="A94" s="13"/>
      <c r="B94" s="101" t="s">
        <v>111</v>
      </c>
      <c r="C94" s="9">
        <f>SUM(C90:C93)</f>
        <v>396</v>
      </c>
      <c r="D94" s="15">
        <f>SUM(D90:D93)</f>
        <v>44982300</v>
      </c>
      <c r="F94" s="19">
        <f>SUM(F90:F93)</f>
        <v>452405.79700000002</v>
      </c>
      <c r="G94" s="19"/>
      <c r="H94" s="101"/>
      <c r="I94" s="170"/>
      <c r="M94" s="6">
        <f>ROUND(D94/C94,0)</f>
        <v>113592</v>
      </c>
    </row>
    <row r="95" spans="1:17" x14ac:dyDescent="0.45">
      <c r="A95" s="13"/>
      <c r="B95" s="101"/>
      <c r="C95" s="3"/>
      <c r="D95" s="15"/>
      <c r="F95" s="167"/>
      <c r="G95" s="101"/>
      <c r="H95" s="101"/>
      <c r="I95" s="101"/>
    </row>
    <row r="96" spans="1:17" ht="15.75" x14ac:dyDescent="0.5">
      <c r="A96" s="161" t="s">
        <v>217</v>
      </c>
    </row>
    <row r="97" spans="1:17" x14ac:dyDescent="0.45">
      <c r="E97" s="12" t="s">
        <v>205</v>
      </c>
      <c r="F97" s="13" t="s">
        <v>206</v>
      </c>
      <c r="G97" s="13" t="s">
        <v>207</v>
      </c>
      <c r="K97" s="9"/>
      <c r="L97" s="1"/>
    </row>
    <row r="98" spans="1:17" x14ac:dyDescent="0.45">
      <c r="B98" s="153" t="s">
        <v>208</v>
      </c>
      <c r="C98" s="162" t="s">
        <v>209</v>
      </c>
      <c r="D98" s="96" t="s">
        <v>210</v>
      </c>
      <c r="E98" s="162">
        <f>B99</f>
        <v>26000</v>
      </c>
      <c r="F98" s="172">
        <f>B100</f>
        <v>24000</v>
      </c>
      <c r="G98" s="172">
        <f>B101</f>
        <v>50000</v>
      </c>
      <c r="H98" s="153" t="s">
        <v>111</v>
      </c>
      <c r="L98" s="1"/>
      <c r="Q98" s="1" t="s">
        <v>126</v>
      </c>
    </row>
    <row r="99" spans="1:17" x14ac:dyDescent="0.45">
      <c r="A99" s="13" t="s">
        <v>205</v>
      </c>
      <c r="B99" s="101">
        <v>26000</v>
      </c>
      <c r="C99" s="163"/>
      <c r="D99" s="158"/>
      <c r="E99" s="173">
        <f>D99</f>
        <v>0</v>
      </c>
      <c r="F99" s="6">
        <v>0</v>
      </c>
      <c r="G99" s="173">
        <v>0</v>
      </c>
      <c r="H99" s="158">
        <f>SUM(E99:G99)</f>
        <v>0</v>
      </c>
      <c r="K99" s="171"/>
      <c r="L99" s="1"/>
    </row>
    <row r="100" spans="1:17" x14ac:dyDescent="0.45">
      <c r="A100" s="13" t="s">
        <v>206</v>
      </c>
      <c r="B100" s="101">
        <v>24000</v>
      </c>
      <c r="C100" s="163"/>
      <c r="D100" s="158"/>
      <c r="E100" s="173">
        <f>E98*C100</f>
        <v>0</v>
      </c>
      <c r="F100" s="6">
        <f>D100-E100</f>
        <v>0</v>
      </c>
      <c r="G100" s="173">
        <v>0</v>
      </c>
      <c r="H100" s="158">
        <f>SUM(E100:G100)</f>
        <v>0</v>
      </c>
      <c r="K100" s="171"/>
      <c r="L100" s="1"/>
    </row>
    <row r="101" spans="1:17" x14ac:dyDescent="0.45">
      <c r="A101" s="13" t="s">
        <v>207</v>
      </c>
      <c r="B101" s="164">
        <v>50000</v>
      </c>
      <c r="C101" s="165"/>
      <c r="D101" s="166"/>
      <c r="E101" s="174">
        <f>E98*C101</f>
        <v>0</v>
      </c>
      <c r="F101" s="5">
        <f>C101*F98</f>
        <v>0</v>
      </c>
      <c r="G101" s="174">
        <f>D101-E101-F101</f>
        <v>0</v>
      </c>
      <c r="H101" s="166">
        <f>SUM(E101:G101)</f>
        <v>0</v>
      </c>
      <c r="K101" s="12"/>
      <c r="L101" s="1"/>
    </row>
    <row r="102" spans="1:17" x14ac:dyDescent="0.45">
      <c r="A102" s="13"/>
      <c r="B102" s="101"/>
      <c r="C102" s="9">
        <f t="shared" ref="C102:H102" si="4">SUM(C99:C101)</f>
        <v>0</v>
      </c>
      <c r="D102" s="15">
        <f t="shared" si="4"/>
        <v>0</v>
      </c>
      <c r="E102" s="15">
        <f t="shared" si="4"/>
        <v>0</v>
      </c>
      <c r="F102" s="15">
        <f t="shared" si="4"/>
        <v>0</v>
      </c>
      <c r="G102" s="15">
        <f t="shared" si="4"/>
        <v>0</v>
      </c>
      <c r="H102" s="15">
        <f t="shared" si="4"/>
        <v>0</v>
      </c>
    </row>
    <row r="103" spans="1:17" x14ac:dyDescent="0.45">
      <c r="A103" s="13"/>
      <c r="B103" s="101"/>
      <c r="E103" s="101"/>
      <c r="F103" s="101"/>
      <c r="G103" s="101"/>
      <c r="H103" s="101"/>
      <c r="I103" s="101"/>
    </row>
    <row r="104" spans="1:17" x14ac:dyDescent="0.45">
      <c r="A104" s="102" t="s">
        <v>211</v>
      </c>
      <c r="B104" s="102"/>
      <c r="E104" s="101"/>
      <c r="F104" s="101"/>
      <c r="G104" s="101"/>
      <c r="H104" s="101"/>
      <c r="I104" s="101"/>
    </row>
    <row r="105" spans="1:17" x14ac:dyDescent="0.45">
      <c r="A105" s="13"/>
      <c r="B105" s="153"/>
      <c r="C105" s="162" t="s">
        <v>209</v>
      </c>
      <c r="D105" s="96" t="s">
        <v>210</v>
      </c>
      <c r="E105" s="162" t="s">
        <v>212</v>
      </c>
      <c r="F105" s="162" t="s">
        <v>213</v>
      </c>
      <c r="G105" s="101"/>
      <c r="H105" s="101"/>
      <c r="I105" s="101"/>
    </row>
    <row r="106" spans="1:17" x14ac:dyDescent="0.45">
      <c r="A106" s="13" t="s">
        <v>205</v>
      </c>
      <c r="B106" s="101">
        <f>B99</f>
        <v>26000</v>
      </c>
      <c r="C106" s="9">
        <f>C102</f>
        <v>0</v>
      </c>
      <c r="D106" s="158">
        <f>E102</f>
        <v>0</v>
      </c>
      <c r="E106" s="167">
        <v>287.39</v>
      </c>
      <c r="F106" s="19">
        <f>E106*C106</f>
        <v>0</v>
      </c>
      <c r="G106" s="101"/>
      <c r="H106" s="101"/>
      <c r="I106" s="101"/>
    </row>
    <row r="107" spans="1:17" x14ac:dyDescent="0.45">
      <c r="A107" s="13" t="s">
        <v>206</v>
      </c>
      <c r="B107" s="101">
        <f>B100</f>
        <v>24000</v>
      </c>
      <c r="C107" s="9"/>
      <c r="D107" s="158">
        <f>F102</f>
        <v>0</v>
      </c>
      <c r="E107" s="167">
        <v>10.01</v>
      </c>
      <c r="F107" s="19">
        <f>(D107*E107)/1000</f>
        <v>0</v>
      </c>
      <c r="G107" s="101"/>
      <c r="H107" s="101"/>
      <c r="I107" s="101"/>
    </row>
    <row r="108" spans="1:17" x14ac:dyDescent="0.45">
      <c r="A108" s="13" t="s">
        <v>207</v>
      </c>
      <c r="B108" s="164">
        <f>B101</f>
        <v>50000</v>
      </c>
      <c r="C108" s="14"/>
      <c r="D108" s="166">
        <f>G102</f>
        <v>0</v>
      </c>
      <c r="E108" s="169">
        <v>9.35</v>
      </c>
      <c r="F108" s="148">
        <f>(D108*E108)/1000</f>
        <v>0</v>
      </c>
      <c r="G108" s="101"/>
      <c r="H108" s="101"/>
      <c r="I108" s="101"/>
    </row>
    <row r="109" spans="1:17" x14ac:dyDescent="0.45">
      <c r="A109" s="13"/>
      <c r="B109" s="101" t="s">
        <v>111</v>
      </c>
      <c r="C109" s="9">
        <f>SUM(C106:C108)</f>
        <v>0</v>
      </c>
      <c r="D109" s="15">
        <f>SUM(D106:D108)</f>
        <v>0</v>
      </c>
      <c r="F109" s="19">
        <f>SUM(F106:F108)</f>
        <v>0</v>
      </c>
      <c r="G109" s="19"/>
      <c r="H109" s="101"/>
      <c r="I109" s="170"/>
    </row>
    <row r="110" spans="1:17" ht="13.9" customHeight="1" x14ac:dyDescent="0.45">
      <c r="A110" s="13"/>
      <c r="B110" s="101"/>
      <c r="C110" s="15"/>
      <c r="D110" s="15"/>
      <c r="E110" s="15"/>
      <c r="F110" s="15"/>
      <c r="G110" s="15"/>
      <c r="H110" s="15"/>
      <c r="I110" s="15"/>
      <c r="L110" s="15"/>
    </row>
    <row r="111" spans="1:17" ht="15.75" x14ac:dyDescent="0.5">
      <c r="A111" s="161" t="s">
        <v>218</v>
      </c>
    </row>
    <row r="112" spans="1:17" x14ac:dyDescent="0.45">
      <c r="E112" s="12" t="s">
        <v>205</v>
      </c>
      <c r="F112" s="13" t="s">
        <v>206</v>
      </c>
      <c r="G112" s="13" t="s">
        <v>207</v>
      </c>
      <c r="K112" s="9"/>
      <c r="L112" s="1"/>
    </row>
    <row r="113" spans="1:17" x14ac:dyDescent="0.45">
      <c r="B113" s="153" t="s">
        <v>208</v>
      </c>
      <c r="C113" s="162" t="s">
        <v>209</v>
      </c>
      <c r="D113" s="96" t="s">
        <v>210</v>
      </c>
      <c r="E113" s="162">
        <f>B114</f>
        <v>36000</v>
      </c>
      <c r="F113" s="172">
        <f>B115</f>
        <v>14000</v>
      </c>
      <c r="G113" s="172">
        <f>B116</f>
        <v>50000</v>
      </c>
      <c r="H113" s="153" t="s">
        <v>111</v>
      </c>
      <c r="L113" s="1"/>
      <c r="Q113" s="1" t="s">
        <v>126</v>
      </c>
    </row>
    <row r="114" spans="1:17" x14ac:dyDescent="0.45">
      <c r="A114" s="13" t="s">
        <v>205</v>
      </c>
      <c r="B114" s="101">
        <v>36000</v>
      </c>
      <c r="C114" s="163">
        <v>19</v>
      </c>
      <c r="D114" s="158">
        <v>61700</v>
      </c>
      <c r="E114" s="173">
        <f>D114</f>
        <v>61700</v>
      </c>
      <c r="F114" s="6">
        <v>0</v>
      </c>
      <c r="G114" s="173">
        <v>0</v>
      </c>
      <c r="H114" s="158">
        <f>SUM(E114:G114)</f>
        <v>61700</v>
      </c>
      <c r="K114" s="171"/>
      <c r="L114" s="1"/>
    </row>
    <row r="115" spans="1:17" x14ac:dyDescent="0.45">
      <c r="A115" s="13" t="s">
        <v>206</v>
      </c>
      <c r="B115" s="101">
        <v>14000</v>
      </c>
      <c r="C115" s="163">
        <v>2</v>
      </c>
      <c r="D115" s="158">
        <v>96800</v>
      </c>
      <c r="E115" s="173">
        <f>E113*C115</f>
        <v>72000</v>
      </c>
      <c r="F115" s="6">
        <f>D115-E115</f>
        <v>24800</v>
      </c>
      <c r="G115" s="173">
        <v>0</v>
      </c>
      <c r="H115" s="158">
        <f>SUM(E115:G115)</f>
        <v>96800</v>
      </c>
      <c r="K115" s="171"/>
      <c r="L115" s="1"/>
    </row>
    <row r="116" spans="1:17" x14ac:dyDescent="0.45">
      <c r="A116" s="13" t="s">
        <v>207</v>
      </c>
      <c r="B116" s="164">
        <v>50000</v>
      </c>
      <c r="C116" s="165">
        <v>39</v>
      </c>
      <c r="D116" s="166">
        <v>11252100</v>
      </c>
      <c r="E116" s="174">
        <f>E113*C116</f>
        <v>1404000</v>
      </c>
      <c r="F116" s="5">
        <f>C116*F113</f>
        <v>546000</v>
      </c>
      <c r="G116" s="174">
        <f>D116-E116-F116</f>
        <v>9302100</v>
      </c>
      <c r="H116" s="166">
        <f>SUM(E116:G116)</f>
        <v>11252100</v>
      </c>
      <c r="K116" s="12"/>
      <c r="L116" s="1"/>
    </row>
    <row r="117" spans="1:17" x14ac:dyDescent="0.45">
      <c r="A117" s="13"/>
      <c r="B117" s="101"/>
      <c r="C117" s="9">
        <f t="shared" ref="C117:H117" si="5">SUM(C114:C116)</f>
        <v>60</v>
      </c>
      <c r="D117" s="15">
        <f t="shared" si="5"/>
        <v>11410600</v>
      </c>
      <c r="E117" s="15">
        <f t="shared" si="5"/>
        <v>1537700</v>
      </c>
      <c r="F117" s="15">
        <f t="shared" si="5"/>
        <v>570800</v>
      </c>
      <c r="G117" s="15">
        <f t="shared" si="5"/>
        <v>9302100</v>
      </c>
      <c r="H117" s="15">
        <f t="shared" si="5"/>
        <v>11410600</v>
      </c>
    </row>
    <row r="118" spans="1:17" x14ac:dyDescent="0.45">
      <c r="A118" s="13"/>
      <c r="B118" s="101"/>
      <c r="E118" s="101"/>
      <c r="F118" s="101"/>
      <c r="G118" s="101"/>
      <c r="H118" s="101"/>
      <c r="I118" s="101"/>
    </row>
    <row r="119" spans="1:17" x14ac:dyDescent="0.45">
      <c r="A119" s="102" t="s">
        <v>211</v>
      </c>
      <c r="B119" s="102"/>
      <c r="E119" s="101"/>
      <c r="F119" s="101"/>
      <c r="G119" s="101"/>
      <c r="H119" s="101"/>
      <c r="I119" s="101"/>
    </row>
    <row r="120" spans="1:17" x14ac:dyDescent="0.45">
      <c r="A120" s="13"/>
      <c r="B120" s="153"/>
      <c r="C120" s="162" t="s">
        <v>209</v>
      </c>
      <c r="D120" s="96" t="s">
        <v>210</v>
      </c>
      <c r="E120" s="162" t="s">
        <v>212</v>
      </c>
      <c r="F120" s="162" t="s">
        <v>213</v>
      </c>
      <c r="G120" s="101"/>
      <c r="H120" s="101"/>
      <c r="I120" s="101"/>
    </row>
    <row r="121" spans="1:17" x14ac:dyDescent="0.45">
      <c r="A121" s="13" t="s">
        <v>205</v>
      </c>
      <c r="B121" s="101">
        <f>B114</f>
        <v>36000</v>
      </c>
      <c r="C121" s="9">
        <f>C117</f>
        <v>60</v>
      </c>
      <c r="D121" s="158">
        <f>E117</f>
        <v>1537700</v>
      </c>
      <c r="E121" s="167">
        <v>387.47</v>
      </c>
      <c r="F121" s="19">
        <f>E121*C121</f>
        <v>23248.2</v>
      </c>
      <c r="G121" s="101"/>
      <c r="H121" s="101"/>
      <c r="I121" s="101"/>
    </row>
    <row r="122" spans="1:17" x14ac:dyDescent="0.45">
      <c r="A122" s="13" t="s">
        <v>206</v>
      </c>
      <c r="B122" s="101">
        <f>B115</f>
        <v>14000</v>
      </c>
      <c r="C122" s="9"/>
      <c r="D122" s="158">
        <f>F117</f>
        <v>570800</v>
      </c>
      <c r="E122" s="167">
        <v>10.01</v>
      </c>
      <c r="F122" s="19">
        <f>(D122*E122)/1000</f>
        <v>5713.7079999999996</v>
      </c>
      <c r="G122" s="101"/>
      <c r="H122" s="101"/>
      <c r="I122" s="101"/>
    </row>
    <row r="123" spans="1:17" x14ac:dyDescent="0.45">
      <c r="A123" s="13" t="s">
        <v>207</v>
      </c>
      <c r="B123" s="164">
        <f>B116</f>
        <v>50000</v>
      </c>
      <c r="C123" s="14"/>
      <c r="D123" s="166">
        <f>G117</f>
        <v>9302100</v>
      </c>
      <c r="E123" s="169">
        <v>9.35</v>
      </c>
      <c r="F123" s="148">
        <f>(D123*E123)/1000</f>
        <v>86974.634999999995</v>
      </c>
      <c r="G123" s="101"/>
      <c r="H123" s="101"/>
      <c r="I123" s="101"/>
    </row>
    <row r="124" spans="1:17" x14ac:dyDescent="0.45">
      <c r="A124" s="13"/>
      <c r="B124" s="101" t="s">
        <v>111</v>
      </c>
      <c r="C124" s="9">
        <f>SUM(C121:C123)</f>
        <v>60</v>
      </c>
      <c r="D124" s="15">
        <f>SUM(D121:D123)</f>
        <v>11410600</v>
      </c>
      <c r="F124" s="19">
        <f>SUM(F121:F123)</f>
        <v>115936.54299999999</v>
      </c>
      <c r="G124" s="19"/>
      <c r="H124" s="101"/>
      <c r="I124" s="170"/>
      <c r="M124" s="6">
        <f>ROUND(D124/C124,0)</f>
        <v>190177</v>
      </c>
    </row>
    <row r="126" spans="1:17" ht="15.75" x14ac:dyDescent="0.5">
      <c r="A126" s="161" t="s">
        <v>219</v>
      </c>
    </row>
    <row r="127" spans="1:17" x14ac:dyDescent="0.45">
      <c r="E127" s="12" t="s">
        <v>220</v>
      </c>
      <c r="I127" s="9"/>
      <c r="L127" s="1"/>
    </row>
    <row r="128" spans="1:17" x14ac:dyDescent="0.45">
      <c r="B128" s="153" t="s">
        <v>208</v>
      </c>
      <c r="C128" s="162" t="s">
        <v>209</v>
      </c>
      <c r="D128" s="96" t="s">
        <v>210</v>
      </c>
      <c r="E128" s="162">
        <f>B129</f>
        <v>0</v>
      </c>
      <c r="F128" s="153" t="s">
        <v>111</v>
      </c>
      <c r="L128" s="1"/>
      <c r="O128" s="1" t="s">
        <v>126</v>
      </c>
    </row>
    <row r="129" spans="1:15" x14ac:dyDescent="0.45">
      <c r="A129" s="13" t="s">
        <v>207</v>
      </c>
      <c r="B129" s="175">
        <v>0</v>
      </c>
      <c r="C129" s="176">
        <v>30</v>
      </c>
      <c r="D129" s="177">
        <v>18174200</v>
      </c>
      <c r="E129" s="178">
        <f>D129</f>
        <v>18174200</v>
      </c>
      <c r="F129" s="177">
        <f>SUM(E129:E129)</f>
        <v>18174200</v>
      </c>
      <c r="I129" s="171"/>
      <c r="L129" s="1"/>
    </row>
    <row r="130" spans="1:15" x14ac:dyDescent="0.45">
      <c r="A130" s="13"/>
      <c r="B130" s="101"/>
      <c r="C130" s="9">
        <f>SUM(C129:C129)</f>
        <v>30</v>
      </c>
      <c r="D130" s="15">
        <f>SUM(D129:D129)</f>
        <v>18174200</v>
      </c>
      <c r="E130" s="15">
        <f>SUM(E129:E129)</f>
        <v>18174200</v>
      </c>
      <c r="F130" s="15">
        <f>SUM(F129:F129)</f>
        <v>18174200</v>
      </c>
      <c r="J130" s="9"/>
      <c r="L130" s="1"/>
    </row>
    <row r="131" spans="1:15" x14ac:dyDescent="0.45">
      <c r="A131" s="13"/>
      <c r="B131" s="101"/>
      <c r="E131" s="101"/>
      <c r="F131" s="101"/>
      <c r="G131" s="101"/>
      <c r="H131" s="101"/>
      <c r="I131" s="101"/>
    </row>
    <row r="132" spans="1:15" x14ac:dyDescent="0.45">
      <c r="A132" s="102" t="s">
        <v>211</v>
      </c>
      <c r="B132" s="102"/>
      <c r="E132" s="101"/>
      <c r="F132" s="101"/>
      <c r="G132" s="101"/>
      <c r="H132" s="101"/>
      <c r="I132" s="101"/>
    </row>
    <row r="133" spans="1:15" x14ac:dyDescent="0.45">
      <c r="A133" s="13"/>
      <c r="B133" s="153"/>
      <c r="C133" s="162" t="s">
        <v>209</v>
      </c>
      <c r="D133" s="96" t="s">
        <v>210</v>
      </c>
      <c r="E133" s="162" t="s">
        <v>212</v>
      </c>
      <c r="F133" s="162" t="s">
        <v>213</v>
      </c>
      <c r="G133" s="101"/>
      <c r="H133" s="101"/>
      <c r="I133" s="101"/>
    </row>
    <row r="134" spans="1:15" x14ac:dyDescent="0.45">
      <c r="A134" s="13" t="s">
        <v>207</v>
      </c>
      <c r="B134" s="175">
        <f>B129</f>
        <v>0</v>
      </c>
      <c r="C134" s="180">
        <f>C130</f>
        <v>30</v>
      </c>
      <c r="D134" s="177">
        <f>E130</f>
        <v>18174200</v>
      </c>
      <c r="E134" s="181">
        <v>6.86</v>
      </c>
      <c r="F134" s="179">
        <f>(E134*D134)/1000</f>
        <v>124675.012</v>
      </c>
      <c r="G134" s="101"/>
      <c r="H134" s="101"/>
      <c r="I134" s="101"/>
    </row>
    <row r="135" spans="1:15" x14ac:dyDescent="0.45">
      <c r="A135" s="13"/>
      <c r="B135" s="101" t="s">
        <v>111</v>
      </c>
      <c r="C135" s="9">
        <f>SUM(C134:C134)</f>
        <v>30</v>
      </c>
      <c r="D135" s="15">
        <f>SUM(D134:D134)</f>
        <v>18174200</v>
      </c>
      <c r="F135" s="19">
        <f>SUM(F134:F134)</f>
        <v>124675.012</v>
      </c>
      <c r="G135" s="19"/>
      <c r="H135" s="101"/>
      <c r="I135" s="170"/>
      <c r="M135" s="6">
        <f>ROUND((D135+D146)/(C135+C146),0)</f>
        <v>490414</v>
      </c>
    </row>
    <row r="137" spans="1:15" ht="15.75" x14ac:dyDescent="0.5">
      <c r="A137" s="161" t="s">
        <v>221</v>
      </c>
    </row>
    <row r="138" spans="1:15" x14ac:dyDescent="0.45">
      <c r="E138" s="12" t="s">
        <v>220</v>
      </c>
      <c r="I138" s="9"/>
      <c r="L138" s="1"/>
    </row>
    <row r="139" spans="1:15" x14ac:dyDescent="0.45">
      <c r="B139" s="153" t="s">
        <v>208</v>
      </c>
      <c r="C139" s="162" t="s">
        <v>209</v>
      </c>
      <c r="D139" s="96" t="s">
        <v>210</v>
      </c>
      <c r="E139" s="162">
        <f>B140</f>
        <v>0</v>
      </c>
      <c r="F139" s="153" t="s">
        <v>111</v>
      </c>
      <c r="L139" s="1"/>
      <c r="O139" s="1" t="s">
        <v>126</v>
      </c>
    </row>
    <row r="140" spans="1:15" x14ac:dyDescent="0.45">
      <c r="A140" s="13" t="s">
        <v>207</v>
      </c>
      <c r="B140" s="175">
        <v>0</v>
      </c>
      <c r="C140" s="176">
        <v>12</v>
      </c>
      <c r="D140" s="177">
        <v>2423200</v>
      </c>
      <c r="E140" s="178">
        <f>D140</f>
        <v>2423200</v>
      </c>
      <c r="F140" s="177">
        <f>SUM(E140:E140)</f>
        <v>2423200</v>
      </c>
      <c r="I140" s="171"/>
      <c r="L140" s="1"/>
    </row>
    <row r="141" spans="1:15" x14ac:dyDescent="0.45">
      <c r="A141" s="13"/>
      <c r="B141" s="101"/>
      <c r="C141" s="9">
        <f>SUM(C140:C140)</f>
        <v>12</v>
      </c>
      <c r="D141" s="15">
        <f>SUM(D140:D140)</f>
        <v>2423200</v>
      </c>
      <c r="E141" s="15">
        <f>SUM(E140:E140)</f>
        <v>2423200</v>
      </c>
      <c r="F141" s="15">
        <f>SUM(F140:F140)</f>
        <v>2423200</v>
      </c>
      <c r="J141" s="9"/>
      <c r="L141" s="1"/>
    </row>
    <row r="142" spans="1:15" x14ac:dyDescent="0.45">
      <c r="A142" s="13"/>
      <c r="B142" s="101"/>
      <c r="E142" s="101"/>
      <c r="F142" s="101"/>
      <c r="G142" s="101"/>
      <c r="H142" s="101"/>
      <c r="I142" s="101"/>
    </row>
    <row r="143" spans="1:15" x14ac:dyDescent="0.45">
      <c r="A143" s="102" t="s">
        <v>211</v>
      </c>
      <c r="B143" s="102"/>
      <c r="E143" s="101"/>
      <c r="F143" s="101"/>
      <c r="G143" s="101"/>
      <c r="H143" s="101"/>
      <c r="I143" s="101"/>
    </row>
    <row r="144" spans="1:15" x14ac:dyDescent="0.45">
      <c r="A144" s="13"/>
      <c r="B144" s="153"/>
      <c r="C144" s="162" t="s">
        <v>209</v>
      </c>
      <c r="D144" s="96" t="s">
        <v>210</v>
      </c>
      <c r="E144" s="162" t="s">
        <v>212</v>
      </c>
      <c r="F144" s="162" t="s">
        <v>213</v>
      </c>
      <c r="G144" s="101"/>
      <c r="H144" s="101"/>
      <c r="I144" s="101"/>
    </row>
    <row r="145" spans="1:13" x14ac:dyDescent="0.45">
      <c r="A145" s="13" t="s">
        <v>207</v>
      </c>
      <c r="B145" s="175">
        <f>B140</f>
        <v>0</v>
      </c>
      <c r="C145" s="180">
        <f>C141</f>
        <v>12</v>
      </c>
      <c r="D145" s="177">
        <f>E141</f>
        <v>2423200</v>
      </c>
      <c r="E145" s="181">
        <v>6.86</v>
      </c>
      <c r="F145" s="179">
        <f>(E145*D145)/1000</f>
        <v>16623.151999999998</v>
      </c>
      <c r="G145" s="101"/>
      <c r="H145" s="101"/>
      <c r="I145" s="101"/>
    </row>
    <row r="146" spans="1:13" x14ac:dyDescent="0.45">
      <c r="A146" s="13"/>
      <c r="B146" s="101" t="s">
        <v>111</v>
      </c>
      <c r="C146" s="9">
        <f>SUM(C145:C145)</f>
        <v>12</v>
      </c>
      <c r="D146" s="15">
        <f>SUM(D145:D145)</f>
        <v>2423200</v>
      </c>
      <c r="F146" s="19">
        <f>SUM(F145:F145)</f>
        <v>16623.151999999998</v>
      </c>
      <c r="G146" s="19"/>
      <c r="H146" s="101"/>
      <c r="I146" s="170"/>
      <c r="M146" s="6"/>
    </row>
  </sheetData>
  <mergeCells count="1">
    <mergeCell ref="A2:I2"/>
  </mergeCells>
  <pageMargins left="0.7" right="0.7" top="0.75" bottom="0.75" header="0.3" footer="0.3"/>
  <pageSetup scale="90" fitToHeight="0" orientation="landscape" horizontalDpi="4294967293" r:id="rId1"/>
  <ignoredErrors>
    <ignoredError sqref="F48 G49 G17" formula="1"/>
    <ignoredError sqref="I83:I8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S146"/>
  <sheetViews>
    <sheetView topLeftCell="A15" workbookViewId="0">
      <selection sqref="A1:J146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2.5546875" style="9" customWidth="1"/>
    <col min="5" max="10" width="12.5546875" style="1" customWidth="1"/>
    <col min="11" max="11" width="9.88671875" style="1" bestFit="1" customWidth="1"/>
    <col min="12" max="12" width="10.5546875" style="9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150" t="s">
        <v>222</v>
      </c>
      <c r="B1" s="16"/>
      <c r="C1" s="16"/>
      <c r="D1" s="63"/>
      <c r="E1" s="16"/>
      <c r="F1" s="16"/>
      <c r="G1" s="16"/>
      <c r="H1" s="16"/>
      <c r="I1" s="16"/>
    </row>
    <row r="2" spans="1:17" ht="18" x14ac:dyDescent="0.45">
      <c r="A2" s="319" t="s">
        <v>1</v>
      </c>
      <c r="B2" s="319"/>
      <c r="C2" s="319"/>
      <c r="D2" s="319"/>
      <c r="E2" s="319"/>
      <c r="F2" s="319"/>
      <c r="G2" s="319"/>
      <c r="H2" s="319"/>
      <c r="I2" s="319"/>
    </row>
    <row r="3" spans="1:17" x14ac:dyDescent="0.45">
      <c r="M3" s="9"/>
      <c r="Q3" s="9"/>
    </row>
    <row r="4" spans="1:17" ht="16.5" x14ac:dyDescent="0.75">
      <c r="C4" s="151" t="s">
        <v>188</v>
      </c>
      <c r="L4" s="182">
        <f>'Revenue Requirement'!G26</f>
        <v>0.12355957816373352</v>
      </c>
      <c r="M4" s="100"/>
      <c r="Q4" s="136"/>
    </row>
    <row r="5" spans="1:17" x14ac:dyDescent="0.45">
      <c r="C5" s="152"/>
      <c r="D5" s="14"/>
      <c r="E5" s="153" t="s">
        <v>189</v>
      </c>
      <c r="F5" s="153" t="s">
        <v>190</v>
      </c>
      <c r="G5" s="153" t="s">
        <v>191</v>
      </c>
      <c r="H5" s="12"/>
      <c r="J5" s="154"/>
      <c r="K5" s="9"/>
      <c r="L5" s="154"/>
      <c r="M5" s="9"/>
      <c r="Q5" s="2"/>
    </row>
    <row r="6" spans="1:17" x14ac:dyDescent="0.45">
      <c r="C6" s="1" t="s">
        <v>192</v>
      </c>
      <c r="E6" s="9">
        <f>C31</f>
        <v>70696</v>
      </c>
      <c r="F6" s="155">
        <f>D31</f>
        <v>248729400</v>
      </c>
      <c r="G6" s="19">
        <f>F40</f>
        <v>4091023.7734429333</v>
      </c>
      <c r="H6" s="19"/>
      <c r="J6" s="154"/>
      <c r="K6" s="2"/>
    </row>
    <row r="7" spans="1:17" x14ac:dyDescent="0.45">
      <c r="C7" s="1" t="s">
        <v>193</v>
      </c>
      <c r="E7" s="9">
        <f>C51</f>
        <v>438</v>
      </c>
      <c r="F7" s="155">
        <f>D51</f>
        <v>10953900</v>
      </c>
      <c r="G7" s="9">
        <f>F60</f>
        <v>138436.31599375984</v>
      </c>
      <c r="H7" s="9"/>
      <c r="J7" s="154"/>
      <c r="K7" s="9"/>
    </row>
    <row r="8" spans="1:17" x14ac:dyDescent="0.45">
      <c r="B8" s="1" t="s">
        <v>83</v>
      </c>
      <c r="C8" s="1" t="s">
        <v>194</v>
      </c>
      <c r="E8" s="9">
        <f>C69</f>
        <v>84</v>
      </c>
      <c r="F8" s="155">
        <f>D69</f>
        <v>1717100</v>
      </c>
      <c r="G8" s="9">
        <f>F77</f>
        <v>26129.593681661197</v>
      </c>
      <c r="H8" s="9"/>
      <c r="J8" s="154"/>
      <c r="K8" s="9"/>
    </row>
    <row r="9" spans="1:17" x14ac:dyDescent="0.45">
      <c r="C9" s="1" t="s">
        <v>195</v>
      </c>
      <c r="E9" s="15">
        <f>C86</f>
        <v>396</v>
      </c>
      <c r="F9" s="103">
        <f>D86</f>
        <v>39466100</v>
      </c>
      <c r="G9" s="15">
        <f>F94</f>
        <v>450575.39781326201</v>
      </c>
      <c r="H9" s="9"/>
      <c r="J9" s="154"/>
      <c r="K9" s="9"/>
    </row>
    <row r="10" spans="1:17" x14ac:dyDescent="0.45">
      <c r="C10" s="1" t="s">
        <v>196</v>
      </c>
      <c r="E10" s="15">
        <f>C106</f>
        <v>60</v>
      </c>
      <c r="F10" s="103">
        <f>D109</f>
        <v>4644300</v>
      </c>
      <c r="G10" s="15">
        <f>F109</f>
        <v>57547.660953304643</v>
      </c>
      <c r="H10" s="9"/>
      <c r="J10" s="154"/>
      <c r="K10" s="9"/>
    </row>
    <row r="11" spans="1:17" x14ac:dyDescent="0.45">
      <c r="C11" s="1" t="s">
        <v>197</v>
      </c>
      <c r="E11" s="15">
        <f>C124</f>
        <v>48</v>
      </c>
      <c r="F11" s="103">
        <f>D124</f>
        <v>11723500</v>
      </c>
      <c r="G11" s="15">
        <f>F124</f>
        <v>128989.18212457112</v>
      </c>
      <c r="H11" s="9"/>
      <c r="J11" s="154"/>
      <c r="K11" s="9"/>
    </row>
    <row r="12" spans="1:17" x14ac:dyDescent="0.45">
      <c r="C12" s="1" t="s">
        <v>198</v>
      </c>
      <c r="E12" s="15">
        <f>C135</f>
        <v>34</v>
      </c>
      <c r="F12" s="103">
        <f>D135</f>
        <v>14526300</v>
      </c>
      <c r="G12" s="15">
        <f>F135</f>
        <v>111963.18161191973</v>
      </c>
      <c r="H12" s="9"/>
      <c r="J12" s="154"/>
      <c r="K12" s="9"/>
    </row>
    <row r="13" spans="1:17" x14ac:dyDescent="0.45">
      <c r="C13" s="1" t="s">
        <v>199</v>
      </c>
      <c r="E13" s="14">
        <f>C146</f>
        <v>12</v>
      </c>
      <c r="F13" s="156">
        <f>D145</f>
        <v>6607600</v>
      </c>
      <c r="G13" s="14">
        <f>F146</f>
        <v>50928.861363108343</v>
      </c>
      <c r="H13" s="9"/>
      <c r="J13" s="154"/>
      <c r="K13" s="9"/>
    </row>
    <row r="14" spans="1:17" x14ac:dyDescent="0.45">
      <c r="C14" s="1" t="s">
        <v>200</v>
      </c>
      <c r="E14" s="2">
        <f>SUM(E6:E13)</f>
        <v>71768</v>
      </c>
      <c r="F14" s="15">
        <f>SUM(F6:F13)</f>
        <v>338368200</v>
      </c>
      <c r="G14" s="99">
        <f>SUM(G6:G13)</f>
        <v>5055593.9669845207</v>
      </c>
      <c r="H14" s="99"/>
      <c r="J14" s="154"/>
      <c r="K14" s="2"/>
      <c r="M14" s="157"/>
    </row>
    <row r="15" spans="1:17" x14ac:dyDescent="0.45">
      <c r="C15" s="1" t="s">
        <v>201</v>
      </c>
      <c r="E15" s="2"/>
      <c r="F15" s="15"/>
      <c r="G15" s="148">
        <f>-8219</f>
        <v>-8219</v>
      </c>
      <c r="H15" s="99"/>
      <c r="J15" s="154"/>
      <c r="K15" s="2"/>
      <c r="M15" s="157"/>
    </row>
    <row r="16" spans="1:17" x14ac:dyDescent="0.45">
      <c r="C16" s="1" t="s">
        <v>202</v>
      </c>
      <c r="E16" s="2"/>
      <c r="F16" s="15"/>
      <c r="G16" s="99">
        <f>G14+G15</f>
        <v>5047374.9669845207</v>
      </c>
      <c r="H16" s="99"/>
      <c r="J16" s="154"/>
      <c r="K16" s="2"/>
      <c r="M16" s="157"/>
    </row>
    <row r="17" spans="1:19" x14ac:dyDescent="0.45">
      <c r="C17" s="1" t="s">
        <v>224</v>
      </c>
      <c r="E17" s="2"/>
      <c r="F17" s="15"/>
      <c r="G17" s="148">
        <f>-'Revenue Requirement'!G23</f>
        <v>-5005465.1261070073</v>
      </c>
      <c r="H17" s="99"/>
      <c r="J17" s="154"/>
      <c r="K17" s="157"/>
    </row>
    <row r="18" spans="1:19" x14ac:dyDescent="0.45">
      <c r="C18" s="1" t="s">
        <v>225</v>
      </c>
      <c r="D18" s="158"/>
      <c r="F18" s="10"/>
      <c r="G18" s="100">
        <f>G16+G17</f>
        <v>41909.840877513401</v>
      </c>
      <c r="H18" s="293"/>
      <c r="I18" s="100"/>
      <c r="J18" s="154"/>
      <c r="O18" s="2"/>
    </row>
    <row r="19" spans="1:19" x14ac:dyDescent="0.45">
      <c r="C19" s="1" t="s">
        <v>327</v>
      </c>
      <c r="D19" s="158"/>
      <c r="F19" s="10"/>
      <c r="G19" s="292">
        <f>G18/-G17</f>
        <v>8.3728164759203343E-3</v>
      </c>
      <c r="I19" s="100"/>
      <c r="J19" s="154"/>
    </row>
    <row r="20" spans="1:19" x14ac:dyDescent="0.45">
      <c r="D20" s="158"/>
      <c r="F20" s="10"/>
      <c r="G20" s="158"/>
      <c r="I20" s="100"/>
    </row>
    <row r="21" spans="1:19" x14ac:dyDescent="0.45">
      <c r="F21" s="160"/>
      <c r="G21" s="100"/>
    </row>
    <row r="22" spans="1:19" x14ac:dyDescent="0.45">
      <c r="F22" s="100"/>
      <c r="G22" s="100"/>
    </row>
    <row r="23" spans="1:19" ht="15.75" x14ac:dyDescent="0.5">
      <c r="A23" s="161" t="s">
        <v>204</v>
      </c>
      <c r="N23"/>
      <c r="O23"/>
      <c r="P23"/>
      <c r="Q23"/>
      <c r="R23"/>
      <c r="S23"/>
    </row>
    <row r="24" spans="1:19" ht="15.4" x14ac:dyDescent="0.45">
      <c r="E24" s="12" t="s">
        <v>205</v>
      </c>
      <c r="F24" s="12" t="s">
        <v>206</v>
      </c>
      <c r="G24" s="12" t="s">
        <v>206</v>
      </c>
      <c r="H24" s="12" t="s">
        <v>206</v>
      </c>
      <c r="I24" s="12" t="s">
        <v>207</v>
      </c>
      <c r="L24"/>
      <c r="M24"/>
      <c r="N24"/>
      <c r="O24"/>
      <c r="P24"/>
      <c r="Q24"/>
    </row>
    <row r="25" spans="1:19" ht="15.4" x14ac:dyDescent="0.45">
      <c r="B25" s="153" t="s">
        <v>208</v>
      </c>
      <c r="C25" s="162" t="s">
        <v>209</v>
      </c>
      <c r="D25" s="96" t="s">
        <v>210</v>
      </c>
      <c r="E25" s="162">
        <f>B26</f>
        <v>2000</v>
      </c>
      <c r="F25" s="162">
        <f>B27</f>
        <v>8000</v>
      </c>
      <c r="G25" s="162">
        <f>B28</f>
        <v>10000</v>
      </c>
      <c r="H25" s="162">
        <f>B29</f>
        <v>30000</v>
      </c>
      <c r="I25" s="162">
        <f>B30</f>
        <v>50000</v>
      </c>
      <c r="J25" s="153" t="s">
        <v>111</v>
      </c>
      <c r="L25"/>
      <c r="M25"/>
      <c r="N25"/>
      <c r="O25"/>
      <c r="P25"/>
      <c r="Q25"/>
    </row>
    <row r="26" spans="1:19" ht="15.4" x14ac:dyDescent="0.45">
      <c r="A26" s="13" t="s">
        <v>205</v>
      </c>
      <c r="B26" s="101">
        <v>2000</v>
      </c>
      <c r="C26" s="163">
        <v>26993</v>
      </c>
      <c r="D26" s="158">
        <v>26541300</v>
      </c>
      <c r="E26" s="158">
        <f>D26</f>
        <v>26541300</v>
      </c>
      <c r="F26" s="158">
        <v>0</v>
      </c>
      <c r="G26" s="158">
        <v>0</v>
      </c>
      <c r="H26" s="158">
        <v>0</v>
      </c>
      <c r="I26" s="158">
        <v>0</v>
      </c>
      <c r="J26" s="158">
        <f>SUM(E26:I26)</f>
        <v>26541300</v>
      </c>
      <c r="L26"/>
      <c r="M26"/>
      <c r="N26"/>
      <c r="O26"/>
      <c r="P26"/>
      <c r="Q26"/>
    </row>
    <row r="27" spans="1:19" ht="15.4" x14ac:dyDescent="0.45">
      <c r="A27" s="13" t="s">
        <v>206</v>
      </c>
      <c r="B27" s="101">
        <v>8000</v>
      </c>
      <c r="C27" s="163">
        <v>40928</v>
      </c>
      <c r="D27" s="158">
        <f>81856000+89179400</f>
        <v>171035400</v>
      </c>
      <c r="E27" s="158">
        <f>C27*E$25</f>
        <v>81856000</v>
      </c>
      <c r="F27" s="158">
        <f>D27-E27</f>
        <v>89179400</v>
      </c>
      <c r="G27" s="158">
        <v>0</v>
      </c>
      <c r="H27" s="158">
        <v>0</v>
      </c>
      <c r="I27" s="158">
        <v>0</v>
      </c>
      <c r="J27" s="158">
        <f>SUM(E27:I27)</f>
        <v>171035400</v>
      </c>
      <c r="L27"/>
      <c r="M27"/>
      <c r="N27"/>
      <c r="O27"/>
      <c r="P27"/>
      <c r="Q27"/>
    </row>
    <row r="28" spans="1:19" ht="15.4" x14ac:dyDescent="0.45">
      <c r="A28" s="13" t="s">
        <v>206</v>
      </c>
      <c r="B28" s="101">
        <v>10000</v>
      </c>
      <c r="C28" s="163">
        <v>2182</v>
      </c>
      <c r="D28" s="158">
        <f>4364000+17456000+7129800</f>
        <v>28949800</v>
      </c>
      <c r="E28" s="158">
        <f>C28*E$25</f>
        <v>4364000</v>
      </c>
      <c r="F28" s="158">
        <f>$C28*F$25</f>
        <v>17456000</v>
      </c>
      <c r="G28" s="158">
        <f>D28-(F28+E28)</f>
        <v>7129800</v>
      </c>
      <c r="H28" s="158">
        <v>0</v>
      </c>
      <c r="I28" s="158">
        <v>0</v>
      </c>
      <c r="J28" s="158">
        <f>SUM(E28:I28)</f>
        <v>28949800</v>
      </c>
      <c r="L28"/>
      <c r="M28"/>
      <c r="N28"/>
      <c r="O28"/>
      <c r="P28"/>
      <c r="Q28"/>
    </row>
    <row r="29" spans="1:19" ht="15.4" x14ac:dyDescent="0.45">
      <c r="A29" s="13" t="s">
        <v>206</v>
      </c>
      <c r="B29" s="101">
        <v>30000</v>
      </c>
      <c r="C29" s="163">
        <v>490</v>
      </c>
      <c r="D29" s="158">
        <f>980000+3920000+4900000+3608900</f>
        <v>13408900</v>
      </c>
      <c r="E29" s="158">
        <f>C29*E$25</f>
        <v>980000</v>
      </c>
      <c r="F29" s="158">
        <f>$C29*F$25</f>
        <v>3920000</v>
      </c>
      <c r="G29" s="158">
        <f>C29*G25</f>
        <v>4900000</v>
      </c>
      <c r="H29" s="2">
        <f>D29-E29-F29-G29</f>
        <v>3608900</v>
      </c>
      <c r="I29" s="158">
        <v>0</v>
      </c>
      <c r="J29" s="158">
        <f>SUM(E29:I29)</f>
        <v>13408900</v>
      </c>
      <c r="L29"/>
      <c r="M29"/>
      <c r="N29"/>
      <c r="O29"/>
      <c r="P29"/>
      <c r="Q29"/>
    </row>
    <row r="30" spans="1:19" ht="15.4" x14ac:dyDescent="0.45">
      <c r="A30" s="13" t="s">
        <v>207</v>
      </c>
      <c r="B30" s="164">
        <v>50000</v>
      </c>
      <c r="C30" s="165">
        <v>103</v>
      </c>
      <c r="D30" s="166">
        <f>206000+824000+1030000+3090000+3644000</f>
        <v>8794000</v>
      </c>
      <c r="E30" s="166">
        <f>C30*E$25</f>
        <v>206000</v>
      </c>
      <c r="F30" s="166">
        <f>$C30*F$25</f>
        <v>824000</v>
      </c>
      <c r="G30" s="166">
        <f>$C30*G$25</f>
        <v>1030000</v>
      </c>
      <c r="H30" s="18">
        <f>C30*H25</f>
        <v>3090000</v>
      </c>
      <c r="I30" s="166">
        <f>D30-E30-F30-G30-H30</f>
        <v>3644000</v>
      </c>
      <c r="J30" s="166">
        <f>SUM(E30:I30)</f>
        <v>8794000</v>
      </c>
      <c r="L30"/>
      <c r="M30"/>
      <c r="N30"/>
      <c r="O30"/>
      <c r="P30"/>
      <c r="Q30"/>
    </row>
    <row r="31" spans="1:19" ht="15.4" x14ac:dyDescent="0.45">
      <c r="A31" s="13"/>
      <c r="B31" s="101" t="s">
        <v>111</v>
      </c>
      <c r="C31" s="15">
        <f t="shared" ref="C31:J31" si="0">SUM(C26:C30)</f>
        <v>70696</v>
      </c>
      <c r="D31" s="15">
        <f t="shared" si="0"/>
        <v>248729400</v>
      </c>
      <c r="E31" s="15">
        <f t="shared" si="0"/>
        <v>113947300</v>
      </c>
      <c r="F31" s="15">
        <f t="shared" si="0"/>
        <v>111379400</v>
      </c>
      <c r="G31" s="15">
        <f t="shared" si="0"/>
        <v>13059800</v>
      </c>
      <c r="H31" s="15">
        <f t="shared" si="0"/>
        <v>6698900</v>
      </c>
      <c r="I31" s="15">
        <f>SUM(I26:I30)</f>
        <v>3644000</v>
      </c>
      <c r="J31" s="15">
        <f t="shared" si="0"/>
        <v>248729400</v>
      </c>
      <c r="K31" s="9"/>
      <c r="L31"/>
      <c r="M31"/>
      <c r="N31"/>
      <c r="O31"/>
      <c r="P31"/>
      <c r="Q31"/>
    </row>
    <row r="32" spans="1:19" ht="15.4" x14ac:dyDescent="0.45">
      <c r="A32" s="13"/>
      <c r="B32" s="101"/>
      <c r="E32" s="101"/>
      <c r="F32" s="101"/>
      <c r="G32" s="101"/>
      <c r="H32" s="101"/>
      <c r="I32" s="101"/>
      <c r="N32"/>
      <c r="O32"/>
      <c r="P32"/>
      <c r="Q32"/>
      <c r="R32"/>
      <c r="S32"/>
    </row>
    <row r="33" spans="1:19" ht="15.4" x14ac:dyDescent="0.45">
      <c r="A33" s="102" t="s">
        <v>211</v>
      </c>
      <c r="B33" s="102"/>
      <c r="E33" s="101"/>
      <c r="F33" s="101"/>
      <c r="G33" s="101"/>
      <c r="H33" s="101"/>
      <c r="I33" s="101"/>
      <c r="N33"/>
      <c r="O33"/>
      <c r="P33"/>
      <c r="Q33"/>
      <c r="R33"/>
      <c r="S33"/>
    </row>
    <row r="34" spans="1:19" ht="15.4" x14ac:dyDescent="0.45">
      <c r="A34" s="13"/>
      <c r="B34" s="153"/>
      <c r="C34" s="162" t="s">
        <v>209</v>
      </c>
      <c r="D34" s="96" t="s">
        <v>210</v>
      </c>
      <c r="E34" s="162" t="s">
        <v>212</v>
      </c>
      <c r="F34" s="162" t="s">
        <v>213</v>
      </c>
      <c r="G34" s="101"/>
      <c r="H34" s="101"/>
      <c r="I34" s="101"/>
      <c r="N34"/>
      <c r="O34"/>
      <c r="P34"/>
      <c r="Q34"/>
      <c r="R34"/>
      <c r="S34"/>
    </row>
    <row r="35" spans="1:19" ht="15.4" x14ac:dyDescent="0.45">
      <c r="A35" s="13" t="s">
        <v>205</v>
      </c>
      <c r="B35" s="101">
        <f>B26</f>
        <v>2000</v>
      </c>
      <c r="C35" s="9">
        <f>C31</f>
        <v>70696</v>
      </c>
      <c r="D35" s="158">
        <f>E31</f>
        <v>113947300</v>
      </c>
      <c r="E35" s="167">
        <f>ExBA!E35*(1+PrBA!$L$4)</f>
        <v>34.010148431016212</v>
      </c>
      <c r="F35" s="19">
        <f>E35*C35</f>
        <v>2404381.4534791219</v>
      </c>
      <c r="G35" s="101"/>
      <c r="N35"/>
      <c r="O35"/>
      <c r="P35"/>
      <c r="Q35"/>
      <c r="R35"/>
      <c r="S35"/>
    </row>
    <row r="36" spans="1:19" ht="15.4" x14ac:dyDescent="0.45">
      <c r="A36" s="13" t="s">
        <v>206</v>
      </c>
      <c r="B36" s="101">
        <f>B27</f>
        <v>8000</v>
      </c>
      <c r="D36" s="158">
        <f>F31</f>
        <v>111379400</v>
      </c>
      <c r="E36" s="167">
        <f>ExBA!E36*(1+PrBA!$L$4)</f>
        <v>12.718694424813464</v>
      </c>
      <c r="F36" s="9">
        <f>E36*(D36/1000)</f>
        <v>1416600.5538190687</v>
      </c>
      <c r="G36" s="101"/>
      <c r="N36"/>
      <c r="O36"/>
      <c r="P36"/>
      <c r="Q36"/>
      <c r="R36"/>
      <c r="S36"/>
    </row>
    <row r="37" spans="1:19" ht="15.4" x14ac:dyDescent="0.45">
      <c r="A37" s="13" t="s">
        <v>206</v>
      </c>
      <c r="B37" s="101">
        <f>B28</f>
        <v>10000</v>
      </c>
      <c r="D37" s="158">
        <f>G31</f>
        <v>13059800</v>
      </c>
      <c r="E37" s="167">
        <f>ExBA!E37*(1+PrBA!$L$4)</f>
        <v>11.9771451032254</v>
      </c>
      <c r="F37" s="9">
        <f>E37*(D37/1000)</f>
        <v>156419.11961910306</v>
      </c>
      <c r="G37" s="101"/>
      <c r="N37"/>
      <c r="O37"/>
      <c r="P37"/>
      <c r="Q37"/>
      <c r="R37"/>
      <c r="S37"/>
    </row>
    <row r="38" spans="1:19" ht="15.4" x14ac:dyDescent="0.45">
      <c r="A38" s="13" t="s">
        <v>206</v>
      </c>
      <c r="B38" s="101">
        <v>10000</v>
      </c>
      <c r="D38" s="158">
        <f>H31</f>
        <v>6698900</v>
      </c>
      <c r="E38" s="167">
        <f>ExBA!E38*(1+PrBA!$L$4)</f>
        <v>11.246831377418973</v>
      </c>
      <c r="F38" s="9">
        <f>E38*(D38/1000)</f>
        <v>75341.39871419195</v>
      </c>
      <c r="G38" s="101"/>
      <c r="N38"/>
      <c r="O38"/>
      <c r="P38"/>
      <c r="Q38"/>
      <c r="R38"/>
      <c r="S38"/>
    </row>
    <row r="39" spans="1:19" x14ac:dyDescent="0.45">
      <c r="A39" s="13" t="s">
        <v>207</v>
      </c>
      <c r="B39" s="164">
        <f>B30</f>
        <v>50000</v>
      </c>
      <c r="C39" s="168"/>
      <c r="D39" s="166">
        <f>I31</f>
        <v>3644000</v>
      </c>
      <c r="E39" s="167">
        <f>ExBA!E39*(1+PrBA!$L$4)</f>
        <v>10.505282055830907</v>
      </c>
      <c r="F39" s="14">
        <f>E39*(D39/1000)</f>
        <v>38281.247811447829</v>
      </c>
      <c r="G39" s="101"/>
      <c r="Q39" s="9">
        <f>Q32/12</f>
        <v>0</v>
      </c>
    </row>
    <row r="40" spans="1:19" x14ac:dyDescent="0.45">
      <c r="A40" s="13"/>
      <c r="B40" s="101" t="s">
        <v>111</v>
      </c>
      <c r="C40" s="9">
        <f>SUM(C35:C39)</f>
        <v>70696</v>
      </c>
      <c r="D40" s="15">
        <f>SUM(D35:D39)</f>
        <v>248729400</v>
      </c>
      <c r="F40" s="19">
        <f>SUM(F35:F39)</f>
        <v>4091023.7734429333</v>
      </c>
      <c r="G40" s="19"/>
      <c r="H40" s="101"/>
      <c r="I40" s="170"/>
    </row>
    <row r="41" spans="1:19" x14ac:dyDescent="0.45">
      <c r="A41" s="13"/>
      <c r="B41" s="101"/>
      <c r="C41" s="9"/>
      <c r="D41" s="15"/>
      <c r="F41" s="19"/>
      <c r="G41" s="101"/>
      <c r="H41" s="101"/>
      <c r="I41" s="101"/>
    </row>
    <row r="42" spans="1:19" x14ac:dyDescent="0.45">
      <c r="A42" s="13"/>
      <c r="B42" s="101"/>
      <c r="C42" s="9"/>
      <c r="D42" s="15"/>
      <c r="F42" s="19"/>
      <c r="G42" s="101"/>
      <c r="H42" s="101"/>
      <c r="I42" s="101"/>
    </row>
    <row r="43" spans="1:19" ht="15.75" x14ac:dyDescent="0.5">
      <c r="A43" s="161" t="s">
        <v>214</v>
      </c>
    </row>
    <row r="44" spans="1:19" x14ac:dyDescent="0.45">
      <c r="E44" s="12" t="s">
        <v>205</v>
      </c>
      <c r="F44" s="12" t="s">
        <v>206</v>
      </c>
      <c r="G44" s="13" t="s">
        <v>206</v>
      </c>
      <c r="H44" s="13" t="s">
        <v>206</v>
      </c>
      <c r="I44" s="12" t="s">
        <v>207</v>
      </c>
      <c r="L44" s="1"/>
    </row>
    <row r="45" spans="1:19" x14ac:dyDescent="0.45">
      <c r="B45" s="153" t="s">
        <v>208</v>
      </c>
      <c r="C45" s="162" t="s">
        <v>209</v>
      </c>
      <c r="D45" s="96" t="s">
        <v>210</v>
      </c>
      <c r="E45" s="162">
        <f>B46</f>
        <v>5000</v>
      </c>
      <c r="F45" s="162">
        <f>B47</f>
        <v>5000</v>
      </c>
      <c r="G45" s="172">
        <f>B48</f>
        <v>10000</v>
      </c>
      <c r="H45" s="172">
        <f>B49</f>
        <v>30000</v>
      </c>
      <c r="I45" s="162">
        <f>B50</f>
        <v>50000</v>
      </c>
      <c r="J45" s="153" t="s">
        <v>111</v>
      </c>
      <c r="L45" s="1"/>
    </row>
    <row r="46" spans="1:19" x14ac:dyDescent="0.45">
      <c r="A46" s="13" t="s">
        <v>205</v>
      </c>
      <c r="B46" s="101">
        <v>5000</v>
      </c>
      <c r="C46" s="163">
        <v>230</v>
      </c>
      <c r="D46" s="158">
        <v>316500</v>
      </c>
      <c r="E46" s="158">
        <f>D46</f>
        <v>316500</v>
      </c>
      <c r="F46" s="158">
        <v>0</v>
      </c>
      <c r="G46" s="6">
        <v>0</v>
      </c>
      <c r="H46" s="6">
        <v>0</v>
      </c>
      <c r="I46" s="158">
        <v>0</v>
      </c>
      <c r="J46" s="158">
        <f>SUM(E46:I46)</f>
        <v>316500</v>
      </c>
      <c r="L46" s="1"/>
    </row>
    <row r="47" spans="1:19" x14ac:dyDescent="0.45">
      <c r="A47" s="13" t="s">
        <v>206</v>
      </c>
      <c r="B47" s="101">
        <v>5000</v>
      </c>
      <c r="C47" s="163">
        <v>41</v>
      </c>
      <c r="D47" s="158">
        <f>205000+110800</f>
        <v>315800</v>
      </c>
      <c r="E47" s="158">
        <f>C47*$E$45</f>
        <v>205000</v>
      </c>
      <c r="F47" s="158">
        <f>D47-E47</f>
        <v>110800</v>
      </c>
      <c r="G47" s="6">
        <v>0</v>
      </c>
      <c r="H47" s="6">
        <v>0</v>
      </c>
      <c r="I47" s="158">
        <v>0</v>
      </c>
      <c r="J47" s="158">
        <f>SUM(E47:I47)</f>
        <v>315800</v>
      </c>
      <c r="L47" s="1"/>
    </row>
    <row r="48" spans="1:19" x14ac:dyDescent="0.45">
      <c r="A48" s="13" t="s">
        <v>206</v>
      </c>
      <c r="B48" s="101">
        <v>10000</v>
      </c>
      <c r="C48" s="163">
        <v>57</v>
      </c>
      <c r="D48" s="158">
        <f>285000+285000+190700</f>
        <v>760700</v>
      </c>
      <c r="E48" s="158">
        <f>C48*$E$45</f>
        <v>285000</v>
      </c>
      <c r="F48" s="158">
        <f>$C$48*$F$45</f>
        <v>285000</v>
      </c>
      <c r="G48" s="2">
        <f>D48-E48-F48</f>
        <v>190700</v>
      </c>
      <c r="H48" s="6">
        <v>0</v>
      </c>
      <c r="I48" s="158">
        <v>0</v>
      </c>
      <c r="J48" s="158">
        <f>SUM(E48:I48)</f>
        <v>760700</v>
      </c>
      <c r="L48" s="1"/>
    </row>
    <row r="49" spans="1:12" x14ac:dyDescent="0.45">
      <c r="A49" s="13" t="s">
        <v>206</v>
      </c>
      <c r="B49" s="101">
        <v>30000</v>
      </c>
      <c r="C49" s="163">
        <v>36</v>
      </c>
      <c r="D49" s="158">
        <f>180000+180000+360000+491800</f>
        <v>1211800</v>
      </c>
      <c r="E49" s="158">
        <f>C49*$E$45</f>
        <v>180000</v>
      </c>
      <c r="F49" s="158">
        <f>$C$49*$F$45</f>
        <v>180000</v>
      </c>
      <c r="G49" s="2">
        <f>$C$49*$G$45</f>
        <v>360000</v>
      </c>
      <c r="H49" s="2">
        <f>D49-E49-F49-G49</f>
        <v>491800</v>
      </c>
      <c r="I49" s="158">
        <v>0</v>
      </c>
      <c r="J49" s="158">
        <f>SUM(E49:I49)</f>
        <v>1211800</v>
      </c>
      <c r="L49" s="1"/>
    </row>
    <row r="50" spans="1:12" x14ac:dyDescent="0.45">
      <c r="A50" s="13" t="s">
        <v>207</v>
      </c>
      <c r="B50" s="164">
        <v>50000</v>
      </c>
      <c r="C50" s="165">
        <v>74</v>
      </c>
      <c r="D50" s="166">
        <f>370000+370000+740000+2220000+4649100</f>
        <v>8349100</v>
      </c>
      <c r="E50" s="166">
        <f>C50*$E$45</f>
        <v>370000</v>
      </c>
      <c r="F50" s="166">
        <f>$C$50*$F$45</f>
        <v>370000</v>
      </c>
      <c r="G50" s="18">
        <f xml:space="preserve"> $C$50*$G$45</f>
        <v>740000</v>
      </c>
      <c r="H50" s="18">
        <f>$C$50*$H$45</f>
        <v>2220000</v>
      </c>
      <c r="I50" s="166">
        <f>D50-E50-G50-H50-F50</f>
        <v>4649100</v>
      </c>
      <c r="J50" s="166">
        <f>SUM(E50:I50)</f>
        <v>8349100</v>
      </c>
      <c r="L50" s="1"/>
    </row>
    <row r="51" spans="1:12" x14ac:dyDescent="0.45">
      <c r="A51" s="13"/>
      <c r="B51" s="101"/>
      <c r="C51" s="15">
        <f t="shared" ref="C51:H51" si="1">SUM(C46:C50)</f>
        <v>438</v>
      </c>
      <c r="D51" s="15">
        <f t="shared" si="1"/>
        <v>10953900</v>
      </c>
      <c r="E51" s="15">
        <f t="shared" si="1"/>
        <v>1356500</v>
      </c>
      <c r="F51" s="15">
        <f t="shared" si="1"/>
        <v>945800</v>
      </c>
      <c r="G51" s="15">
        <f t="shared" si="1"/>
        <v>1290700</v>
      </c>
      <c r="H51" s="15">
        <f t="shared" si="1"/>
        <v>2711800</v>
      </c>
      <c r="I51" s="15">
        <f>SUM(I46:I50)</f>
        <v>4649100</v>
      </c>
      <c r="J51" s="15">
        <f>SUM(J46:J50)</f>
        <v>10953900</v>
      </c>
      <c r="K51" s="9"/>
      <c r="L51" s="1"/>
    </row>
    <row r="52" spans="1:12" x14ac:dyDescent="0.45">
      <c r="A52" s="13"/>
      <c r="B52" s="101"/>
      <c r="E52" s="101"/>
      <c r="F52" s="101"/>
      <c r="G52" s="101"/>
      <c r="H52" s="101"/>
      <c r="I52" s="101"/>
    </row>
    <row r="53" spans="1:12" x14ac:dyDescent="0.45">
      <c r="A53" s="102" t="s">
        <v>211</v>
      </c>
      <c r="B53" s="102"/>
      <c r="E53" s="101"/>
      <c r="F53" s="101"/>
      <c r="G53" s="101"/>
      <c r="H53" s="101"/>
      <c r="I53" s="101"/>
    </row>
    <row r="54" spans="1:12" x14ac:dyDescent="0.45">
      <c r="A54" s="13"/>
      <c r="B54" s="153"/>
      <c r="C54" s="162" t="s">
        <v>209</v>
      </c>
      <c r="D54" s="96" t="s">
        <v>210</v>
      </c>
      <c r="E54" s="162" t="s">
        <v>212</v>
      </c>
      <c r="F54" s="162" t="s">
        <v>213</v>
      </c>
      <c r="G54" s="101"/>
      <c r="H54" s="101"/>
      <c r="I54" s="101"/>
    </row>
    <row r="55" spans="1:12" x14ac:dyDescent="0.45">
      <c r="A55" s="13" t="s">
        <v>205</v>
      </c>
      <c r="B55" s="101">
        <f>B46</f>
        <v>5000</v>
      </c>
      <c r="C55" s="9">
        <f>C51</f>
        <v>438</v>
      </c>
      <c r="D55" s="158">
        <f>E51</f>
        <v>1356500</v>
      </c>
      <c r="E55" s="167">
        <f>ExBA!E55*(1+PrBA!$L$4)</f>
        <v>72.16623170545661</v>
      </c>
      <c r="F55" s="19">
        <f>E55*C55</f>
        <v>31608.809486989994</v>
      </c>
      <c r="G55" s="101"/>
    </row>
    <row r="56" spans="1:12" x14ac:dyDescent="0.45">
      <c r="A56" s="13" t="s">
        <v>206</v>
      </c>
      <c r="B56" s="101">
        <v>5000</v>
      </c>
      <c r="C56" s="9"/>
      <c r="D56" s="158">
        <f>F51</f>
        <v>945800</v>
      </c>
      <c r="E56" s="167">
        <f>ExBA!E56*(1+PrBA!$L$4)</f>
        <v>12.718694424813464</v>
      </c>
      <c r="F56" s="15">
        <f>E56*(D56/1000)</f>
        <v>12029.341186988573</v>
      </c>
      <c r="G56" s="101"/>
    </row>
    <row r="57" spans="1:12" x14ac:dyDescent="0.45">
      <c r="A57" s="13" t="s">
        <v>206</v>
      </c>
      <c r="B57" s="101">
        <v>10000</v>
      </c>
      <c r="C57" s="9"/>
      <c r="D57" s="158">
        <f>G51</f>
        <v>1290700</v>
      </c>
      <c r="E57" s="167">
        <f>ExBA!E57*(1+PrBA!$L$4)</f>
        <v>11.9771451032254</v>
      </c>
      <c r="F57" s="15">
        <f>E57*(D57/1000)</f>
        <v>15458.901184733024</v>
      </c>
      <c r="G57" s="101"/>
    </row>
    <row r="58" spans="1:12" x14ac:dyDescent="0.45">
      <c r="A58" s="13" t="s">
        <v>206</v>
      </c>
      <c r="B58" s="101">
        <v>30000</v>
      </c>
      <c r="C58" s="9"/>
      <c r="D58" s="158">
        <f>H51</f>
        <v>2711800</v>
      </c>
      <c r="E58" s="167">
        <f>ExBA!E58*(1+PrBA!$L$4)</f>
        <v>11.246831377418973</v>
      </c>
      <c r="F58" s="15">
        <f>E58*(D58/1000)</f>
        <v>30499.157329284772</v>
      </c>
      <c r="G58" s="101"/>
    </row>
    <row r="59" spans="1:12" x14ac:dyDescent="0.45">
      <c r="A59" s="13" t="s">
        <v>207</v>
      </c>
      <c r="B59" s="164">
        <f>B50</f>
        <v>50000</v>
      </c>
      <c r="C59" s="168"/>
      <c r="D59" s="166">
        <f>I51</f>
        <v>4649100</v>
      </c>
      <c r="E59" s="167">
        <f>ExBA!E59*(1+PrBA!$L$4)</f>
        <v>10.505282055830907</v>
      </c>
      <c r="F59" s="14">
        <f>E59*(D59/1000)</f>
        <v>48840.106805763477</v>
      </c>
      <c r="G59" s="101"/>
    </row>
    <row r="60" spans="1:12" x14ac:dyDescent="0.45">
      <c r="A60" s="13"/>
      <c r="B60" s="101" t="s">
        <v>111</v>
      </c>
      <c r="C60" s="9">
        <f>SUM(C55:C59)</f>
        <v>438</v>
      </c>
      <c r="D60" s="15">
        <f>SUM(D55:D59)</f>
        <v>10953900</v>
      </c>
      <c r="F60" s="19">
        <f>SUM(F55:F59)</f>
        <v>138436.31599375984</v>
      </c>
      <c r="G60" s="19"/>
      <c r="H60" s="101"/>
      <c r="I60" s="170"/>
    </row>
    <row r="61" spans="1:12" x14ac:dyDescent="0.45">
      <c r="A61" s="13"/>
      <c r="B61" s="101"/>
      <c r="C61" s="3"/>
      <c r="D61" s="15"/>
      <c r="F61" s="167"/>
      <c r="G61" s="101"/>
      <c r="H61" s="101"/>
      <c r="I61" s="101"/>
    </row>
    <row r="62" spans="1:12" ht="15.75" x14ac:dyDescent="0.5">
      <c r="A62" s="161" t="s">
        <v>215</v>
      </c>
      <c r="H62" s="101"/>
      <c r="I62" s="101"/>
    </row>
    <row r="63" spans="1:12" x14ac:dyDescent="0.45">
      <c r="E63" s="12" t="s">
        <v>205</v>
      </c>
      <c r="F63" s="1" t="s">
        <v>206</v>
      </c>
      <c r="G63" s="1" t="s">
        <v>206</v>
      </c>
      <c r="H63" s="12" t="s">
        <v>207</v>
      </c>
    </row>
    <row r="64" spans="1:12" x14ac:dyDescent="0.45">
      <c r="B64" s="153" t="s">
        <v>208</v>
      </c>
      <c r="C64" s="162" t="s">
        <v>209</v>
      </c>
      <c r="D64" s="96" t="s">
        <v>210</v>
      </c>
      <c r="E64" s="162">
        <f>B65</f>
        <v>11000</v>
      </c>
      <c r="F64" s="164">
        <f>B66</f>
        <v>9000</v>
      </c>
      <c r="G64" s="164">
        <f>B67</f>
        <v>30000</v>
      </c>
      <c r="H64" s="162">
        <f>B68</f>
        <v>50000</v>
      </c>
      <c r="I64" s="153" t="s">
        <v>111</v>
      </c>
    </row>
    <row r="65" spans="1:12" x14ac:dyDescent="0.45">
      <c r="A65" s="13" t="s">
        <v>205</v>
      </c>
      <c r="B65" s="101">
        <v>11000</v>
      </c>
      <c r="C65" s="163">
        <v>56</v>
      </c>
      <c r="D65" s="158">
        <v>149000</v>
      </c>
      <c r="E65" s="158">
        <f>D65</f>
        <v>149000</v>
      </c>
      <c r="F65" s="6">
        <v>0</v>
      </c>
      <c r="G65" s="6">
        <v>0</v>
      </c>
      <c r="H65" s="158">
        <v>0</v>
      </c>
      <c r="I65" s="158">
        <f>SUM(E65:H65)</f>
        <v>149000</v>
      </c>
    </row>
    <row r="66" spans="1:12" x14ac:dyDescent="0.45">
      <c r="A66" s="13" t="s">
        <v>206</v>
      </c>
      <c r="B66" s="101">
        <v>9000</v>
      </c>
      <c r="C66" s="163">
        <v>12</v>
      </c>
      <c r="D66" s="158">
        <f>132000+60700</f>
        <v>192700</v>
      </c>
      <c r="E66" s="173">
        <f>C66*E64</f>
        <v>132000</v>
      </c>
      <c r="F66" s="6">
        <f>D66-E66</f>
        <v>60700</v>
      </c>
      <c r="G66" s="6">
        <v>0</v>
      </c>
      <c r="H66" s="158">
        <v>0</v>
      </c>
      <c r="I66" s="158">
        <f>SUM(E66:H66)</f>
        <v>192700</v>
      </c>
    </row>
    <row r="67" spans="1:12" x14ac:dyDescent="0.45">
      <c r="A67" s="13" t="s">
        <v>206</v>
      </c>
      <c r="B67" s="101">
        <v>30000</v>
      </c>
      <c r="C67" s="163">
        <v>10</v>
      </c>
      <c r="D67" s="158">
        <f>110000+90000+67500</f>
        <v>267500</v>
      </c>
      <c r="E67" s="173">
        <f>C67*E64</f>
        <v>110000</v>
      </c>
      <c r="F67" s="6">
        <f>C67*F64</f>
        <v>90000</v>
      </c>
      <c r="G67" s="6">
        <f>D67-E67-F67</f>
        <v>67500</v>
      </c>
      <c r="H67" s="158">
        <v>0</v>
      </c>
      <c r="I67" s="158">
        <f>SUM(E67:H67)</f>
        <v>267500</v>
      </c>
    </row>
    <row r="68" spans="1:12" x14ac:dyDescent="0.45">
      <c r="A68" s="13" t="s">
        <v>207</v>
      </c>
      <c r="B68" s="164">
        <v>50000</v>
      </c>
      <c r="C68" s="165">
        <v>6</v>
      </c>
      <c r="D68" s="166">
        <f>66000+54000+180000+807900</f>
        <v>1107900</v>
      </c>
      <c r="E68" s="166">
        <f>$C68*E$64</f>
        <v>66000</v>
      </c>
      <c r="F68" s="5">
        <f>C68*F64</f>
        <v>54000</v>
      </c>
      <c r="G68" s="5">
        <f>C68*G64</f>
        <v>180000</v>
      </c>
      <c r="H68" s="166">
        <f>D68-E68-F68-G68</f>
        <v>807900</v>
      </c>
      <c r="I68" s="166">
        <f>SUM(E68:H68)</f>
        <v>1107900</v>
      </c>
    </row>
    <row r="69" spans="1:12" x14ac:dyDescent="0.45">
      <c r="A69" s="13"/>
      <c r="B69" s="101"/>
      <c r="C69" s="9">
        <f t="shared" ref="C69:I69" si="2">SUM(C65:C68)</f>
        <v>84</v>
      </c>
      <c r="D69" s="15">
        <f t="shared" si="2"/>
        <v>1717100</v>
      </c>
      <c r="E69" s="15">
        <f t="shared" si="2"/>
        <v>457000</v>
      </c>
      <c r="F69" s="15">
        <f t="shared" si="2"/>
        <v>204700</v>
      </c>
      <c r="G69" s="15">
        <f t="shared" si="2"/>
        <v>247500</v>
      </c>
      <c r="H69" s="15">
        <f t="shared" si="2"/>
        <v>807900</v>
      </c>
      <c r="I69" s="15">
        <f t="shared" si="2"/>
        <v>1717100</v>
      </c>
    </row>
    <row r="70" spans="1:12" x14ac:dyDescent="0.45">
      <c r="A70" s="13"/>
      <c r="B70" s="101"/>
      <c r="E70" s="101"/>
      <c r="F70" s="101"/>
      <c r="G70" s="101"/>
      <c r="H70" s="101"/>
      <c r="I70" s="101"/>
    </row>
    <row r="71" spans="1:12" x14ac:dyDescent="0.45">
      <c r="A71" s="102" t="s">
        <v>211</v>
      </c>
      <c r="B71" s="102"/>
      <c r="E71" s="101"/>
      <c r="F71" s="101"/>
      <c r="G71" s="101"/>
      <c r="H71" s="101"/>
      <c r="I71" s="101"/>
    </row>
    <row r="72" spans="1:12" x14ac:dyDescent="0.45">
      <c r="A72" s="13"/>
      <c r="B72" s="153"/>
      <c r="C72" s="162" t="s">
        <v>209</v>
      </c>
      <c r="D72" s="96" t="s">
        <v>210</v>
      </c>
      <c r="E72" s="162" t="s">
        <v>212</v>
      </c>
      <c r="F72" s="162" t="s">
        <v>213</v>
      </c>
      <c r="G72" s="101"/>
      <c r="H72" s="101"/>
      <c r="I72" s="101"/>
    </row>
    <row r="73" spans="1:12" x14ac:dyDescent="0.45">
      <c r="A73" s="13" t="s">
        <v>205</v>
      </c>
      <c r="B73" s="101">
        <f>B65</f>
        <v>11000</v>
      </c>
      <c r="C73" s="9">
        <f>C69</f>
        <v>84</v>
      </c>
      <c r="D73" s="158">
        <f>E69</f>
        <v>457000</v>
      </c>
      <c r="E73" s="167">
        <f>ExBA!E73*(1+PrBA!$L$4)</f>
        <v>147.70314214540443</v>
      </c>
      <c r="F73" s="19">
        <f>E73*C73</f>
        <v>12407.063940213971</v>
      </c>
      <c r="G73" s="101"/>
      <c r="H73" s="101"/>
      <c r="I73" s="101"/>
    </row>
    <row r="74" spans="1:12" x14ac:dyDescent="0.45">
      <c r="A74" s="13" t="s">
        <v>206</v>
      </c>
      <c r="B74" s="101">
        <f>B66</f>
        <v>9000</v>
      </c>
      <c r="C74" s="9"/>
      <c r="D74" s="158">
        <f>F69</f>
        <v>204700</v>
      </c>
      <c r="E74" s="167">
        <f>ExBA!E74*(1+PrBA!$L$4)</f>
        <v>11.9771451032254</v>
      </c>
      <c r="F74" s="19">
        <f>(E74*D74)/1000</f>
        <v>2451.7216026302394</v>
      </c>
      <c r="G74" s="101"/>
      <c r="H74" s="101"/>
      <c r="I74" s="101"/>
    </row>
    <row r="75" spans="1:12" x14ac:dyDescent="0.45">
      <c r="A75" s="13" t="s">
        <v>206</v>
      </c>
      <c r="B75" s="101">
        <f>B67</f>
        <v>30000</v>
      </c>
      <c r="C75" s="9"/>
      <c r="D75" s="158">
        <f>G69</f>
        <v>247500</v>
      </c>
      <c r="E75" s="167">
        <f>ExBA!E75*(1+PrBA!$L$4)</f>
        <v>11.246831377418973</v>
      </c>
      <c r="F75" s="19">
        <f>(E75*D75)/1000</f>
        <v>2783.5907659111958</v>
      </c>
      <c r="G75" s="101"/>
      <c r="H75" s="101"/>
      <c r="I75" s="101"/>
    </row>
    <row r="76" spans="1:12" x14ac:dyDescent="0.45">
      <c r="A76" s="13" t="s">
        <v>207</v>
      </c>
      <c r="B76" s="164">
        <f>B68</f>
        <v>50000</v>
      </c>
      <c r="C76" s="14"/>
      <c r="D76" s="166">
        <f>H69</f>
        <v>807900</v>
      </c>
      <c r="E76" s="167">
        <f>ExBA!E76*(1+PrBA!$L$4)</f>
        <v>10.505282055830907</v>
      </c>
      <c r="F76" s="148">
        <f>(E76*D76)/1000</f>
        <v>8487.2173729057904</v>
      </c>
      <c r="G76" s="101"/>
      <c r="H76" s="101"/>
      <c r="I76" s="101"/>
    </row>
    <row r="77" spans="1:12" x14ac:dyDescent="0.45">
      <c r="A77" s="13"/>
      <c r="B77" s="101" t="s">
        <v>111</v>
      </c>
      <c r="C77" s="9">
        <f>SUM(C73:C76)</f>
        <v>84</v>
      </c>
      <c r="D77" s="15">
        <f>SUM(D73:D76)</f>
        <v>1717100</v>
      </c>
      <c r="F77" s="19">
        <f>SUM(F73:F76)</f>
        <v>26129.593681661197</v>
      </c>
      <c r="G77" s="19"/>
      <c r="H77" s="101"/>
      <c r="I77" s="101"/>
    </row>
    <row r="78" spans="1:12" x14ac:dyDescent="0.45">
      <c r="A78" s="13"/>
      <c r="B78" s="101"/>
      <c r="C78" s="3"/>
      <c r="D78" s="15"/>
      <c r="F78" s="167"/>
      <c r="G78" s="101"/>
      <c r="H78" s="101"/>
      <c r="I78" s="101"/>
    </row>
    <row r="79" spans="1:12" ht="15.75" x14ac:dyDescent="0.5">
      <c r="A79" s="161" t="s">
        <v>216</v>
      </c>
    </row>
    <row r="80" spans="1:12" x14ac:dyDescent="0.45">
      <c r="E80" s="12" t="s">
        <v>205</v>
      </c>
      <c r="F80" s="13" t="s">
        <v>206</v>
      </c>
      <c r="G80" s="13" t="s">
        <v>206</v>
      </c>
      <c r="H80" s="13" t="s">
        <v>207</v>
      </c>
      <c r="K80" s="9"/>
      <c r="L80" s="1"/>
    </row>
    <row r="81" spans="1:17" x14ac:dyDescent="0.45">
      <c r="B81" s="153" t="s">
        <v>208</v>
      </c>
      <c r="C81" s="162" t="s">
        <v>209</v>
      </c>
      <c r="D81" s="96" t="s">
        <v>210</v>
      </c>
      <c r="E81" s="162">
        <f>B82</f>
        <v>16000</v>
      </c>
      <c r="F81" s="172">
        <f>B83</f>
        <v>4000</v>
      </c>
      <c r="G81" s="172">
        <f>B84</f>
        <v>30000</v>
      </c>
      <c r="H81" s="172">
        <f>B85</f>
        <v>50000</v>
      </c>
      <c r="I81" s="153" t="s">
        <v>111</v>
      </c>
      <c r="L81" s="1"/>
      <c r="Q81" s="1" t="s">
        <v>126</v>
      </c>
    </row>
    <row r="82" spans="1:17" x14ac:dyDescent="0.45">
      <c r="A82" s="13" t="s">
        <v>205</v>
      </c>
      <c r="B82" s="101">
        <v>16000</v>
      </c>
      <c r="C82" s="163">
        <v>135</v>
      </c>
      <c r="D82" s="158">
        <v>753600</v>
      </c>
      <c r="E82" s="173">
        <f>D82</f>
        <v>753600</v>
      </c>
      <c r="F82" s="6">
        <v>0</v>
      </c>
      <c r="G82" s="6">
        <v>0</v>
      </c>
      <c r="H82" s="173">
        <v>0</v>
      </c>
      <c r="I82" s="158">
        <f>SUM(E82:H82)</f>
        <v>753600</v>
      </c>
      <c r="K82" s="171"/>
      <c r="L82" s="1"/>
    </row>
    <row r="83" spans="1:17" x14ac:dyDescent="0.45">
      <c r="A83" s="13" t="s">
        <v>206</v>
      </c>
      <c r="B83" s="101">
        <v>4000</v>
      </c>
      <c r="C83" s="163">
        <v>26</v>
      </c>
      <c r="D83" s="158">
        <v>469800</v>
      </c>
      <c r="E83" s="173">
        <f>C83*E81</f>
        <v>416000</v>
      </c>
      <c r="F83" s="6">
        <f>D83-E83</f>
        <v>53800</v>
      </c>
      <c r="G83" s="6">
        <v>0</v>
      </c>
      <c r="H83" s="173">
        <v>0</v>
      </c>
      <c r="I83" s="158">
        <f>SUM(E83:H83)</f>
        <v>469800</v>
      </c>
      <c r="K83" s="171"/>
      <c r="L83" s="1"/>
    </row>
    <row r="84" spans="1:17" x14ac:dyDescent="0.45">
      <c r="A84" s="13" t="s">
        <v>206</v>
      </c>
      <c r="B84" s="101">
        <v>30000</v>
      </c>
      <c r="C84" s="163">
        <v>90</v>
      </c>
      <c r="D84" s="158">
        <v>2979900</v>
      </c>
      <c r="E84" s="173">
        <f>C84*E81</f>
        <v>1440000</v>
      </c>
      <c r="F84" s="6">
        <f>C84*F81</f>
        <v>360000</v>
      </c>
      <c r="G84" s="6">
        <f>D84-E84-F84</f>
        <v>1179900</v>
      </c>
      <c r="H84" s="173">
        <v>0</v>
      </c>
      <c r="I84" s="158">
        <f>SUM(E84:H84)</f>
        <v>2979900</v>
      </c>
      <c r="K84" s="171"/>
      <c r="L84" s="1"/>
    </row>
    <row r="85" spans="1:17" x14ac:dyDescent="0.45">
      <c r="A85" s="13" t="s">
        <v>207</v>
      </c>
      <c r="B85" s="164">
        <v>50000</v>
      </c>
      <c r="C85" s="165">
        <v>145</v>
      </c>
      <c r="D85" s="166">
        <v>35262800</v>
      </c>
      <c r="E85" s="174">
        <f>$C85*E$81</f>
        <v>2320000</v>
      </c>
      <c r="F85" s="5">
        <f>C85*F81</f>
        <v>580000</v>
      </c>
      <c r="G85" s="5">
        <f>C85*G81</f>
        <v>4350000</v>
      </c>
      <c r="H85" s="174">
        <f>D85-E85-F85-G85</f>
        <v>28012800</v>
      </c>
      <c r="I85" s="166">
        <f>SUM(E85:H85)</f>
        <v>35262800</v>
      </c>
      <c r="K85" s="12"/>
      <c r="L85" s="1"/>
    </row>
    <row r="86" spans="1:17" x14ac:dyDescent="0.45">
      <c r="A86" s="13"/>
      <c r="B86" s="101"/>
      <c r="C86" s="9">
        <f t="shared" ref="C86:I86" si="3">SUM(C82:C85)</f>
        <v>396</v>
      </c>
      <c r="D86" s="15">
        <f t="shared" si="3"/>
        <v>39466100</v>
      </c>
      <c r="E86" s="15">
        <f t="shared" si="3"/>
        <v>4929600</v>
      </c>
      <c r="F86" s="15">
        <f t="shared" si="3"/>
        <v>993800</v>
      </c>
      <c r="G86" s="15">
        <f t="shared" si="3"/>
        <v>5529900</v>
      </c>
      <c r="H86" s="15">
        <f t="shared" si="3"/>
        <v>28012800</v>
      </c>
      <c r="I86" s="15">
        <f t="shared" si="3"/>
        <v>39466100</v>
      </c>
    </row>
    <row r="87" spans="1:17" x14ac:dyDescent="0.45">
      <c r="A87" s="13"/>
      <c r="B87" s="101"/>
      <c r="E87" s="101"/>
      <c r="F87" s="101"/>
      <c r="G87" s="101"/>
      <c r="H87" s="101"/>
      <c r="I87" s="101"/>
    </row>
    <row r="88" spans="1:17" x14ac:dyDescent="0.45">
      <c r="A88" s="102" t="s">
        <v>211</v>
      </c>
      <c r="B88" s="102"/>
      <c r="E88" s="101"/>
      <c r="F88" s="101"/>
      <c r="G88" s="101"/>
      <c r="H88" s="101"/>
      <c r="I88" s="101"/>
    </row>
    <row r="89" spans="1:17" x14ac:dyDescent="0.45">
      <c r="A89" s="13"/>
      <c r="B89" s="153"/>
      <c r="C89" s="162" t="s">
        <v>209</v>
      </c>
      <c r="D89" s="96" t="s">
        <v>210</v>
      </c>
      <c r="E89" s="162" t="s">
        <v>212</v>
      </c>
      <c r="F89" s="162" t="s">
        <v>213</v>
      </c>
      <c r="G89" s="101"/>
      <c r="H89" s="101"/>
      <c r="I89" s="101"/>
    </row>
    <row r="90" spans="1:17" x14ac:dyDescent="0.45">
      <c r="A90" s="13" t="s">
        <v>205</v>
      </c>
      <c r="B90" s="101">
        <f>B82</f>
        <v>16000</v>
      </c>
      <c r="C90" s="9">
        <f>C86</f>
        <v>396</v>
      </c>
      <c r="D90" s="158">
        <f>E86</f>
        <v>4929600</v>
      </c>
      <c r="E90" s="167">
        <f>ExBA!E90*(1+PrBA!$L$4)</f>
        <v>207.56639646996814</v>
      </c>
      <c r="F90" s="19">
        <f>E90*C90</f>
        <v>82196.293002107384</v>
      </c>
      <c r="G90" s="101"/>
      <c r="H90" s="101"/>
      <c r="I90" s="101"/>
    </row>
    <row r="91" spans="1:17" x14ac:dyDescent="0.45">
      <c r="A91" s="13" t="s">
        <v>206</v>
      </c>
      <c r="B91" s="101"/>
      <c r="C91" s="9"/>
      <c r="D91" s="158">
        <f>F86</f>
        <v>993800</v>
      </c>
      <c r="E91" s="167">
        <f>ExBA!E91*(1+PrBA!$L$4)</f>
        <v>11.9771451032254</v>
      </c>
      <c r="F91" s="19">
        <f>(D91*E91)/1000</f>
        <v>11902.886803585403</v>
      </c>
      <c r="G91" s="101"/>
      <c r="H91" s="101"/>
      <c r="I91" s="101"/>
    </row>
    <row r="92" spans="1:17" x14ac:dyDescent="0.45">
      <c r="A92" s="13" t="s">
        <v>206</v>
      </c>
      <c r="B92" s="101"/>
      <c r="C92" s="9"/>
      <c r="D92" s="158">
        <f>G86</f>
        <v>5529900</v>
      </c>
      <c r="E92" s="167">
        <f>ExBA!E92*(1+PrBA!$L$4)</f>
        <v>11.246831377418973</v>
      </c>
      <c r="F92" s="19">
        <f>(D92*E92)/1000</f>
        <v>62193.852833989178</v>
      </c>
      <c r="G92" s="101"/>
      <c r="H92" s="101"/>
      <c r="I92" s="101"/>
    </row>
    <row r="93" spans="1:17" x14ac:dyDescent="0.45">
      <c r="A93" s="13" t="s">
        <v>207</v>
      </c>
      <c r="B93" s="164">
        <f>B85</f>
        <v>50000</v>
      </c>
      <c r="C93" s="14"/>
      <c r="D93" s="166">
        <f>H86</f>
        <v>28012800</v>
      </c>
      <c r="E93" s="167">
        <f>ExBA!E93*(1+PrBA!$L$4)</f>
        <v>10.505282055830907</v>
      </c>
      <c r="F93" s="148">
        <f>(D93*E93)/1000</f>
        <v>294282.36517358007</v>
      </c>
      <c r="G93" s="101"/>
      <c r="H93" s="101"/>
      <c r="I93" s="101"/>
    </row>
    <row r="94" spans="1:17" x14ac:dyDescent="0.45">
      <c r="A94" s="13"/>
      <c r="B94" s="101" t="s">
        <v>111</v>
      </c>
      <c r="C94" s="9">
        <f>SUM(C90:C93)</f>
        <v>396</v>
      </c>
      <c r="D94" s="15">
        <f>SUM(D90:D93)</f>
        <v>39466100</v>
      </c>
      <c r="F94" s="19">
        <f>SUM(F90:F93)</f>
        <v>450575.39781326201</v>
      </c>
      <c r="G94" s="19"/>
      <c r="H94" s="101"/>
      <c r="I94" s="170"/>
    </row>
    <row r="95" spans="1:17" x14ac:dyDescent="0.45">
      <c r="A95" s="13"/>
      <c r="B95" s="101"/>
      <c r="C95" s="3"/>
      <c r="D95" s="15"/>
      <c r="F95" s="167"/>
      <c r="G95" s="101"/>
      <c r="H95" s="101"/>
      <c r="I95" s="101"/>
    </row>
    <row r="96" spans="1:17" ht="15.75" x14ac:dyDescent="0.5">
      <c r="A96" s="161" t="s">
        <v>217</v>
      </c>
    </row>
    <row r="97" spans="1:17" x14ac:dyDescent="0.45">
      <c r="E97" s="12" t="s">
        <v>205</v>
      </c>
      <c r="F97" s="13" t="s">
        <v>206</v>
      </c>
      <c r="G97" s="13" t="s">
        <v>207</v>
      </c>
      <c r="K97" s="9"/>
      <c r="L97" s="1"/>
    </row>
    <row r="98" spans="1:17" x14ac:dyDescent="0.45">
      <c r="B98" s="153" t="s">
        <v>208</v>
      </c>
      <c r="C98" s="162" t="s">
        <v>209</v>
      </c>
      <c r="D98" s="96" t="s">
        <v>210</v>
      </c>
      <c r="E98" s="162">
        <f>B99</f>
        <v>26000</v>
      </c>
      <c r="F98" s="172">
        <f>B100</f>
        <v>24000</v>
      </c>
      <c r="G98" s="172">
        <f>B101</f>
        <v>50000</v>
      </c>
      <c r="H98" s="153" t="s">
        <v>111</v>
      </c>
      <c r="L98" s="1"/>
      <c r="Q98" s="1" t="s">
        <v>126</v>
      </c>
    </row>
    <row r="99" spans="1:17" x14ac:dyDescent="0.45">
      <c r="A99" s="13" t="s">
        <v>205</v>
      </c>
      <c r="B99" s="101">
        <v>26000</v>
      </c>
      <c r="C99" s="163">
        <v>24</v>
      </c>
      <c r="D99" s="158">
        <v>133100</v>
      </c>
      <c r="E99" s="173">
        <f>D99</f>
        <v>133100</v>
      </c>
      <c r="F99" s="6">
        <v>0</v>
      </c>
      <c r="G99" s="173">
        <v>0</v>
      </c>
      <c r="H99" s="158">
        <f>SUM(E99:G99)</f>
        <v>133100</v>
      </c>
      <c r="K99" s="171"/>
      <c r="L99" s="1"/>
    </row>
    <row r="100" spans="1:17" x14ac:dyDescent="0.45">
      <c r="A100" s="13" t="s">
        <v>206</v>
      </c>
      <c r="B100" s="101">
        <v>24000</v>
      </c>
      <c r="C100" s="163">
        <v>3</v>
      </c>
      <c r="D100" s="158">
        <v>115600</v>
      </c>
      <c r="E100" s="173">
        <f>E98*C100</f>
        <v>78000</v>
      </c>
      <c r="F100" s="6">
        <f>D100-E100</f>
        <v>37600</v>
      </c>
      <c r="G100" s="173">
        <v>0</v>
      </c>
      <c r="H100" s="158">
        <f>SUM(E100:G100)</f>
        <v>115600</v>
      </c>
      <c r="K100" s="171"/>
      <c r="L100" s="1"/>
    </row>
    <row r="101" spans="1:17" x14ac:dyDescent="0.45">
      <c r="A101" s="13" t="s">
        <v>207</v>
      </c>
      <c r="B101" s="164">
        <v>50000</v>
      </c>
      <c r="C101" s="165">
        <v>33</v>
      </c>
      <c r="D101" s="166">
        <v>4395600</v>
      </c>
      <c r="E101" s="174">
        <f>E98*C101</f>
        <v>858000</v>
      </c>
      <c r="F101" s="5">
        <f>C101*F98</f>
        <v>792000</v>
      </c>
      <c r="G101" s="174">
        <f>D101-E101-F101</f>
        <v>2745600</v>
      </c>
      <c r="H101" s="166">
        <f>SUM(E101:G101)</f>
        <v>4395600</v>
      </c>
      <c r="K101" s="12"/>
      <c r="L101" s="1"/>
    </row>
    <row r="102" spans="1:17" x14ac:dyDescent="0.45">
      <c r="A102" s="13"/>
      <c r="B102" s="101"/>
      <c r="C102" s="9">
        <f t="shared" ref="C102:H102" si="4">SUM(C99:C101)</f>
        <v>60</v>
      </c>
      <c r="D102" s="15">
        <f t="shared" si="4"/>
        <v>4644300</v>
      </c>
      <c r="E102" s="15">
        <f t="shared" si="4"/>
        <v>1069100</v>
      </c>
      <c r="F102" s="15">
        <f t="shared" si="4"/>
        <v>829600</v>
      </c>
      <c r="G102" s="15">
        <f t="shared" si="4"/>
        <v>2745600</v>
      </c>
      <c r="H102" s="15">
        <f t="shared" si="4"/>
        <v>4644300</v>
      </c>
    </row>
    <row r="103" spans="1:17" x14ac:dyDescent="0.45">
      <c r="A103" s="13"/>
      <c r="B103" s="101"/>
      <c r="E103" s="101"/>
      <c r="F103" s="101"/>
      <c r="G103" s="101"/>
      <c r="H103" s="101"/>
      <c r="I103" s="101"/>
    </row>
    <row r="104" spans="1:17" x14ac:dyDescent="0.45">
      <c r="A104" s="102" t="s">
        <v>211</v>
      </c>
      <c r="B104" s="102"/>
      <c r="E104" s="101"/>
      <c r="F104" s="101"/>
      <c r="G104" s="101"/>
      <c r="H104" s="101"/>
      <c r="I104" s="101"/>
    </row>
    <row r="105" spans="1:17" x14ac:dyDescent="0.45">
      <c r="A105" s="13"/>
      <c r="B105" s="153"/>
      <c r="C105" s="162" t="s">
        <v>209</v>
      </c>
      <c r="D105" s="96" t="s">
        <v>210</v>
      </c>
      <c r="E105" s="162" t="s">
        <v>212</v>
      </c>
      <c r="F105" s="162" t="s">
        <v>213</v>
      </c>
      <c r="G105" s="101"/>
      <c r="H105" s="101"/>
      <c r="I105" s="101"/>
    </row>
    <row r="106" spans="1:17" x14ac:dyDescent="0.45">
      <c r="A106" s="13" t="s">
        <v>205</v>
      </c>
      <c r="B106" s="101">
        <f>B99</f>
        <v>26000</v>
      </c>
      <c r="C106" s="9">
        <f>C102</f>
        <v>60</v>
      </c>
      <c r="D106" s="158">
        <f>E102</f>
        <v>1069100</v>
      </c>
      <c r="E106" s="167">
        <f>ExBA!E106*(1+PrBA!$L$4)</f>
        <v>322.89978716847537</v>
      </c>
      <c r="F106" s="19">
        <f>E106*C106</f>
        <v>19373.987230108523</v>
      </c>
      <c r="G106" s="101"/>
      <c r="H106" s="101"/>
      <c r="I106" s="101"/>
    </row>
    <row r="107" spans="1:17" x14ac:dyDescent="0.45">
      <c r="A107" s="13" t="s">
        <v>206</v>
      </c>
      <c r="B107" s="101">
        <f>B100</f>
        <v>24000</v>
      </c>
      <c r="C107" s="9"/>
      <c r="D107" s="158">
        <f>F102</f>
        <v>829600</v>
      </c>
      <c r="E107" s="167">
        <f>ExBA!E107*(1+PrBA!$L$4)</f>
        <v>11.246831377418973</v>
      </c>
      <c r="F107" s="19">
        <f>(D107*E107)/1000</f>
        <v>9330.3713107067797</v>
      </c>
      <c r="G107" s="101"/>
      <c r="H107" s="101"/>
      <c r="I107" s="101"/>
    </row>
    <row r="108" spans="1:17" x14ac:dyDescent="0.45">
      <c r="A108" s="13" t="s">
        <v>207</v>
      </c>
      <c r="B108" s="164">
        <f>B101</f>
        <v>50000</v>
      </c>
      <c r="C108" s="14"/>
      <c r="D108" s="166">
        <f>G102</f>
        <v>2745600</v>
      </c>
      <c r="E108" s="167">
        <f>ExBA!E108*(1+PrBA!$L$4)</f>
        <v>10.505282055830907</v>
      </c>
      <c r="F108" s="148">
        <f>(D108*E108)/1000</f>
        <v>28843.302412489338</v>
      </c>
      <c r="G108" s="101"/>
      <c r="H108" s="101"/>
      <c r="I108" s="101"/>
    </row>
    <row r="109" spans="1:17" x14ac:dyDescent="0.45">
      <c r="A109" s="13"/>
      <c r="B109" s="101" t="s">
        <v>111</v>
      </c>
      <c r="C109" s="9">
        <f>SUM(C106:C108)</f>
        <v>60</v>
      </c>
      <c r="D109" s="15">
        <f>SUM(D106:D108)</f>
        <v>4644300</v>
      </c>
      <c r="F109" s="19">
        <f>SUM(F106:F108)</f>
        <v>57547.660953304643</v>
      </c>
      <c r="G109" s="19"/>
      <c r="H109" s="101"/>
      <c r="I109" s="170"/>
    </row>
    <row r="110" spans="1:17" ht="13.9" customHeight="1" x14ac:dyDescent="0.45">
      <c r="A110" s="13"/>
      <c r="B110" s="101"/>
      <c r="C110" s="15"/>
      <c r="D110" s="15"/>
      <c r="E110" s="15"/>
      <c r="F110" s="15"/>
      <c r="G110" s="15"/>
      <c r="H110" s="15"/>
      <c r="I110" s="15"/>
      <c r="L110" s="15"/>
    </row>
    <row r="111" spans="1:17" ht="15.75" x14ac:dyDescent="0.5">
      <c r="A111" s="161" t="s">
        <v>218</v>
      </c>
    </row>
    <row r="112" spans="1:17" x14ac:dyDescent="0.45">
      <c r="E112" s="12" t="s">
        <v>205</v>
      </c>
      <c r="F112" s="13" t="s">
        <v>206</v>
      </c>
      <c r="G112" s="13" t="s">
        <v>207</v>
      </c>
      <c r="K112" s="9"/>
      <c r="L112" s="1"/>
    </row>
    <row r="113" spans="1:17" x14ac:dyDescent="0.45">
      <c r="B113" s="153" t="s">
        <v>208</v>
      </c>
      <c r="C113" s="162" t="s">
        <v>209</v>
      </c>
      <c r="D113" s="96" t="s">
        <v>210</v>
      </c>
      <c r="E113" s="162">
        <f>B114</f>
        <v>36000</v>
      </c>
      <c r="F113" s="172">
        <f>B115</f>
        <v>14000</v>
      </c>
      <c r="G113" s="172">
        <f>B116</f>
        <v>50000</v>
      </c>
      <c r="H113" s="153" t="s">
        <v>111</v>
      </c>
      <c r="L113" s="1"/>
      <c r="Q113" s="1" t="s">
        <v>126</v>
      </c>
    </row>
    <row r="114" spans="1:17" x14ac:dyDescent="0.45">
      <c r="A114" s="13" t="s">
        <v>205</v>
      </c>
      <c r="B114" s="101">
        <v>36000</v>
      </c>
      <c r="C114" s="163">
        <v>9</v>
      </c>
      <c r="D114" s="158">
        <v>68600</v>
      </c>
      <c r="E114" s="173">
        <f>D114</f>
        <v>68600</v>
      </c>
      <c r="F114" s="6">
        <v>0</v>
      </c>
      <c r="G114" s="173">
        <v>0</v>
      </c>
      <c r="H114" s="158">
        <f>SUM(E114:G114)</f>
        <v>68600</v>
      </c>
      <c r="K114" s="171"/>
      <c r="L114" s="1"/>
    </row>
    <row r="115" spans="1:17" x14ac:dyDescent="0.45">
      <c r="A115" s="13" t="s">
        <v>206</v>
      </c>
      <c r="B115" s="101">
        <v>14000</v>
      </c>
      <c r="C115" s="163">
        <v>1</v>
      </c>
      <c r="D115" s="158">
        <v>48800</v>
      </c>
      <c r="E115" s="173">
        <f>E113*C115</f>
        <v>36000</v>
      </c>
      <c r="F115" s="6">
        <f>D115-E115</f>
        <v>12800</v>
      </c>
      <c r="G115" s="173">
        <v>0</v>
      </c>
      <c r="H115" s="158">
        <f>SUM(E115:G115)</f>
        <v>48800</v>
      </c>
      <c r="K115" s="171"/>
      <c r="L115" s="1"/>
    </row>
    <row r="116" spans="1:17" x14ac:dyDescent="0.45">
      <c r="A116" s="13" t="s">
        <v>207</v>
      </c>
      <c r="B116" s="164">
        <v>50000</v>
      </c>
      <c r="C116" s="165">
        <v>38</v>
      </c>
      <c r="D116" s="166">
        <v>11606100</v>
      </c>
      <c r="E116" s="174">
        <f>E113*C116</f>
        <v>1368000</v>
      </c>
      <c r="F116" s="5">
        <f>C116*F113</f>
        <v>532000</v>
      </c>
      <c r="G116" s="174">
        <f>D116-E116-F116</f>
        <v>9706100</v>
      </c>
      <c r="H116" s="166">
        <f>SUM(E116:G116)</f>
        <v>11606100</v>
      </c>
      <c r="K116" s="12"/>
      <c r="L116" s="1"/>
    </row>
    <row r="117" spans="1:17" x14ac:dyDescent="0.45">
      <c r="A117" s="13"/>
      <c r="B117" s="101"/>
      <c r="C117" s="9">
        <f t="shared" ref="C117:H117" si="5">SUM(C114:C116)</f>
        <v>48</v>
      </c>
      <c r="D117" s="15">
        <f t="shared" si="5"/>
        <v>11723500</v>
      </c>
      <c r="E117" s="15">
        <f t="shared" si="5"/>
        <v>1472600</v>
      </c>
      <c r="F117" s="15">
        <f t="shared" si="5"/>
        <v>544800</v>
      </c>
      <c r="G117" s="15">
        <f t="shared" si="5"/>
        <v>9706100</v>
      </c>
      <c r="H117" s="15">
        <f t="shared" si="5"/>
        <v>11723500</v>
      </c>
    </row>
    <row r="118" spans="1:17" x14ac:dyDescent="0.45">
      <c r="A118" s="13"/>
      <c r="B118" s="101"/>
      <c r="E118" s="101"/>
      <c r="F118" s="101"/>
      <c r="G118" s="101"/>
      <c r="H118" s="101"/>
      <c r="I118" s="101"/>
    </row>
    <row r="119" spans="1:17" x14ac:dyDescent="0.45">
      <c r="A119" s="102" t="s">
        <v>211</v>
      </c>
      <c r="B119" s="102"/>
      <c r="E119" s="101"/>
      <c r="F119" s="101"/>
      <c r="G119" s="101"/>
      <c r="H119" s="101"/>
      <c r="I119" s="101"/>
    </row>
    <row r="120" spans="1:17" x14ac:dyDescent="0.45">
      <c r="A120" s="13"/>
      <c r="B120" s="153"/>
      <c r="C120" s="162" t="s">
        <v>209</v>
      </c>
      <c r="D120" s="96" t="s">
        <v>210</v>
      </c>
      <c r="E120" s="162" t="s">
        <v>212</v>
      </c>
      <c r="F120" s="162" t="s">
        <v>213</v>
      </c>
      <c r="G120" s="101"/>
      <c r="H120" s="101"/>
      <c r="I120" s="101"/>
    </row>
    <row r="121" spans="1:17" x14ac:dyDescent="0.45">
      <c r="A121" s="13" t="s">
        <v>205</v>
      </c>
      <c r="B121" s="101">
        <f>B114</f>
        <v>36000</v>
      </c>
      <c r="C121" s="9">
        <f>C117</f>
        <v>48</v>
      </c>
      <c r="D121" s="158">
        <f>E117</f>
        <v>1472600</v>
      </c>
      <c r="E121" s="167">
        <f>ExBA!E121*(1+PrBA!$L$4)</f>
        <v>435.34562975110185</v>
      </c>
      <c r="F121" s="19">
        <f>E121*C121</f>
        <v>20896.59022805289</v>
      </c>
      <c r="G121" s="101"/>
      <c r="H121" s="101"/>
      <c r="I121" s="101"/>
    </row>
    <row r="122" spans="1:17" x14ac:dyDescent="0.45">
      <c r="A122" s="13" t="s">
        <v>206</v>
      </c>
      <c r="B122" s="101">
        <f>B115</f>
        <v>14000</v>
      </c>
      <c r="C122" s="9"/>
      <c r="D122" s="158">
        <f>F117</f>
        <v>544800</v>
      </c>
      <c r="E122" s="167">
        <f>ExBA!E122*(1+PrBA!$L$4)</f>
        <v>11.246831377418973</v>
      </c>
      <c r="F122" s="19">
        <f>(D122*E122)/1000</f>
        <v>6127.2737344178568</v>
      </c>
      <c r="G122" s="101"/>
      <c r="H122" s="101"/>
      <c r="I122" s="101"/>
    </row>
    <row r="123" spans="1:17" x14ac:dyDescent="0.45">
      <c r="A123" s="13" t="s">
        <v>207</v>
      </c>
      <c r="B123" s="164">
        <f>B116</f>
        <v>50000</v>
      </c>
      <c r="C123" s="14"/>
      <c r="D123" s="166">
        <f>G117</f>
        <v>9706100</v>
      </c>
      <c r="E123" s="167">
        <f>ExBA!E123*(1+PrBA!$L$4)</f>
        <v>10.505282055830907</v>
      </c>
      <c r="F123" s="148">
        <f>(D123*E123)/1000</f>
        <v>101965.31816210038</v>
      </c>
      <c r="G123" s="101"/>
      <c r="H123" s="101"/>
      <c r="I123" s="101"/>
    </row>
    <row r="124" spans="1:17" x14ac:dyDescent="0.45">
      <c r="A124" s="13"/>
      <c r="B124" s="101" t="s">
        <v>111</v>
      </c>
      <c r="C124" s="9">
        <f>SUM(C121:C123)</f>
        <v>48</v>
      </c>
      <c r="D124" s="15">
        <f>SUM(D121:D123)</f>
        <v>11723500</v>
      </c>
      <c r="F124" s="19">
        <f>SUM(F121:F123)</f>
        <v>128989.18212457112</v>
      </c>
      <c r="G124" s="19"/>
      <c r="H124" s="101"/>
      <c r="I124" s="170"/>
    </row>
    <row r="126" spans="1:17" ht="15.75" x14ac:dyDescent="0.5">
      <c r="A126" s="161" t="s">
        <v>219</v>
      </c>
    </row>
    <row r="127" spans="1:17" x14ac:dyDescent="0.45">
      <c r="E127" s="12" t="s">
        <v>220</v>
      </c>
      <c r="I127" s="9"/>
      <c r="L127" s="1"/>
    </row>
    <row r="128" spans="1:17" x14ac:dyDescent="0.45">
      <c r="B128" s="153" t="s">
        <v>208</v>
      </c>
      <c r="C128" s="162" t="s">
        <v>209</v>
      </c>
      <c r="D128" s="96" t="s">
        <v>210</v>
      </c>
      <c r="E128" s="162">
        <f>B129</f>
        <v>0</v>
      </c>
      <c r="F128" s="153" t="s">
        <v>111</v>
      </c>
      <c r="L128" s="1"/>
      <c r="O128" s="1" t="s">
        <v>126</v>
      </c>
    </row>
    <row r="129" spans="1:15" x14ac:dyDescent="0.45">
      <c r="A129" s="13" t="s">
        <v>207</v>
      </c>
      <c r="B129" s="175">
        <v>0</v>
      </c>
      <c r="C129" s="176">
        <v>34</v>
      </c>
      <c r="D129" s="177">
        <v>14526300</v>
      </c>
      <c r="E129" s="178">
        <f>D129</f>
        <v>14526300</v>
      </c>
      <c r="F129" s="177">
        <f>SUM(E129:E129)</f>
        <v>14526300</v>
      </c>
      <c r="I129" s="171"/>
      <c r="L129" s="1"/>
    </row>
    <row r="130" spans="1:15" x14ac:dyDescent="0.45">
      <c r="A130" s="13"/>
      <c r="B130" s="101"/>
      <c r="C130" s="9">
        <f>SUM(C129:C129)</f>
        <v>34</v>
      </c>
      <c r="D130" s="15">
        <f>SUM(D129:D129)</f>
        <v>14526300</v>
      </c>
      <c r="E130" s="15">
        <f>SUM(E129:E129)</f>
        <v>14526300</v>
      </c>
      <c r="F130" s="15">
        <f>SUM(F129:F129)</f>
        <v>14526300</v>
      </c>
      <c r="J130" s="9"/>
      <c r="L130" s="1"/>
    </row>
    <row r="131" spans="1:15" x14ac:dyDescent="0.45">
      <c r="A131" s="13"/>
      <c r="B131" s="101"/>
      <c r="E131" s="101"/>
      <c r="F131" s="101"/>
      <c r="G131" s="101"/>
      <c r="H131" s="101"/>
      <c r="I131" s="101"/>
    </row>
    <row r="132" spans="1:15" x14ac:dyDescent="0.45">
      <c r="A132" s="102" t="s">
        <v>211</v>
      </c>
      <c r="B132" s="102"/>
      <c r="E132" s="101"/>
      <c r="F132" s="101"/>
      <c r="G132" s="101"/>
      <c r="H132" s="101"/>
      <c r="I132" s="101"/>
    </row>
    <row r="133" spans="1:15" x14ac:dyDescent="0.45">
      <c r="A133" s="13"/>
      <c r="B133" s="153"/>
      <c r="C133" s="162" t="s">
        <v>209</v>
      </c>
      <c r="D133" s="96" t="s">
        <v>210</v>
      </c>
      <c r="E133" s="162" t="s">
        <v>212</v>
      </c>
      <c r="F133" s="162" t="s">
        <v>213</v>
      </c>
      <c r="G133" s="101"/>
      <c r="H133" s="101"/>
      <c r="I133" s="101"/>
    </row>
    <row r="134" spans="1:15" x14ac:dyDescent="0.45">
      <c r="A134" s="13" t="s">
        <v>207</v>
      </c>
      <c r="B134" s="175">
        <f>B129</f>
        <v>0</v>
      </c>
      <c r="C134" s="180">
        <f>C130</f>
        <v>34</v>
      </c>
      <c r="D134" s="177">
        <f>E130</f>
        <v>14526300</v>
      </c>
      <c r="E134" s="181">
        <f>ExBA!E134*(1+PrBA!L4)</f>
        <v>7.7076187062032124</v>
      </c>
      <c r="F134" s="179">
        <f>(E134*D134)/1000</f>
        <v>111963.18161191973</v>
      </c>
      <c r="G134" s="101"/>
      <c r="H134" s="101"/>
      <c r="I134" s="101"/>
    </row>
    <row r="135" spans="1:15" x14ac:dyDescent="0.45">
      <c r="A135" s="13"/>
      <c r="B135" s="101" t="s">
        <v>111</v>
      </c>
      <c r="C135" s="9">
        <f>SUM(C134:C134)</f>
        <v>34</v>
      </c>
      <c r="D135" s="15">
        <f>SUM(D134:D134)</f>
        <v>14526300</v>
      </c>
      <c r="F135" s="19">
        <f>SUM(F134:F134)</f>
        <v>111963.18161191973</v>
      </c>
      <c r="G135" s="19"/>
      <c r="H135" s="101"/>
      <c r="I135" s="170"/>
    </row>
    <row r="137" spans="1:15" ht="15.75" x14ac:dyDescent="0.5">
      <c r="A137" s="161" t="s">
        <v>221</v>
      </c>
    </row>
    <row r="138" spans="1:15" x14ac:dyDescent="0.45">
      <c r="E138" s="12" t="s">
        <v>220</v>
      </c>
      <c r="I138" s="9"/>
      <c r="L138" s="1"/>
    </row>
    <row r="139" spans="1:15" x14ac:dyDescent="0.45">
      <c r="B139" s="153" t="s">
        <v>208</v>
      </c>
      <c r="C139" s="162" t="s">
        <v>209</v>
      </c>
      <c r="D139" s="96" t="s">
        <v>210</v>
      </c>
      <c r="E139" s="162">
        <f>B140</f>
        <v>0</v>
      </c>
      <c r="F139" s="153" t="s">
        <v>111</v>
      </c>
      <c r="L139" s="1"/>
      <c r="O139" s="1" t="s">
        <v>126</v>
      </c>
    </row>
    <row r="140" spans="1:15" x14ac:dyDescent="0.45">
      <c r="A140" s="13" t="s">
        <v>207</v>
      </c>
      <c r="B140" s="175">
        <v>0</v>
      </c>
      <c r="C140" s="176">
        <v>12</v>
      </c>
      <c r="D140" s="177">
        <v>6607600</v>
      </c>
      <c r="E140" s="178">
        <f>D140</f>
        <v>6607600</v>
      </c>
      <c r="F140" s="177">
        <f>SUM(E140:E140)</f>
        <v>6607600</v>
      </c>
      <c r="I140" s="171"/>
      <c r="L140" s="1"/>
    </row>
    <row r="141" spans="1:15" x14ac:dyDescent="0.45">
      <c r="A141" s="13"/>
      <c r="B141" s="101"/>
      <c r="C141" s="9">
        <f>SUM(C140:C140)</f>
        <v>12</v>
      </c>
      <c r="D141" s="15">
        <f>SUM(D140:D140)</f>
        <v>6607600</v>
      </c>
      <c r="E141" s="15">
        <f>SUM(E140:E140)</f>
        <v>6607600</v>
      </c>
      <c r="F141" s="15">
        <f>SUM(F140:F140)</f>
        <v>6607600</v>
      </c>
      <c r="J141" s="9"/>
      <c r="L141" s="1"/>
    </row>
    <row r="142" spans="1:15" x14ac:dyDescent="0.45">
      <c r="A142" s="13"/>
      <c r="B142" s="101"/>
      <c r="E142" s="101"/>
      <c r="F142" s="101"/>
      <c r="G142" s="101"/>
      <c r="H142" s="101"/>
      <c r="I142" s="101"/>
    </row>
    <row r="143" spans="1:15" x14ac:dyDescent="0.45">
      <c r="A143" s="102" t="s">
        <v>211</v>
      </c>
      <c r="B143" s="102"/>
      <c r="E143" s="101"/>
      <c r="F143" s="101"/>
      <c r="G143" s="101"/>
      <c r="H143" s="101"/>
      <c r="I143" s="101"/>
    </row>
    <row r="144" spans="1:15" x14ac:dyDescent="0.45">
      <c r="A144" s="13"/>
      <c r="B144" s="153"/>
      <c r="C144" s="162" t="s">
        <v>209</v>
      </c>
      <c r="D144" s="96" t="s">
        <v>210</v>
      </c>
      <c r="E144" s="162" t="s">
        <v>212</v>
      </c>
      <c r="F144" s="162" t="s">
        <v>213</v>
      </c>
      <c r="G144" s="101"/>
      <c r="H144" s="101"/>
      <c r="I144" s="101"/>
    </row>
    <row r="145" spans="1:9" x14ac:dyDescent="0.45">
      <c r="A145" s="13" t="s">
        <v>207</v>
      </c>
      <c r="B145" s="175">
        <f>B140</f>
        <v>0</v>
      </c>
      <c r="C145" s="180">
        <f>C141</f>
        <v>12</v>
      </c>
      <c r="D145" s="177">
        <f>E141</f>
        <v>6607600</v>
      </c>
      <c r="E145" s="181">
        <f>E134</f>
        <v>7.7076187062032124</v>
      </c>
      <c r="F145" s="179">
        <f>(E145*D145)/1000</f>
        <v>50928.861363108343</v>
      </c>
      <c r="G145" s="101"/>
      <c r="H145" s="101"/>
      <c r="I145" s="101"/>
    </row>
    <row r="146" spans="1:9" x14ac:dyDescent="0.45">
      <c r="A146" s="13"/>
      <c r="B146" s="101" t="s">
        <v>111</v>
      </c>
      <c r="C146" s="9">
        <f>SUM(C145:C145)</f>
        <v>12</v>
      </c>
      <c r="D146" s="15">
        <f>SUM(D145:D145)</f>
        <v>6607600</v>
      </c>
      <c r="F146" s="19">
        <f>SUM(F145:F145)</f>
        <v>50928.861363108343</v>
      </c>
      <c r="G146" s="19"/>
      <c r="H146" s="101"/>
      <c r="I146" s="170"/>
    </row>
  </sheetData>
  <mergeCells count="1">
    <mergeCell ref="A2:I2"/>
  </mergeCells>
  <pageMargins left="0.7" right="0.7" top="0.75" bottom="0.75" header="0.3" footer="0.3"/>
  <pageSetup scale="90" fitToHeight="0" orientation="landscape" horizontalDpi="4294967293" r:id="rId1"/>
  <ignoredErrors>
    <ignoredError sqref="G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9587-E3F0-4993-80F8-196784E8B9B1}">
  <dimension ref="A1:O26"/>
  <sheetViews>
    <sheetView workbookViewId="0">
      <selection sqref="A1:G26"/>
    </sheetView>
  </sheetViews>
  <sheetFormatPr defaultRowHeight="15" x14ac:dyDescent="0.4"/>
  <cols>
    <col min="8" max="8" width="12.44140625" bestFit="1" customWidth="1"/>
  </cols>
  <sheetData>
    <row r="1" spans="1:10" s="6" customFormat="1" ht="18" x14ac:dyDescent="0.45">
      <c r="A1" s="296" t="s">
        <v>319</v>
      </c>
      <c r="B1" s="296"/>
      <c r="C1" s="296"/>
      <c r="D1" s="296"/>
      <c r="E1" s="296"/>
      <c r="F1" s="296"/>
      <c r="G1" s="296"/>
      <c r="H1" s="32"/>
      <c r="I1" s="44"/>
      <c r="J1" s="32"/>
    </row>
    <row r="2" spans="1:10" s="6" customFormat="1" ht="18" x14ac:dyDescent="0.45">
      <c r="A2" s="296" t="s">
        <v>318</v>
      </c>
      <c r="B2" s="296"/>
      <c r="C2" s="296"/>
      <c r="D2" s="296"/>
      <c r="E2" s="296"/>
      <c r="F2" s="296"/>
      <c r="G2" s="296"/>
      <c r="H2" s="32"/>
      <c r="I2" s="44"/>
      <c r="J2" s="32"/>
    </row>
    <row r="3" spans="1:10" s="6" customFormat="1" ht="14.25" x14ac:dyDescent="0.45">
      <c r="A3" s="40" t="s">
        <v>34</v>
      </c>
      <c r="B3" s="32"/>
      <c r="C3" s="32"/>
      <c r="D3" s="45"/>
      <c r="E3" s="32"/>
      <c r="F3" s="41"/>
      <c r="G3" s="6">
        <f>SAO!G35</f>
        <v>4703671.4332590569</v>
      </c>
      <c r="H3" s="32"/>
      <c r="I3" s="32"/>
      <c r="J3" s="32"/>
    </row>
    <row r="4" spans="1:10" s="6" customFormat="1" ht="14.25" x14ac:dyDescent="0.45">
      <c r="A4" s="32" t="s">
        <v>35</v>
      </c>
      <c r="B4" s="32"/>
      <c r="C4" s="32" t="s">
        <v>36</v>
      </c>
      <c r="D4" s="45"/>
      <c r="E4" s="32"/>
      <c r="F4" s="41" t="s">
        <v>269</v>
      </c>
      <c r="G4" s="6">
        <f>'Debt Service'!I17</f>
        <v>146120.83333333334</v>
      </c>
      <c r="H4" s="32"/>
      <c r="I4" s="32"/>
      <c r="J4" s="32"/>
    </row>
    <row r="5" spans="1:10" s="6" customFormat="1" ht="16.5" x14ac:dyDescent="0.75">
      <c r="A5" s="32"/>
      <c r="B5" s="32"/>
      <c r="C5" s="32" t="s">
        <v>37</v>
      </c>
      <c r="D5" s="45"/>
      <c r="E5" s="32"/>
      <c r="F5" s="41" t="s">
        <v>269</v>
      </c>
      <c r="G5" s="17">
        <f>'Debt Service'!I19</f>
        <v>29224.166666666672</v>
      </c>
      <c r="H5" s="32"/>
      <c r="I5" s="32"/>
      <c r="J5" s="32"/>
    </row>
    <row r="6" spans="1:10" s="6" customFormat="1" ht="14.25" x14ac:dyDescent="0.45">
      <c r="A6" s="40" t="s">
        <v>38</v>
      </c>
      <c r="B6" s="32"/>
      <c r="C6" s="32"/>
      <c r="D6" s="45"/>
      <c r="E6" s="32"/>
      <c r="F6" s="41"/>
      <c r="G6" s="6">
        <f>G3+G4+G5</f>
        <v>4879016.4332590569</v>
      </c>
      <c r="H6" s="32"/>
      <c r="I6" s="32"/>
      <c r="J6" s="32"/>
    </row>
    <row r="7" spans="1:10" s="6" customFormat="1" ht="14.25" x14ac:dyDescent="0.45">
      <c r="A7" s="32" t="s">
        <v>39</v>
      </c>
      <c r="B7" s="32"/>
      <c r="C7" s="32" t="s">
        <v>40</v>
      </c>
      <c r="D7" s="45"/>
      <c r="E7" s="32"/>
      <c r="F7" s="41"/>
      <c r="G7" s="6">
        <f>SUM(SAO!G7:G9)</f>
        <v>145599</v>
      </c>
      <c r="H7" s="32"/>
      <c r="I7" s="32"/>
      <c r="J7" s="32"/>
    </row>
    <row r="8" spans="1:10" s="6" customFormat="1" ht="14.25" x14ac:dyDescent="0.45">
      <c r="A8" s="32"/>
      <c r="B8" s="32"/>
      <c r="C8" s="32" t="s">
        <v>41</v>
      </c>
      <c r="D8" s="45"/>
      <c r="E8" s="32"/>
      <c r="F8" s="41"/>
      <c r="G8" s="20">
        <v>8131</v>
      </c>
      <c r="H8" s="32"/>
      <c r="I8" s="32"/>
      <c r="J8" s="32"/>
    </row>
    <row r="9" spans="1:10" s="6" customFormat="1" ht="14.25" x14ac:dyDescent="0.45">
      <c r="A9" s="40" t="s">
        <v>42</v>
      </c>
      <c r="B9" s="32"/>
      <c r="C9" s="32"/>
      <c r="D9" s="45"/>
      <c r="E9" s="32"/>
      <c r="F9" s="41"/>
      <c r="G9" s="6">
        <f>G6-G7-G8</f>
        <v>4725286.4332590569</v>
      </c>
      <c r="H9" s="32"/>
      <c r="I9" s="32"/>
      <c r="J9" s="32"/>
    </row>
    <row r="10" spans="1:10" s="6" customFormat="1" ht="16.5" x14ac:dyDescent="0.75">
      <c r="A10" s="32" t="s">
        <v>39</v>
      </c>
      <c r="B10" s="32"/>
      <c r="C10" s="32" t="s">
        <v>43</v>
      </c>
      <c r="D10" s="45"/>
      <c r="E10" s="32"/>
      <c r="F10" s="41"/>
      <c r="G10" s="17">
        <f>SAO!G6</f>
        <v>4455006.4129999997</v>
      </c>
      <c r="H10" s="32"/>
      <c r="I10" s="32"/>
      <c r="J10" s="32"/>
    </row>
    <row r="11" spans="1:10" s="6" customFormat="1" ht="14.25" x14ac:dyDescent="0.45">
      <c r="A11" s="40" t="s">
        <v>44</v>
      </c>
      <c r="B11" s="32"/>
      <c r="C11" s="32"/>
      <c r="D11" s="45"/>
      <c r="E11" s="32"/>
      <c r="F11" s="41"/>
      <c r="G11" s="32">
        <f>G9-G10</f>
        <v>270280.02025905717</v>
      </c>
      <c r="H11" s="32"/>
      <c r="I11" s="32"/>
      <c r="J11" s="32"/>
    </row>
    <row r="12" spans="1:10" s="6" customFormat="1" ht="14.25" x14ac:dyDescent="0.45">
      <c r="A12" s="40" t="s">
        <v>45</v>
      </c>
      <c r="B12" s="32"/>
      <c r="C12" s="32"/>
      <c r="D12" s="45"/>
      <c r="E12" s="32"/>
      <c r="F12" s="41"/>
      <c r="G12" s="46">
        <f>IF(G11&lt;0,0,G11/G10)</f>
        <v>6.0668828549912387E-2</v>
      </c>
      <c r="H12" s="32"/>
      <c r="I12" s="32"/>
      <c r="J12" s="32"/>
    </row>
    <row r="15" spans="1:10" ht="18" x14ac:dyDescent="0.4">
      <c r="A15" s="296" t="s">
        <v>319</v>
      </c>
      <c r="B15" s="296"/>
      <c r="C15" s="296"/>
      <c r="D15" s="296"/>
      <c r="E15" s="296"/>
      <c r="F15" s="296"/>
      <c r="G15" s="296"/>
    </row>
    <row r="16" spans="1:10" ht="18" x14ac:dyDescent="0.4">
      <c r="A16" s="296" t="s">
        <v>320</v>
      </c>
      <c r="B16" s="296"/>
      <c r="C16" s="296"/>
      <c r="D16" s="296"/>
      <c r="E16" s="296"/>
      <c r="F16" s="296"/>
      <c r="G16" s="296"/>
    </row>
    <row r="17" spans="1:15" ht="15.4" x14ac:dyDescent="0.45">
      <c r="A17" s="40" t="s">
        <v>34</v>
      </c>
      <c r="B17" s="32"/>
      <c r="C17" s="32"/>
      <c r="D17" s="45"/>
      <c r="E17" s="32"/>
      <c r="F17" s="41"/>
      <c r="G17" s="6">
        <f>SAO!G35</f>
        <v>4703671.4332590569</v>
      </c>
    </row>
    <row r="18" spans="1:15" ht="15.4" x14ac:dyDescent="0.45">
      <c r="A18" s="32" t="s">
        <v>35</v>
      </c>
      <c r="B18" s="32"/>
      <c r="C18" s="32" t="s">
        <v>322</v>
      </c>
      <c r="D18" s="45"/>
      <c r="E18" s="32"/>
      <c r="F18" s="41" t="s">
        <v>269</v>
      </c>
      <c r="G18" s="6">
        <f>(G17/0.86)-G17</f>
        <v>765713.9542514747</v>
      </c>
    </row>
    <row r="19" spans="1:15" ht="17.649999999999999" x14ac:dyDescent="0.75">
      <c r="A19" s="32"/>
      <c r="B19" s="32"/>
      <c r="C19" s="32" t="s">
        <v>321</v>
      </c>
      <c r="D19" s="45"/>
      <c r="E19" s="32"/>
      <c r="F19" s="41" t="s">
        <v>269</v>
      </c>
      <c r="G19" s="17">
        <f>(+'Debt Service'!D12+'Debt Service'!F12+'Debt Service'!H12)/3</f>
        <v>12787.5</v>
      </c>
    </row>
    <row r="20" spans="1:15" ht="15.4" x14ac:dyDescent="0.45">
      <c r="A20" s="40" t="s">
        <v>38</v>
      </c>
      <c r="B20" s="32"/>
      <c r="C20" s="32"/>
      <c r="D20" s="45"/>
      <c r="E20" s="32"/>
      <c r="F20" s="41"/>
      <c r="G20" s="6">
        <f>G17+G18+G19</f>
        <v>5482172.8875105316</v>
      </c>
      <c r="H20" s="291"/>
    </row>
    <row r="21" spans="1:15" ht="15.4" x14ac:dyDescent="0.45">
      <c r="A21" s="32" t="s">
        <v>39</v>
      </c>
      <c r="B21" s="32"/>
      <c r="C21" s="32" t="s">
        <v>40</v>
      </c>
      <c r="D21" s="45"/>
      <c r="E21" s="32"/>
      <c r="F21" s="41"/>
      <c r="G21" s="6">
        <f>SUM(SAO!G21:G23)</f>
        <v>468576.76140352426</v>
      </c>
    </row>
    <row r="22" spans="1:15" ht="15.4" x14ac:dyDescent="0.45">
      <c r="A22" s="32"/>
      <c r="B22" s="32"/>
      <c r="C22" s="32" t="s">
        <v>41</v>
      </c>
      <c r="D22" s="45"/>
      <c r="E22" s="32"/>
      <c r="F22" s="41"/>
      <c r="G22" s="20">
        <v>8131</v>
      </c>
      <c r="O22" t="s">
        <v>83</v>
      </c>
    </row>
    <row r="23" spans="1:15" ht="15.4" x14ac:dyDescent="0.45">
      <c r="A23" s="40" t="s">
        <v>42</v>
      </c>
      <c r="B23" s="32"/>
      <c r="C23" s="32"/>
      <c r="D23" s="45"/>
      <c r="E23" s="32"/>
      <c r="F23" s="41"/>
      <c r="G23" s="6">
        <f>G20-G21-G22</f>
        <v>5005465.1261070073</v>
      </c>
    </row>
    <row r="24" spans="1:15" ht="17.649999999999999" x14ac:dyDescent="0.75">
      <c r="A24" s="32" t="s">
        <v>39</v>
      </c>
      <c r="B24" s="32"/>
      <c r="C24" s="32" t="s">
        <v>43</v>
      </c>
      <c r="D24" s="45"/>
      <c r="E24" s="32"/>
      <c r="F24" s="41"/>
      <c r="G24" s="17">
        <f>SAO!G6</f>
        <v>4455006.4129999997</v>
      </c>
    </row>
    <row r="25" spans="1:15" ht="15.4" x14ac:dyDescent="0.45">
      <c r="A25" s="40" t="s">
        <v>44</v>
      </c>
      <c r="B25" s="32"/>
      <c r="C25" s="32"/>
      <c r="D25" s="45"/>
      <c r="E25" s="32"/>
      <c r="F25" s="41"/>
      <c r="G25" s="32">
        <f>G23-G24</f>
        <v>550458.71310700756</v>
      </c>
    </row>
    <row r="26" spans="1:15" ht="15.4" x14ac:dyDescent="0.45">
      <c r="A26" s="40" t="s">
        <v>45</v>
      </c>
      <c r="B26" s="32"/>
      <c r="C26" s="32"/>
      <c r="D26" s="45"/>
      <c r="E26" s="32"/>
      <c r="F26" s="41"/>
      <c r="G26" s="46">
        <f>IF(G25&lt;0,0,G25/G24)</f>
        <v>0.12355957816373352</v>
      </c>
    </row>
  </sheetData>
  <mergeCells count="4">
    <mergeCell ref="A1:G1"/>
    <mergeCell ref="A2:G2"/>
    <mergeCell ref="A15:G15"/>
    <mergeCell ref="A16:G16"/>
  </mergeCells>
  <printOptions horizontalCentered="1" vertic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A6B1-D79C-4BB1-960A-74E3BE1BFCED}">
  <sheetPr>
    <pageSetUpPr fitToPage="1"/>
  </sheetPr>
  <dimension ref="A1:N47"/>
  <sheetViews>
    <sheetView tabSelected="1" topLeftCell="A9" workbookViewId="0">
      <selection activeCell="B1" sqref="B1:N47"/>
    </sheetView>
  </sheetViews>
  <sheetFormatPr defaultRowHeight="15.4" x14ac:dyDescent="0.45"/>
  <cols>
    <col min="1" max="1" width="5.5546875" style="285" customWidth="1"/>
    <col min="2" max="2" width="2" customWidth="1"/>
    <col min="3" max="3" width="2.21875" bestFit="1" customWidth="1"/>
    <col min="4" max="4" width="1.77734375" customWidth="1"/>
    <col min="5" max="5" width="27.44140625" customWidth="1"/>
    <col min="6" max="6" width="8.33203125" customWidth="1"/>
    <col min="7" max="7" width="10.6640625" customWidth="1"/>
    <col min="8" max="8" width="6.109375" customWidth="1"/>
    <col min="9" max="9" width="9.33203125" customWidth="1"/>
    <col min="10" max="10" width="6.109375" customWidth="1"/>
    <col min="11" max="11" width="9.33203125" customWidth="1"/>
    <col min="12" max="12" width="10.6640625" customWidth="1"/>
    <col min="13" max="13" width="1.88671875" customWidth="1"/>
    <col min="14" max="14" width="2.44140625" customWidth="1"/>
  </cols>
  <sheetData>
    <row r="1" spans="1:14" x14ac:dyDescent="0.45">
      <c r="B1" s="1"/>
      <c r="C1" s="1"/>
      <c r="D1" s="3"/>
      <c r="E1" s="3"/>
      <c r="F1" s="3"/>
      <c r="G1" s="247"/>
      <c r="H1" s="248"/>
      <c r="I1" s="10"/>
      <c r="J1" s="248"/>
      <c r="K1" s="10"/>
      <c r="L1" s="3"/>
      <c r="M1" s="3"/>
      <c r="N1" s="3"/>
    </row>
    <row r="2" spans="1:14" x14ac:dyDescent="0.45">
      <c r="B2" s="1"/>
      <c r="C2" s="249"/>
      <c r="D2" s="250"/>
      <c r="E2" s="250"/>
      <c r="F2" s="250"/>
      <c r="G2" s="251"/>
      <c r="H2" s="252"/>
      <c r="I2" s="253"/>
      <c r="J2" s="252"/>
      <c r="K2" s="253"/>
      <c r="L2" s="250"/>
      <c r="M2" s="254"/>
      <c r="N2" s="255"/>
    </row>
    <row r="3" spans="1:14" ht="18" x14ac:dyDescent="0.55000000000000004">
      <c r="B3" s="1"/>
      <c r="C3" s="184"/>
      <c r="D3" s="297" t="s">
        <v>115</v>
      </c>
      <c r="E3" s="297"/>
      <c r="F3" s="297"/>
      <c r="G3" s="297"/>
      <c r="H3" s="297"/>
      <c r="I3" s="297"/>
      <c r="J3" s="297"/>
      <c r="K3" s="297"/>
      <c r="L3" s="297"/>
      <c r="M3" s="256"/>
      <c r="N3" s="255"/>
    </row>
    <row r="4" spans="1:14" ht="18" x14ac:dyDescent="0.55000000000000004">
      <c r="B4" s="1"/>
      <c r="C4" s="184"/>
      <c r="D4" s="298" t="s">
        <v>275</v>
      </c>
      <c r="E4" s="298"/>
      <c r="F4" s="298"/>
      <c r="G4" s="298"/>
      <c r="H4" s="298"/>
      <c r="I4" s="298"/>
      <c r="J4" s="298"/>
      <c r="K4" s="298"/>
      <c r="L4" s="298"/>
      <c r="M4" s="256"/>
      <c r="N4" s="255"/>
    </row>
    <row r="5" spans="1:14" ht="15.75" x14ac:dyDescent="0.45">
      <c r="B5" s="1"/>
      <c r="C5" s="184"/>
      <c r="D5" s="299" t="s">
        <v>1</v>
      </c>
      <c r="E5" s="299"/>
      <c r="F5" s="299"/>
      <c r="G5" s="299"/>
      <c r="H5" s="299"/>
      <c r="I5" s="299"/>
      <c r="J5" s="299"/>
      <c r="K5" s="299"/>
      <c r="L5" s="299"/>
      <c r="M5" s="256"/>
      <c r="N5" s="255"/>
    </row>
    <row r="6" spans="1:14" x14ac:dyDescent="0.45">
      <c r="B6" s="1"/>
      <c r="C6" s="184"/>
      <c r="D6" s="3"/>
      <c r="E6" s="3"/>
      <c r="F6" s="3"/>
      <c r="G6" s="247"/>
      <c r="H6" s="257"/>
      <c r="I6" s="10"/>
      <c r="J6" s="257"/>
      <c r="K6" s="10"/>
      <c r="L6" s="258" t="s">
        <v>276</v>
      </c>
      <c r="M6" s="256"/>
      <c r="N6" s="255"/>
    </row>
    <row r="7" spans="1:14" x14ac:dyDescent="0.45">
      <c r="B7" s="1"/>
      <c r="C7" s="184"/>
      <c r="D7" s="259"/>
      <c r="E7" s="259"/>
      <c r="F7" s="259" t="s">
        <v>277</v>
      </c>
      <c r="G7" s="260" t="s">
        <v>278</v>
      </c>
      <c r="H7" s="300" t="s">
        <v>279</v>
      </c>
      <c r="I7" s="300"/>
      <c r="J7" s="300" t="s">
        <v>4</v>
      </c>
      <c r="K7" s="300"/>
      <c r="L7" s="258" t="s">
        <v>280</v>
      </c>
      <c r="M7" s="256"/>
      <c r="N7" s="255"/>
    </row>
    <row r="8" spans="1:14" ht="17.649999999999999" x14ac:dyDescent="0.75">
      <c r="B8" s="1"/>
      <c r="C8" s="184"/>
      <c r="D8" s="258"/>
      <c r="E8" s="262" t="s">
        <v>281</v>
      </c>
      <c r="F8" s="258" t="s">
        <v>282</v>
      </c>
      <c r="G8" s="263" t="s">
        <v>283</v>
      </c>
      <c r="H8" s="261" t="s">
        <v>284</v>
      </c>
      <c r="I8" s="258" t="s">
        <v>285</v>
      </c>
      <c r="J8" s="261" t="s">
        <v>284</v>
      </c>
      <c r="K8" s="258" t="s">
        <v>285</v>
      </c>
      <c r="L8" s="258" t="s">
        <v>5</v>
      </c>
      <c r="M8" s="256"/>
      <c r="N8" s="255"/>
    </row>
    <row r="9" spans="1:14" x14ac:dyDescent="0.45">
      <c r="B9" s="1"/>
      <c r="C9" s="184"/>
      <c r="D9" s="264" t="s">
        <v>286</v>
      </c>
      <c r="E9" s="3"/>
      <c r="F9" s="265"/>
      <c r="G9" s="247"/>
      <c r="H9" s="257"/>
      <c r="I9" s="266"/>
      <c r="J9" s="257"/>
      <c r="K9" s="266"/>
      <c r="L9" s="2"/>
      <c r="M9" s="256"/>
      <c r="N9" s="255"/>
    </row>
    <row r="10" spans="1:14" x14ac:dyDescent="0.45">
      <c r="A10" s="285">
        <v>1</v>
      </c>
      <c r="B10" s="1"/>
      <c r="C10" s="184"/>
      <c r="D10" s="264"/>
      <c r="E10" s="3" t="s">
        <v>287</v>
      </c>
      <c r="F10" s="265" t="s">
        <v>289</v>
      </c>
      <c r="G10" s="267">
        <f>'[1]Table 1'!$D$27</f>
        <v>307687.09000000008</v>
      </c>
      <c r="H10" s="265" t="s">
        <v>289</v>
      </c>
      <c r="I10" s="103">
        <f>'[1]Table 1'!$E$27</f>
        <v>11028.079999999998</v>
      </c>
      <c r="J10" s="257">
        <v>37.5</v>
      </c>
      <c r="K10" s="103">
        <f>G10/J10</f>
        <v>8204.9890666666688</v>
      </c>
      <c r="L10" s="15">
        <f>K10-I10</f>
        <v>-2823.0909333333293</v>
      </c>
      <c r="M10" s="256"/>
      <c r="N10" s="255"/>
    </row>
    <row r="11" spans="1:14" x14ac:dyDescent="0.45">
      <c r="A11" s="285">
        <v>2</v>
      </c>
      <c r="B11" s="1"/>
      <c r="C11" s="184"/>
      <c r="D11" s="264"/>
      <c r="E11" s="3" t="s">
        <v>288</v>
      </c>
      <c r="F11" s="265" t="s">
        <v>289</v>
      </c>
      <c r="G11" s="284">
        <f>'[1]Table 1'!$D$40</f>
        <v>69372.75</v>
      </c>
      <c r="H11" s="224" t="s">
        <v>290</v>
      </c>
      <c r="I11" s="103">
        <f>'[1]Table 1'!$E$40</f>
        <v>3304.15</v>
      </c>
      <c r="J11" s="257">
        <v>10</v>
      </c>
      <c r="K11" s="103">
        <f>G11/J11</f>
        <v>6937.2749999999996</v>
      </c>
      <c r="L11" s="15">
        <f>K11-I11</f>
        <v>3633.1249999999995</v>
      </c>
      <c r="M11" s="256"/>
      <c r="N11" s="255"/>
    </row>
    <row r="12" spans="1:14" x14ac:dyDescent="0.45">
      <c r="A12" s="285">
        <v>3</v>
      </c>
      <c r="B12" s="1"/>
      <c r="C12" s="184"/>
      <c r="D12" s="3"/>
      <c r="E12" s="3" t="s">
        <v>291</v>
      </c>
      <c r="F12" s="265"/>
      <c r="G12" s="267"/>
      <c r="H12" s="224"/>
      <c r="I12" s="103"/>
      <c r="J12" s="257">
        <v>22.5</v>
      </c>
      <c r="K12" s="103">
        <f>G12/J12</f>
        <v>0</v>
      </c>
      <c r="L12" s="15">
        <f>K12-I12</f>
        <v>0</v>
      </c>
      <c r="M12" s="256"/>
      <c r="N12" s="255"/>
    </row>
    <row r="13" spans="1:14" x14ac:dyDescent="0.45">
      <c r="A13" s="285">
        <v>4</v>
      </c>
      <c r="B13" s="1"/>
      <c r="C13" s="184"/>
      <c r="D13" s="3"/>
      <c r="E13" s="3" t="s">
        <v>292</v>
      </c>
      <c r="F13" s="265" t="s">
        <v>289</v>
      </c>
      <c r="G13" s="267">
        <f>'[1]Table 1'!$D$43</f>
        <v>9122.85</v>
      </c>
      <c r="H13" s="265" t="s">
        <v>289</v>
      </c>
      <c r="I13" s="103">
        <f>'[1]Table 1'!$E$43</f>
        <v>1303.26</v>
      </c>
      <c r="J13" s="257">
        <v>12.5</v>
      </c>
      <c r="K13" s="103">
        <f t="shared" ref="K13:K15" si="0">G13/J13</f>
        <v>729.82799999999997</v>
      </c>
      <c r="L13" s="15">
        <f t="shared" ref="L13:L15" si="1">K13-I13</f>
        <v>-573.43200000000002</v>
      </c>
      <c r="M13" s="256"/>
      <c r="N13" s="255"/>
    </row>
    <row r="14" spans="1:14" x14ac:dyDescent="0.45">
      <c r="A14" s="285">
        <v>5</v>
      </c>
      <c r="B14" s="1"/>
      <c r="C14" s="184"/>
      <c r="D14" s="3"/>
      <c r="E14" s="3" t="s">
        <v>293</v>
      </c>
      <c r="F14" s="265" t="s">
        <v>289</v>
      </c>
      <c r="G14" s="267">
        <f>'[1]Table 1'!$D$51</f>
        <v>26467.440000000002</v>
      </c>
      <c r="H14" s="265" t="s">
        <v>289</v>
      </c>
      <c r="I14" s="103">
        <f>'[1]Table 1'!$E$51</f>
        <v>3121.2699999999995</v>
      </c>
      <c r="J14" s="257">
        <v>17.5</v>
      </c>
      <c r="K14" s="103">
        <f t="shared" si="0"/>
        <v>1512.4251428571431</v>
      </c>
      <c r="L14" s="15">
        <f t="shared" si="1"/>
        <v>-1608.8448571428564</v>
      </c>
      <c r="M14" s="256"/>
      <c r="N14" s="255"/>
    </row>
    <row r="15" spans="1:14" x14ac:dyDescent="0.45">
      <c r="A15" s="285">
        <v>6</v>
      </c>
      <c r="B15" s="1"/>
      <c r="C15" s="184"/>
      <c r="D15" s="3"/>
      <c r="E15" s="3" t="s">
        <v>294</v>
      </c>
      <c r="F15" s="265"/>
      <c r="G15" s="267"/>
      <c r="H15" s="224"/>
      <c r="I15" s="103"/>
      <c r="J15" s="257">
        <v>15</v>
      </c>
      <c r="K15" s="103">
        <f t="shared" si="0"/>
        <v>0</v>
      </c>
      <c r="L15" s="15">
        <f t="shared" si="1"/>
        <v>0</v>
      </c>
      <c r="M15" s="256"/>
      <c r="N15" s="255"/>
    </row>
    <row r="16" spans="1:14" x14ac:dyDescent="0.45">
      <c r="B16" s="1"/>
      <c r="C16" s="184"/>
      <c r="D16" s="3"/>
      <c r="E16" s="3"/>
      <c r="F16" s="265"/>
      <c r="G16" s="267"/>
      <c r="H16" s="224"/>
      <c r="I16" s="103"/>
      <c r="J16" s="257"/>
      <c r="K16" s="103"/>
      <c r="L16" s="15"/>
      <c r="M16" s="256"/>
      <c r="N16" s="255"/>
    </row>
    <row r="17" spans="1:14" x14ac:dyDescent="0.45">
      <c r="B17" s="1"/>
      <c r="C17" s="184"/>
      <c r="D17" s="264" t="s">
        <v>295</v>
      </c>
      <c r="E17" s="3"/>
      <c r="F17" s="265"/>
      <c r="G17" s="267"/>
      <c r="H17" s="224"/>
      <c r="I17" s="103"/>
      <c r="J17" s="257"/>
      <c r="K17" s="103"/>
      <c r="L17" s="15"/>
      <c r="M17" s="256"/>
      <c r="N17" s="255"/>
    </row>
    <row r="18" spans="1:14" x14ac:dyDescent="0.45">
      <c r="A18" s="285">
        <v>7</v>
      </c>
      <c r="B18" s="1"/>
      <c r="C18" s="184"/>
      <c r="D18" s="3"/>
      <c r="E18" s="3" t="s">
        <v>296</v>
      </c>
      <c r="F18" s="265"/>
      <c r="G18" s="267"/>
      <c r="H18" s="224"/>
      <c r="I18" s="103"/>
      <c r="J18" s="257">
        <v>62.5</v>
      </c>
      <c r="K18" s="103">
        <f t="shared" ref="K18:K19" si="2">G18/J18</f>
        <v>0</v>
      </c>
      <c r="L18" s="15">
        <f t="shared" ref="L18:L19" si="3">K18-I18</f>
        <v>0</v>
      </c>
      <c r="M18" s="256"/>
      <c r="N18" s="255"/>
    </row>
    <row r="19" spans="1:14" x14ac:dyDescent="0.45">
      <c r="A19" s="285">
        <v>8</v>
      </c>
      <c r="B19" s="1"/>
      <c r="C19" s="184"/>
      <c r="D19" s="3"/>
      <c r="E19" s="3" t="s">
        <v>297</v>
      </c>
      <c r="F19" s="265"/>
      <c r="G19" s="267"/>
      <c r="H19" s="224"/>
      <c r="I19" s="103"/>
      <c r="J19" s="257">
        <v>62.5</v>
      </c>
      <c r="K19" s="103">
        <f t="shared" si="2"/>
        <v>0</v>
      </c>
      <c r="L19" s="15">
        <f t="shared" si="3"/>
        <v>0</v>
      </c>
      <c r="M19" s="256"/>
      <c r="N19" s="255"/>
    </row>
    <row r="20" spans="1:14" x14ac:dyDescent="0.45">
      <c r="B20" s="1"/>
      <c r="C20" s="184"/>
      <c r="D20" s="258"/>
      <c r="E20" s="258"/>
      <c r="F20" s="258"/>
      <c r="G20" s="268"/>
      <c r="H20" s="261"/>
      <c r="I20" s="269"/>
      <c r="J20" s="261"/>
      <c r="K20" s="269"/>
      <c r="L20" s="258"/>
      <c r="M20" s="256"/>
      <c r="N20" s="255"/>
    </row>
    <row r="21" spans="1:14" x14ac:dyDescent="0.45">
      <c r="B21" s="1"/>
      <c r="C21" s="184"/>
      <c r="D21" s="264" t="s">
        <v>298</v>
      </c>
      <c r="E21" s="3"/>
      <c r="F21" s="265"/>
      <c r="G21" s="247"/>
      <c r="H21" s="270"/>
      <c r="I21" s="266"/>
      <c r="J21" s="270"/>
      <c r="K21" s="266"/>
      <c r="L21" s="2"/>
      <c r="M21" s="256"/>
      <c r="N21" s="255"/>
    </row>
    <row r="22" spans="1:14" x14ac:dyDescent="0.45">
      <c r="A22" s="285">
        <v>9</v>
      </c>
      <c r="B22" s="1"/>
      <c r="C22" s="184"/>
      <c r="D22" s="264"/>
      <c r="E22" s="3" t="s">
        <v>287</v>
      </c>
      <c r="F22" s="265" t="s">
        <v>289</v>
      </c>
      <c r="G22" s="247">
        <f>'[1]Table 1'!$D$54</f>
        <v>24000</v>
      </c>
      <c r="H22" s="270" t="s">
        <v>289</v>
      </c>
      <c r="I22" s="103">
        <f>'[1]Table 1'!$E$54</f>
        <v>600</v>
      </c>
      <c r="J22" s="257">
        <v>37.5</v>
      </c>
      <c r="K22" s="103">
        <f>G22/J22</f>
        <v>640</v>
      </c>
      <c r="L22" s="15">
        <f>K22-I22</f>
        <v>40</v>
      </c>
      <c r="M22" s="256"/>
      <c r="N22" s="255"/>
    </row>
    <row r="23" spans="1:14" x14ac:dyDescent="0.45">
      <c r="A23" s="285">
        <v>10</v>
      </c>
      <c r="B23" s="1"/>
      <c r="C23" s="184"/>
      <c r="D23" s="3"/>
      <c r="E23" s="3" t="s">
        <v>299</v>
      </c>
      <c r="F23" s="265" t="s">
        <v>289</v>
      </c>
      <c r="G23" s="247">
        <f>'[1]Table 1'!$D$56</f>
        <v>101409.5</v>
      </c>
      <c r="H23" s="265" t="s">
        <v>289</v>
      </c>
      <c r="I23" s="103">
        <f>'[1]Table 1'!$E$56</f>
        <v>10140.950000000001</v>
      </c>
      <c r="J23" s="257">
        <v>10</v>
      </c>
      <c r="K23" s="266">
        <f>G23/J23</f>
        <v>10140.950000000001</v>
      </c>
      <c r="L23" s="15">
        <f>K23-I23</f>
        <v>0</v>
      </c>
      <c r="M23" s="256"/>
      <c r="N23" s="255"/>
    </row>
    <row r="24" spans="1:14" x14ac:dyDescent="0.45">
      <c r="A24" s="285">
        <v>11</v>
      </c>
      <c r="B24" s="1"/>
      <c r="C24" s="184"/>
      <c r="D24" s="3"/>
      <c r="E24" s="3" t="s">
        <v>300</v>
      </c>
      <c r="F24" s="265" t="s">
        <v>289</v>
      </c>
      <c r="G24" s="247">
        <f>'[1]Table 1'!$D$65</f>
        <v>80048.05</v>
      </c>
      <c r="H24" s="270" t="s">
        <v>289</v>
      </c>
      <c r="I24" s="103">
        <f>'[1]Table 1'!$E$65</f>
        <v>3883.56</v>
      </c>
      <c r="J24" s="257">
        <v>20</v>
      </c>
      <c r="K24" s="266">
        <f>G24/J24</f>
        <v>4002.4025000000001</v>
      </c>
      <c r="L24" s="15">
        <f>K24-I24</f>
        <v>118.8425000000002</v>
      </c>
      <c r="M24" s="256"/>
      <c r="N24" s="255"/>
    </row>
    <row r="25" spans="1:14" x14ac:dyDescent="0.45">
      <c r="B25" s="1"/>
      <c r="C25" s="184"/>
      <c r="D25" s="258"/>
      <c r="E25" s="258"/>
      <c r="F25" s="258"/>
      <c r="G25" s="247"/>
      <c r="H25" s="270"/>
      <c r="I25" s="266"/>
      <c r="J25" s="270"/>
      <c r="K25" s="266"/>
      <c r="L25" s="2"/>
      <c r="M25" s="256"/>
      <c r="N25" s="255"/>
    </row>
    <row r="26" spans="1:14" x14ac:dyDescent="0.45">
      <c r="B26" s="1"/>
      <c r="C26" s="184"/>
      <c r="D26" s="264" t="s">
        <v>301</v>
      </c>
      <c r="E26" s="3"/>
      <c r="F26" s="265"/>
      <c r="G26" s="247"/>
      <c r="H26" s="257"/>
      <c r="I26" s="266"/>
      <c r="J26" s="257"/>
      <c r="K26" s="266"/>
      <c r="L26" s="2"/>
      <c r="M26" s="256"/>
      <c r="N26" s="255"/>
    </row>
    <row r="27" spans="1:14" x14ac:dyDescent="0.45">
      <c r="A27" s="285">
        <v>12</v>
      </c>
      <c r="B27" s="1"/>
      <c r="C27" s="184"/>
      <c r="D27" s="264"/>
      <c r="E27" s="3" t="s">
        <v>302</v>
      </c>
      <c r="F27" s="265" t="s">
        <v>289</v>
      </c>
      <c r="G27" s="267">
        <f>'[1]Table 1'!$D$73</f>
        <v>11800.529999999999</v>
      </c>
      <c r="H27" s="224" t="s">
        <v>289</v>
      </c>
      <c r="I27" s="103">
        <f>'[1]Table 1'!$E$73</f>
        <v>484.89</v>
      </c>
      <c r="J27" s="257">
        <v>50</v>
      </c>
      <c r="K27" s="103">
        <f>I27</f>
        <v>484.89</v>
      </c>
      <c r="L27" s="15">
        <f>K27-I27</f>
        <v>0</v>
      </c>
      <c r="M27" s="256"/>
      <c r="N27" s="255"/>
    </row>
    <row r="28" spans="1:14" x14ac:dyDescent="0.45">
      <c r="A28" s="285">
        <v>13</v>
      </c>
      <c r="B28" s="1"/>
      <c r="C28" s="184"/>
      <c r="D28" s="264"/>
      <c r="E28" s="3" t="s">
        <v>303</v>
      </c>
      <c r="F28" s="265" t="s">
        <v>289</v>
      </c>
      <c r="G28" s="267">
        <f>'[1]Table 1'!$D$109</f>
        <v>6106577.8899999997</v>
      </c>
      <c r="H28" s="224" t="s">
        <v>289</v>
      </c>
      <c r="I28" s="103">
        <f>'[1]Table 1'!$E$109</f>
        <v>135289.26</v>
      </c>
      <c r="J28" s="257">
        <v>62.5</v>
      </c>
      <c r="K28" s="103">
        <f t="shared" ref="K28:K35" si="4">G28/J28</f>
        <v>97705.246239999993</v>
      </c>
      <c r="L28" s="15">
        <f t="shared" ref="L28:L35" si="5">K28-I28</f>
        <v>-37584.013760000016</v>
      </c>
      <c r="M28" s="256"/>
      <c r="N28" s="255"/>
    </row>
    <row r="29" spans="1:14" x14ac:dyDescent="0.45">
      <c r="A29" s="285">
        <v>14</v>
      </c>
      <c r="B29" s="1"/>
      <c r="C29" s="184"/>
      <c r="D29" s="264"/>
      <c r="E29" s="3" t="s">
        <v>304</v>
      </c>
      <c r="F29" s="265"/>
      <c r="G29" s="267"/>
      <c r="H29" s="224"/>
      <c r="I29" s="103"/>
      <c r="J29" s="257">
        <v>45</v>
      </c>
      <c r="K29" s="103">
        <f t="shared" si="4"/>
        <v>0</v>
      </c>
      <c r="L29" s="15">
        <f t="shared" si="5"/>
        <v>0</v>
      </c>
      <c r="M29" s="256"/>
      <c r="N29" s="255"/>
    </row>
    <row r="30" spans="1:14" x14ac:dyDescent="0.45">
      <c r="A30" s="285">
        <v>15</v>
      </c>
      <c r="B30" s="1"/>
      <c r="C30" s="184"/>
      <c r="D30" s="264"/>
      <c r="E30" s="3" t="s">
        <v>305</v>
      </c>
      <c r="F30" s="265" t="s">
        <v>289</v>
      </c>
      <c r="G30" s="267">
        <f>'[1]Table 1'!$D$113</f>
        <v>1282220.25</v>
      </c>
      <c r="H30" s="224" t="s">
        <v>289</v>
      </c>
      <c r="I30" s="103">
        <f>'[1]Table 1'!$E$113</f>
        <v>85598.01</v>
      </c>
      <c r="J30" s="257">
        <v>15</v>
      </c>
      <c r="K30" s="103">
        <f t="shared" si="4"/>
        <v>85481.35</v>
      </c>
      <c r="L30" s="15">
        <f t="shared" si="5"/>
        <v>-116.65999999998894</v>
      </c>
      <c r="M30" s="256"/>
      <c r="N30" s="255"/>
    </row>
    <row r="31" spans="1:14" x14ac:dyDescent="0.45">
      <c r="A31" s="285">
        <v>16</v>
      </c>
      <c r="B31" s="1"/>
      <c r="C31" s="184"/>
      <c r="D31" s="264"/>
      <c r="E31" s="3" t="s">
        <v>306</v>
      </c>
      <c r="F31" s="1"/>
      <c r="G31" s="247"/>
      <c r="H31" s="1"/>
      <c r="I31" s="103"/>
      <c r="J31" s="257">
        <v>20</v>
      </c>
      <c r="K31" s="103">
        <f t="shared" si="4"/>
        <v>0</v>
      </c>
      <c r="L31" s="15">
        <f t="shared" si="5"/>
        <v>0</v>
      </c>
      <c r="M31" s="256"/>
      <c r="N31" s="255"/>
    </row>
    <row r="32" spans="1:14" x14ac:dyDescent="0.45">
      <c r="A32" s="285">
        <v>17</v>
      </c>
      <c r="B32" s="1"/>
      <c r="C32" s="184"/>
      <c r="D32" s="264"/>
      <c r="E32" s="3" t="s">
        <v>307</v>
      </c>
      <c r="F32" s="265"/>
      <c r="G32" s="267"/>
      <c r="H32" s="224"/>
      <c r="I32" s="103"/>
      <c r="J32" s="257">
        <v>37.5</v>
      </c>
      <c r="K32" s="103">
        <f>G32/J32</f>
        <v>0</v>
      </c>
      <c r="L32" s="15">
        <f t="shared" si="5"/>
        <v>0</v>
      </c>
      <c r="M32" s="256"/>
      <c r="N32" s="255"/>
    </row>
    <row r="33" spans="1:14" x14ac:dyDescent="0.45">
      <c r="A33" s="285">
        <v>18</v>
      </c>
      <c r="B33" s="1"/>
      <c r="C33" s="184"/>
      <c r="D33" s="264"/>
      <c r="E33" s="3" t="s">
        <v>308</v>
      </c>
      <c r="F33" s="265" t="s">
        <v>289</v>
      </c>
      <c r="G33" s="267">
        <f>'[1]Table 1'!$D$117</f>
        <v>64267.53</v>
      </c>
      <c r="H33" s="224" t="s">
        <v>289</v>
      </c>
      <c r="I33" s="103">
        <f>'[1]Table 1'!$E$117</f>
        <v>4284.51</v>
      </c>
      <c r="J33" s="257">
        <v>40</v>
      </c>
      <c r="K33" s="103">
        <f>G33/J33</f>
        <v>1606.6882499999999</v>
      </c>
      <c r="L33" s="15">
        <f t="shared" si="5"/>
        <v>-2677.8217500000001</v>
      </c>
      <c r="M33" s="256"/>
      <c r="N33" s="255"/>
    </row>
    <row r="34" spans="1:14" x14ac:dyDescent="0.45">
      <c r="A34" s="285">
        <v>19</v>
      </c>
      <c r="B34" s="1"/>
      <c r="C34" s="184"/>
      <c r="D34" s="264"/>
      <c r="E34" s="3" t="s">
        <v>309</v>
      </c>
      <c r="F34" s="265" t="s">
        <v>289</v>
      </c>
      <c r="G34" s="267">
        <f>'[1]Table 1'!$D$137</f>
        <v>2316102.1999999997</v>
      </c>
      <c r="H34" s="224" t="s">
        <v>289</v>
      </c>
      <c r="I34" s="103">
        <f>'[1]Table 1'!$E$137</f>
        <v>67300.489999999976</v>
      </c>
      <c r="J34" s="257">
        <v>45</v>
      </c>
      <c r="K34" s="103">
        <f t="shared" si="4"/>
        <v>51468.93777777777</v>
      </c>
      <c r="L34" s="15">
        <f t="shared" si="5"/>
        <v>-15831.552222222206</v>
      </c>
      <c r="M34" s="256"/>
      <c r="N34" s="255"/>
    </row>
    <row r="35" spans="1:14" x14ac:dyDescent="0.45">
      <c r="A35" s="285">
        <v>20</v>
      </c>
      <c r="B35" s="1"/>
      <c r="C35" s="184"/>
      <c r="D35" s="264"/>
      <c r="E35" s="3" t="s">
        <v>310</v>
      </c>
      <c r="F35" s="265"/>
      <c r="G35" s="267"/>
      <c r="H35" s="224"/>
      <c r="I35" s="103"/>
      <c r="J35" s="257">
        <v>15</v>
      </c>
      <c r="K35" s="103">
        <f t="shared" si="4"/>
        <v>0</v>
      </c>
      <c r="L35" s="15">
        <f t="shared" si="5"/>
        <v>0</v>
      </c>
      <c r="M35" s="256"/>
      <c r="N35" s="255"/>
    </row>
    <row r="36" spans="1:14" x14ac:dyDescent="0.45">
      <c r="B36" s="1"/>
      <c r="C36" s="184"/>
      <c r="D36" s="264"/>
      <c r="E36" s="1"/>
      <c r="F36" s="265"/>
      <c r="G36" s="247"/>
      <c r="H36" s="270"/>
      <c r="I36" s="266"/>
      <c r="J36" s="270"/>
      <c r="K36" s="266"/>
      <c r="L36" s="15"/>
      <c r="M36" s="256"/>
      <c r="N36" s="255"/>
    </row>
    <row r="37" spans="1:14" x14ac:dyDescent="0.45">
      <c r="B37" s="1"/>
      <c r="C37" s="184"/>
      <c r="D37" s="264" t="s">
        <v>311</v>
      </c>
      <c r="E37" s="1"/>
      <c r="F37" s="265"/>
      <c r="G37" s="247"/>
      <c r="H37" s="257"/>
      <c r="I37" s="266"/>
      <c r="J37" s="271"/>
      <c r="K37" s="266"/>
      <c r="L37" s="2"/>
      <c r="M37" s="256"/>
      <c r="N37" s="255"/>
    </row>
    <row r="38" spans="1:14" x14ac:dyDescent="0.45">
      <c r="A38" s="285">
        <v>21</v>
      </c>
      <c r="B38" s="1"/>
      <c r="C38" s="184"/>
      <c r="D38" s="3"/>
      <c r="E38" s="1" t="s">
        <v>312</v>
      </c>
      <c r="F38" s="265" t="s">
        <v>289</v>
      </c>
      <c r="G38" s="247">
        <f>'[1]Table 1'!$D$167</f>
        <v>1111732.1599999999</v>
      </c>
      <c r="H38" s="265" t="s">
        <v>289</v>
      </c>
      <c r="I38" s="266">
        <f>'[1]Table 1'!$E$167</f>
        <v>123797.65999999999</v>
      </c>
      <c r="J38" s="271">
        <v>7</v>
      </c>
      <c r="K38" s="266">
        <f>G38/J38</f>
        <v>158818.87999999998</v>
      </c>
      <c r="L38" s="2">
        <f>K38-I38</f>
        <v>35021.219999999987</v>
      </c>
      <c r="M38" s="256"/>
      <c r="N38" s="255"/>
    </row>
    <row r="39" spans="1:14" x14ac:dyDescent="0.45">
      <c r="B39" s="1"/>
      <c r="C39" s="184"/>
      <c r="D39" s="258"/>
      <c r="E39" s="258"/>
      <c r="F39" s="258"/>
      <c r="G39" s="247"/>
      <c r="H39" s="270"/>
      <c r="I39" s="266"/>
      <c r="J39" s="270"/>
      <c r="K39" s="266"/>
      <c r="L39" s="2"/>
      <c r="M39" s="256"/>
      <c r="N39" s="255"/>
    </row>
    <row r="40" spans="1:14" x14ac:dyDescent="0.45">
      <c r="B40" s="1"/>
      <c r="C40" s="184"/>
      <c r="D40" s="264" t="s">
        <v>313</v>
      </c>
      <c r="E40" s="3"/>
      <c r="F40" s="265"/>
      <c r="G40" s="247"/>
      <c r="H40" s="272"/>
      <c r="I40" s="266"/>
      <c r="J40" s="257"/>
      <c r="K40" s="266"/>
      <c r="L40" s="2"/>
      <c r="M40" s="256"/>
      <c r="N40" s="255"/>
    </row>
    <row r="41" spans="1:14" x14ac:dyDescent="0.45">
      <c r="A41" s="285">
        <v>22</v>
      </c>
      <c r="B41" s="1"/>
      <c r="C41" s="184"/>
      <c r="D41" s="264"/>
      <c r="E41" s="1" t="s">
        <v>314</v>
      </c>
      <c r="F41" s="265" t="s">
        <v>289</v>
      </c>
      <c r="G41" s="247">
        <f>'[1]Table 1'!$D$184</f>
        <v>3639495.64</v>
      </c>
      <c r="H41" s="265" t="s">
        <v>289</v>
      </c>
      <c r="I41" s="266">
        <f>'[1]Table 1'!$E$184</f>
        <v>72668.399999999994</v>
      </c>
      <c r="J41" s="271">
        <v>62.5</v>
      </c>
      <c r="K41" s="266">
        <f>G41/J41</f>
        <v>58231.930240000002</v>
      </c>
      <c r="L41" s="2">
        <f>K41-I41</f>
        <v>-14436.469759999993</v>
      </c>
      <c r="M41" s="256"/>
      <c r="N41" s="255"/>
    </row>
    <row r="42" spans="1:14" x14ac:dyDescent="0.45">
      <c r="A42" s="285">
        <v>23</v>
      </c>
      <c r="B42" s="1"/>
      <c r="C42" s="184"/>
      <c r="D42" s="264"/>
      <c r="E42" s="1" t="s">
        <v>315</v>
      </c>
      <c r="F42" s="265" t="s">
        <v>289</v>
      </c>
      <c r="G42" s="247">
        <f>'[1]Table 1'!$D$186</f>
        <v>1847.84</v>
      </c>
      <c r="H42" s="265" t="s">
        <v>289</v>
      </c>
      <c r="I42" s="266">
        <f>'[1]Table 1'!$E$186</f>
        <v>338.77</v>
      </c>
      <c r="J42" s="271">
        <v>27.5</v>
      </c>
      <c r="K42" s="266">
        <f>G42/J42</f>
        <v>67.194181818181818</v>
      </c>
      <c r="L42" s="2">
        <f>K42-I42</f>
        <v>-271.57581818181814</v>
      </c>
      <c r="M42" s="256"/>
      <c r="N42" s="255"/>
    </row>
    <row r="43" spans="1:14" x14ac:dyDescent="0.45">
      <c r="B43" s="1"/>
      <c r="C43" s="184"/>
      <c r="D43" s="3"/>
      <c r="E43" s="3"/>
      <c r="F43" s="3"/>
      <c r="G43" s="247"/>
      <c r="H43" s="2"/>
      <c r="I43" s="103"/>
      <c r="J43" s="2"/>
      <c r="K43" s="273"/>
      <c r="L43" s="2"/>
      <c r="M43" s="256"/>
      <c r="N43" s="255"/>
    </row>
    <row r="44" spans="1:14" x14ac:dyDescent="0.45">
      <c r="B44" s="1"/>
      <c r="C44" s="184"/>
      <c r="D44" s="274" t="s">
        <v>123</v>
      </c>
      <c r="E44" s="1"/>
      <c r="F44" s="1"/>
      <c r="G44" s="275">
        <f>SUM(G10:G43)</f>
        <v>15152151.720000001</v>
      </c>
      <c r="H44" s="276"/>
      <c r="I44" s="275">
        <f>SUM(I10:I43)</f>
        <v>523143.26</v>
      </c>
      <c r="J44" s="277"/>
      <c r="K44" s="275">
        <f>SUM(K10:K43)</f>
        <v>486032.98639911972</v>
      </c>
      <c r="L44" s="277">
        <f>SUM(L10:L43)</f>
        <v>-37110.273600880224</v>
      </c>
      <c r="M44" s="256"/>
      <c r="N44" s="255"/>
    </row>
    <row r="45" spans="1:14" x14ac:dyDescent="0.45">
      <c r="B45" s="1"/>
      <c r="C45" s="185"/>
      <c r="D45" s="278"/>
      <c r="E45" s="278"/>
      <c r="F45" s="278"/>
      <c r="G45" s="279"/>
      <c r="H45" s="278"/>
      <c r="I45" s="280"/>
      <c r="J45" s="278"/>
      <c r="K45" s="280"/>
      <c r="L45" s="278"/>
      <c r="M45" s="281"/>
      <c r="N45" s="282"/>
    </row>
    <row r="46" spans="1:14" x14ac:dyDescent="0.45">
      <c r="B46" s="1"/>
      <c r="C46" s="1"/>
      <c r="D46" s="3"/>
      <c r="E46" s="3"/>
      <c r="F46" s="3"/>
      <c r="G46" s="247"/>
      <c r="H46" s="3"/>
      <c r="I46" s="273"/>
      <c r="J46" s="3"/>
      <c r="K46" s="273"/>
      <c r="L46" s="3"/>
      <c r="M46" s="3"/>
      <c r="N46" s="3"/>
    </row>
    <row r="47" spans="1:14" x14ac:dyDescent="0.45">
      <c r="E47" s="3" t="s">
        <v>316</v>
      </c>
      <c r="F47" s="1"/>
      <c r="G47" s="247"/>
      <c r="H47" s="1"/>
      <c r="I47" s="283"/>
      <c r="K47" s="283"/>
    </row>
  </sheetData>
  <mergeCells count="5">
    <mergeCell ref="D3:L3"/>
    <mergeCell ref="D4:L4"/>
    <mergeCell ref="D5:L5"/>
    <mergeCell ref="H7:I7"/>
    <mergeCell ref="J7:K7"/>
  </mergeCells>
  <printOptions horizontalCentered="1" verticalCentered="1"/>
  <pageMargins left="0.45" right="0.45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L22"/>
  <sheetViews>
    <sheetView showGridLines="0" workbookViewId="0">
      <selection sqref="A1:K22"/>
    </sheetView>
  </sheetViews>
  <sheetFormatPr defaultRowHeight="15" x14ac:dyDescent="0.4"/>
  <cols>
    <col min="1" max="1" width="1.77734375" customWidth="1"/>
    <col min="2" max="2" width="17.77734375" customWidth="1"/>
    <col min="3" max="8" width="7.77734375" customWidth="1"/>
    <col min="9" max="9" width="10.6640625" customWidth="1"/>
    <col min="10" max="10" width="0.77734375" customWidth="1"/>
    <col min="11" max="11" width="2.33203125" customWidth="1"/>
    <col min="12" max="12" width="9.6640625" customWidth="1"/>
  </cols>
  <sheetData>
    <row r="1" spans="2:12" ht="15.4" x14ac:dyDescent="0.45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ht="15.4" x14ac:dyDescent="0.45">
      <c r="B2" s="54"/>
      <c r="C2" s="55"/>
      <c r="D2" s="55"/>
      <c r="E2" s="55"/>
      <c r="F2" s="55"/>
      <c r="G2" s="55"/>
      <c r="H2" s="55"/>
      <c r="I2" s="55"/>
      <c r="J2" s="56"/>
      <c r="K2" s="9"/>
      <c r="L2" s="9"/>
    </row>
    <row r="3" spans="2:12" ht="18" x14ac:dyDescent="0.55000000000000004">
      <c r="B3" s="57" t="s">
        <v>115</v>
      </c>
      <c r="C3" s="58"/>
      <c r="D3" s="58"/>
      <c r="E3" s="58"/>
      <c r="F3" s="58"/>
      <c r="G3" s="58"/>
      <c r="H3" s="58"/>
      <c r="I3" s="58"/>
      <c r="J3" s="48"/>
      <c r="K3" s="9"/>
      <c r="L3" s="9"/>
    </row>
    <row r="4" spans="2:12" ht="18" x14ac:dyDescent="0.55000000000000004">
      <c r="B4" s="59" t="s">
        <v>116</v>
      </c>
      <c r="C4" s="60"/>
      <c r="D4" s="60"/>
      <c r="E4" s="60"/>
      <c r="F4" s="60"/>
      <c r="G4" s="60"/>
      <c r="H4" s="60"/>
      <c r="I4" s="60"/>
      <c r="J4" s="48"/>
      <c r="K4" s="9"/>
      <c r="L4" s="9"/>
    </row>
    <row r="5" spans="2:12" ht="15.75" x14ac:dyDescent="0.45">
      <c r="B5" s="61" t="s">
        <v>1</v>
      </c>
      <c r="C5" s="58"/>
      <c r="D5" s="58"/>
      <c r="E5" s="58"/>
      <c r="F5" s="58"/>
      <c r="G5" s="58"/>
      <c r="H5" s="58"/>
      <c r="I5" s="58"/>
      <c r="J5" s="48"/>
      <c r="K5" s="9"/>
      <c r="L5" s="9"/>
    </row>
    <row r="6" spans="2:12" ht="15.75" x14ac:dyDescent="0.5">
      <c r="B6" s="62" t="s">
        <v>273</v>
      </c>
      <c r="C6" s="63"/>
      <c r="D6" s="63"/>
      <c r="E6" s="63"/>
      <c r="F6" s="63"/>
      <c r="G6" s="63"/>
      <c r="H6" s="63"/>
      <c r="I6" s="63"/>
      <c r="J6" s="48"/>
      <c r="K6" s="9"/>
      <c r="L6" s="9"/>
    </row>
    <row r="7" spans="2:12" ht="15.4" x14ac:dyDescent="0.45">
      <c r="B7" s="64"/>
      <c r="C7" s="63"/>
      <c r="D7" s="63"/>
      <c r="E7" s="63"/>
      <c r="F7" s="63"/>
      <c r="G7" s="63"/>
      <c r="H7" s="63"/>
      <c r="I7" s="63"/>
      <c r="J7" s="48"/>
      <c r="K7" s="9"/>
      <c r="L7" s="9"/>
    </row>
    <row r="8" spans="2:12" ht="15.4" x14ac:dyDescent="0.45">
      <c r="B8" s="65"/>
      <c r="C8" s="66"/>
      <c r="D8" s="67"/>
      <c r="E8" s="66"/>
      <c r="F8" s="68"/>
      <c r="G8" s="66"/>
      <c r="H8" s="68"/>
      <c r="I8" s="67"/>
      <c r="J8" s="56"/>
      <c r="K8" s="9"/>
      <c r="L8" s="9"/>
    </row>
    <row r="9" spans="2:12" ht="16.5" x14ac:dyDescent="0.45">
      <c r="B9" s="69"/>
      <c r="C9" s="301" t="s">
        <v>117</v>
      </c>
      <c r="D9" s="302"/>
      <c r="E9" s="301" t="s">
        <v>118</v>
      </c>
      <c r="F9" s="302"/>
      <c r="G9" s="301" t="s">
        <v>119</v>
      </c>
      <c r="H9" s="302"/>
      <c r="I9" s="9"/>
      <c r="J9" s="48"/>
      <c r="K9" s="9"/>
      <c r="L9" s="9"/>
    </row>
    <row r="10" spans="2:12" ht="16.5" x14ac:dyDescent="0.45">
      <c r="B10" s="69"/>
      <c r="C10" s="70"/>
      <c r="D10" s="71" t="s">
        <v>120</v>
      </c>
      <c r="E10" s="72"/>
      <c r="F10" s="71" t="s">
        <v>120</v>
      </c>
      <c r="G10" s="72"/>
      <c r="H10" s="71" t="s">
        <v>120</v>
      </c>
      <c r="I10" s="9"/>
      <c r="J10" s="48"/>
      <c r="K10" s="9"/>
      <c r="L10" s="9"/>
    </row>
    <row r="11" spans="2:12" ht="16.5" x14ac:dyDescent="0.45">
      <c r="B11" s="69"/>
      <c r="C11" s="70" t="s">
        <v>121</v>
      </c>
      <c r="D11" s="73" t="s">
        <v>122</v>
      </c>
      <c r="E11" s="70" t="s">
        <v>121</v>
      </c>
      <c r="F11" s="73" t="s">
        <v>122</v>
      </c>
      <c r="G11" s="70" t="s">
        <v>121</v>
      </c>
      <c r="H11" s="73" t="s">
        <v>122</v>
      </c>
      <c r="I11" s="74" t="s">
        <v>123</v>
      </c>
      <c r="J11" s="48"/>
      <c r="K11" s="9"/>
      <c r="L11" s="9"/>
    </row>
    <row r="12" spans="2:12" ht="15.4" x14ac:dyDescent="0.45">
      <c r="B12" s="75" t="s">
        <v>230</v>
      </c>
      <c r="C12" s="76">
        <v>125000</v>
      </c>
      <c r="D12" s="77">
        <f>18200+450</f>
        <v>18650</v>
      </c>
      <c r="E12" s="76">
        <v>135000</v>
      </c>
      <c r="F12" s="77">
        <f>12512.5+450</f>
        <v>12962.5</v>
      </c>
      <c r="G12" s="76">
        <v>140000</v>
      </c>
      <c r="H12" s="77">
        <v>6750</v>
      </c>
      <c r="I12" s="78">
        <f>SUM(C12:H12)</f>
        <v>438362.5</v>
      </c>
      <c r="J12" s="48"/>
      <c r="K12" s="9"/>
      <c r="L12" s="9"/>
    </row>
    <row r="13" spans="2:12" ht="15.4" x14ac:dyDescent="0.45">
      <c r="B13" s="79"/>
      <c r="C13" s="80"/>
      <c r="D13" s="81"/>
      <c r="E13" s="80"/>
      <c r="F13" s="81"/>
      <c r="G13" s="80"/>
      <c r="H13" s="82"/>
      <c r="I13" s="244"/>
      <c r="J13" s="48"/>
      <c r="K13" s="9"/>
      <c r="L13" s="9"/>
    </row>
    <row r="14" spans="2:12" ht="15.4" x14ac:dyDescent="0.45">
      <c r="B14" s="49" t="s">
        <v>123</v>
      </c>
      <c r="C14" s="83">
        <f t="shared" ref="C14:H14" si="0">SUM(C12:C13)</f>
        <v>125000</v>
      </c>
      <c r="D14" s="84">
        <f t="shared" si="0"/>
        <v>18650</v>
      </c>
      <c r="E14" s="83">
        <f t="shared" si="0"/>
        <v>135000</v>
      </c>
      <c r="F14" s="84">
        <f t="shared" si="0"/>
        <v>12962.5</v>
      </c>
      <c r="G14" s="83">
        <f t="shared" si="0"/>
        <v>140000</v>
      </c>
      <c r="H14" s="84">
        <f t="shared" si="0"/>
        <v>6750</v>
      </c>
      <c r="I14" s="85">
        <f>SUM(I12:I13)</f>
        <v>438362.5</v>
      </c>
      <c r="J14" s="48"/>
      <c r="K14" s="9"/>
      <c r="L14" s="9"/>
    </row>
    <row r="15" spans="2:12" ht="15.4" x14ac:dyDescent="0.45">
      <c r="B15" s="86"/>
      <c r="C15" s="87"/>
      <c r="D15" s="88"/>
      <c r="E15" s="87"/>
      <c r="F15" s="89"/>
      <c r="G15" s="87"/>
      <c r="H15" s="89"/>
      <c r="I15" s="88"/>
      <c r="J15" s="47"/>
      <c r="K15" s="9"/>
      <c r="L15" s="9"/>
    </row>
    <row r="16" spans="2:12" ht="15.4" x14ac:dyDescent="0.45">
      <c r="B16" s="90"/>
      <c r="C16" s="91"/>
      <c r="D16" s="91"/>
      <c r="E16" s="91"/>
      <c r="F16" s="91"/>
      <c r="G16" s="91"/>
      <c r="H16" s="91"/>
      <c r="I16" s="91"/>
      <c r="J16" s="48"/>
      <c r="K16" s="9"/>
      <c r="L16" s="9"/>
    </row>
    <row r="17" spans="2:12" ht="15.4" x14ac:dyDescent="0.45">
      <c r="B17" s="92"/>
      <c r="C17" s="93"/>
      <c r="D17" s="94"/>
      <c r="E17" s="94" t="s">
        <v>124</v>
      </c>
      <c r="F17" s="93"/>
      <c r="G17" s="93"/>
      <c r="H17" s="93"/>
      <c r="I17" s="245">
        <f>I14/3</f>
        <v>146120.83333333334</v>
      </c>
      <c r="J17" s="48"/>
      <c r="K17" s="9"/>
      <c r="L17" s="9" t="s">
        <v>269</v>
      </c>
    </row>
    <row r="18" spans="2:12" ht="15.4" x14ac:dyDescent="0.45">
      <c r="B18" s="11"/>
      <c r="C18" s="94"/>
      <c r="D18" s="9"/>
      <c r="E18" s="94"/>
      <c r="F18" s="94"/>
      <c r="G18" s="94"/>
      <c r="H18" s="94"/>
      <c r="I18" s="19"/>
      <c r="J18" s="48"/>
      <c r="K18" s="9"/>
      <c r="L18" s="9"/>
    </row>
    <row r="19" spans="2:12" ht="15.4" x14ac:dyDescent="0.45">
      <c r="B19" s="92"/>
      <c r="C19" s="94"/>
      <c r="D19" s="94"/>
      <c r="E19" s="94" t="s">
        <v>125</v>
      </c>
      <c r="F19" s="94"/>
      <c r="G19" s="94"/>
      <c r="H19" s="94"/>
      <c r="I19" s="93">
        <f>I17*0.2</f>
        <v>29224.166666666672</v>
      </c>
      <c r="J19" s="48"/>
      <c r="K19" s="9"/>
      <c r="L19" s="9" t="s">
        <v>269</v>
      </c>
    </row>
    <row r="20" spans="2:12" ht="15.4" x14ac:dyDescent="0.45">
      <c r="B20" s="95"/>
      <c r="C20" s="96"/>
      <c r="D20" s="96"/>
      <c r="E20" s="96"/>
      <c r="F20" s="96" t="s">
        <v>126</v>
      </c>
      <c r="G20" s="96"/>
      <c r="H20" s="96"/>
      <c r="I20" s="96"/>
      <c r="J20" s="47"/>
      <c r="K20" s="9"/>
      <c r="L20" s="9"/>
    </row>
    <row r="22" spans="2:12" ht="15.4" x14ac:dyDescent="0.45">
      <c r="B22" s="246" t="s">
        <v>274</v>
      </c>
    </row>
  </sheetData>
  <mergeCells count="3">
    <mergeCell ref="C9:D9"/>
    <mergeCell ref="E9:F9"/>
    <mergeCell ref="G9:H9"/>
  </mergeCells>
  <printOptions horizontalCentered="1" verticalCentered="1"/>
  <pageMargins left="0.7" right="0.7" top="0.75" bottom="0.75" header="0.3" footer="0.3"/>
  <pageSetup scale="94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44B2-4BF2-4F4E-9092-9A7F6EE23A99}">
  <dimension ref="A1:E8"/>
  <sheetViews>
    <sheetView workbookViewId="0">
      <selection activeCell="E8" sqref="E8"/>
    </sheetView>
  </sheetViews>
  <sheetFormatPr defaultRowHeight="15.75" x14ac:dyDescent="0.5"/>
  <cols>
    <col min="1" max="1" width="8.88671875" style="226"/>
    <col min="2" max="2" width="20.6640625" style="226" customWidth="1"/>
    <col min="3" max="4" width="12.5546875" style="227" customWidth="1"/>
    <col min="5" max="5" width="12.5546875" style="226" customWidth="1"/>
    <col min="6" max="16384" width="8.88671875" style="226"/>
  </cols>
  <sheetData>
    <row r="1" spans="1:5" x14ac:dyDescent="0.5">
      <c r="A1" s="226" t="s">
        <v>236</v>
      </c>
    </row>
    <row r="3" spans="1:5" x14ac:dyDescent="0.5">
      <c r="C3" s="229" t="s">
        <v>241</v>
      </c>
      <c r="D3" s="229" t="s">
        <v>242</v>
      </c>
      <c r="E3" s="230" t="s">
        <v>225</v>
      </c>
    </row>
    <row r="4" spans="1:5" x14ac:dyDescent="0.5">
      <c r="A4" s="226" t="s">
        <v>237</v>
      </c>
      <c r="B4" s="226" t="s">
        <v>238</v>
      </c>
      <c r="C4" s="227">
        <v>53361.19</v>
      </c>
      <c r="D4" s="227">
        <v>131168.85999999999</v>
      </c>
      <c r="E4" s="231">
        <f>D4-C4</f>
        <v>77807.669999999984</v>
      </c>
    </row>
    <row r="5" spans="1:5" x14ac:dyDescent="0.5">
      <c r="A5" s="226" t="s">
        <v>239</v>
      </c>
      <c r="B5" s="226" t="s">
        <v>240</v>
      </c>
      <c r="C5" s="228">
        <v>13776.21</v>
      </c>
      <c r="D5" s="228">
        <v>15843.88</v>
      </c>
      <c r="E5" s="232">
        <f>D5-C5</f>
        <v>2067.67</v>
      </c>
    </row>
    <row r="6" spans="1:5" x14ac:dyDescent="0.5">
      <c r="C6" s="227">
        <f>SUM(C4:C5)</f>
        <v>67137.399999999994</v>
      </c>
      <c r="D6" s="227">
        <f>SUM(D4:D5)</f>
        <v>147012.74</v>
      </c>
      <c r="E6" s="231">
        <f>SUM(E4:E5)</f>
        <v>79875.339999999982</v>
      </c>
    </row>
    <row r="7" spans="1:5" x14ac:dyDescent="0.5">
      <c r="E7" s="230"/>
    </row>
    <row r="8" spans="1:5" x14ac:dyDescent="0.5">
      <c r="B8" s="226" t="s">
        <v>243</v>
      </c>
      <c r="E8" s="231">
        <f>E6*2</f>
        <v>159750.67999999996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A3A3C-63D6-4595-807E-68BC63F8ACD5}">
  <dimension ref="A1:C14"/>
  <sheetViews>
    <sheetView workbookViewId="0">
      <selection activeCell="A2" sqref="A2"/>
    </sheetView>
  </sheetViews>
  <sheetFormatPr defaultRowHeight="15.75" x14ac:dyDescent="0.5"/>
  <cols>
    <col min="1" max="1" width="28.109375" style="226" customWidth="1"/>
    <col min="2" max="3" width="12.5546875" style="227" customWidth="1"/>
    <col min="4" max="4" width="24.21875" style="226" bestFit="1" customWidth="1"/>
    <col min="5" max="5" width="1.77734375" style="226" customWidth="1"/>
    <col min="6" max="6" width="11" style="226" bestFit="1" customWidth="1"/>
    <col min="7" max="16384" width="8.88671875" style="226"/>
  </cols>
  <sheetData>
    <row r="1" spans="1:3" x14ac:dyDescent="0.5">
      <c r="A1" s="226" t="s">
        <v>272</v>
      </c>
    </row>
    <row r="3" spans="1:3" x14ac:dyDescent="0.5">
      <c r="B3" s="229" t="s">
        <v>245</v>
      </c>
      <c r="C3" s="229" t="s">
        <v>246</v>
      </c>
    </row>
    <row r="4" spans="1:3" x14ac:dyDescent="0.5">
      <c r="A4" s="226" t="s">
        <v>247</v>
      </c>
      <c r="B4" s="233">
        <v>2995</v>
      </c>
      <c r="C4" s="233">
        <v>2795</v>
      </c>
    </row>
    <row r="5" spans="1:3" x14ac:dyDescent="0.5">
      <c r="A5" s="226" t="s">
        <v>248</v>
      </c>
      <c r="B5" s="233">
        <v>1125</v>
      </c>
      <c r="C5" s="233">
        <v>1315</v>
      </c>
    </row>
    <row r="6" spans="1:3" x14ac:dyDescent="0.5">
      <c r="A6" s="226" t="s">
        <v>249</v>
      </c>
      <c r="B6" s="233">
        <v>4000</v>
      </c>
      <c r="C6" s="233"/>
    </row>
    <row r="7" spans="1:3" x14ac:dyDescent="0.5">
      <c r="A7" s="226" t="s">
        <v>250</v>
      </c>
      <c r="B7" s="233">
        <v>1425</v>
      </c>
      <c r="C7" s="233"/>
    </row>
    <row r="8" spans="1:3" x14ac:dyDescent="0.5">
      <c r="A8" s="226" t="s">
        <v>251</v>
      </c>
      <c r="B8" s="233">
        <v>10765</v>
      </c>
      <c r="C8" s="233"/>
    </row>
    <row r="9" spans="1:3" x14ac:dyDescent="0.5">
      <c r="A9" s="226" t="s">
        <v>253</v>
      </c>
      <c r="B9" s="233">
        <v>21365</v>
      </c>
      <c r="C9" s="233"/>
    </row>
    <row r="10" spans="1:3" x14ac:dyDescent="0.5">
      <c r="A10" s="226" t="s">
        <v>252</v>
      </c>
      <c r="B10" s="234"/>
      <c r="C10" s="234">
        <f>750*12</f>
        <v>9000</v>
      </c>
    </row>
    <row r="11" spans="1:3" x14ac:dyDescent="0.5">
      <c r="B11" s="233">
        <f>SUM(B4:B10)</f>
        <v>41675</v>
      </c>
      <c r="C11" s="233">
        <f>SUM(C4:C10)</f>
        <v>13110</v>
      </c>
    </row>
    <row r="12" spans="1:3" x14ac:dyDescent="0.5">
      <c r="A12" s="226" t="s">
        <v>254</v>
      </c>
      <c r="B12" s="234">
        <v>5</v>
      </c>
      <c r="C12" s="234"/>
    </row>
    <row r="13" spans="1:3" x14ac:dyDescent="0.5">
      <c r="A13" s="226" t="s">
        <v>46</v>
      </c>
      <c r="B13" s="233">
        <f>B11/B12</f>
        <v>8335</v>
      </c>
      <c r="C13" s="233">
        <f>C11</f>
        <v>13110</v>
      </c>
    </row>
    <row r="14" spans="1:3" x14ac:dyDescent="0.5">
      <c r="B14" s="233"/>
      <c r="C14" s="23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J49"/>
  <sheetViews>
    <sheetView topLeftCell="A16" workbookViewId="0">
      <selection activeCell="I41" sqref="I41"/>
    </sheetView>
  </sheetViews>
  <sheetFormatPr defaultColWidth="8.88671875" defaultRowHeight="14.25" x14ac:dyDescent="0.45"/>
  <cols>
    <col min="1" max="1" width="20.5546875" style="1" customWidth="1"/>
    <col min="2" max="9" width="12.5546875" style="7" customWidth="1"/>
    <col min="10" max="10" width="9" style="13" bestFit="1" customWidth="1"/>
    <col min="11" max="16384" width="8.88671875" style="1"/>
  </cols>
  <sheetData>
    <row r="1" spans="1:9" x14ac:dyDescent="0.45">
      <c r="A1" s="1" t="s">
        <v>47</v>
      </c>
    </row>
    <row r="2" spans="1:9" x14ac:dyDescent="0.45">
      <c r="B2" s="97"/>
      <c r="C2" s="97"/>
      <c r="D2" s="97"/>
      <c r="E2" s="97"/>
      <c r="F2" s="97"/>
      <c r="G2" s="97"/>
      <c r="H2" s="97"/>
      <c r="I2" s="97" t="s">
        <v>48</v>
      </c>
    </row>
    <row r="3" spans="1:9" x14ac:dyDescent="0.45">
      <c r="B3" s="97" t="s">
        <v>49</v>
      </c>
      <c r="C3" s="97" t="s">
        <v>49</v>
      </c>
      <c r="D3" s="97" t="s">
        <v>50</v>
      </c>
      <c r="E3" s="97" t="s">
        <v>49</v>
      </c>
      <c r="F3" s="97" t="s">
        <v>49</v>
      </c>
      <c r="G3" s="97" t="s">
        <v>51</v>
      </c>
      <c r="I3" s="97" t="s">
        <v>49</v>
      </c>
    </row>
    <row r="4" spans="1:9" x14ac:dyDescent="0.45">
      <c r="A4" s="1" t="s">
        <v>52</v>
      </c>
      <c r="B4" s="97" t="s">
        <v>53</v>
      </c>
      <c r="C4" s="97" t="s">
        <v>54</v>
      </c>
      <c r="D4" s="97" t="s">
        <v>55</v>
      </c>
      <c r="E4" s="97" t="s">
        <v>56</v>
      </c>
      <c r="F4" s="97" t="s">
        <v>57</v>
      </c>
      <c r="G4" s="97" t="s">
        <v>58</v>
      </c>
      <c r="H4" s="97" t="s">
        <v>59</v>
      </c>
      <c r="I4" s="97" t="s">
        <v>60</v>
      </c>
    </row>
    <row r="5" spans="1:9" x14ac:dyDescent="0.45">
      <c r="A5" s="1" t="s">
        <v>61</v>
      </c>
      <c r="B5" s="7">
        <v>2080</v>
      </c>
      <c r="C5" s="7">
        <v>0</v>
      </c>
      <c r="D5" s="7">
        <v>36.99</v>
      </c>
      <c r="E5" s="7">
        <f>B5*D5</f>
        <v>76939.199999999997</v>
      </c>
      <c r="F5" s="7">
        <f>C5*D5*1.5</f>
        <v>0</v>
      </c>
      <c r="I5" s="7">
        <f>E5+F5+G5+H5</f>
        <v>76939.199999999997</v>
      </c>
    </row>
    <row r="6" spans="1:9" x14ac:dyDescent="0.45">
      <c r="A6" s="1" t="s">
        <v>62</v>
      </c>
      <c r="B6" s="7">
        <v>2080</v>
      </c>
      <c r="C6" s="7">
        <f>78+9</f>
        <v>87</v>
      </c>
      <c r="D6" s="7">
        <v>33.15</v>
      </c>
      <c r="E6" s="7">
        <f>B6*D6</f>
        <v>68952</v>
      </c>
      <c r="F6" s="7">
        <f>C6*D6*1.5</f>
        <v>4326.0749999999998</v>
      </c>
      <c r="G6" s="7">
        <v>5950</v>
      </c>
      <c r="H6" s="7">
        <v>3840</v>
      </c>
      <c r="I6" s="7">
        <f t="shared" ref="I6:I21" si="0">E6+F6+G6+H6</f>
        <v>83068.074999999997</v>
      </c>
    </row>
    <row r="7" spans="1:9" x14ac:dyDescent="0.45">
      <c r="A7" s="1" t="s">
        <v>63</v>
      </c>
      <c r="B7" s="7">
        <v>2080</v>
      </c>
      <c r="C7" s="7">
        <f>137+12</f>
        <v>149</v>
      </c>
      <c r="D7" s="7">
        <v>33.68</v>
      </c>
      <c r="E7" s="7">
        <f t="shared" ref="E7:E11" si="1">B7*D7</f>
        <v>70054.399999999994</v>
      </c>
      <c r="F7" s="7">
        <f t="shared" ref="F7:F21" si="2">C7*D7*1.5</f>
        <v>7527.48</v>
      </c>
      <c r="G7" s="7">
        <v>5950</v>
      </c>
      <c r="H7" s="7">
        <v>3840</v>
      </c>
      <c r="I7" s="7">
        <f t="shared" si="0"/>
        <v>87371.87999999999</v>
      </c>
    </row>
    <row r="8" spans="1:9" x14ac:dyDescent="0.45">
      <c r="A8" s="1" t="s">
        <v>64</v>
      </c>
      <c r="B8" s="7">
        <f>1659+120+96+160</f>
        <v>2035</v>
      </c>
      <c r="C8" s="7">
        <v>196</v>
      </c>
      <c r="D8" s="7">
        <v>28.33</v>
      </c>
      <c r="E8" s="7">
        <f>B8*D8</f>
        <v>57651.549999999996</v>
      </c>
      <c r="F8" s="7">
        <f t="shared" si="2"/>
        <v>8329.0199999999986</v>
      </c>
      <c r="G8" s="7">
        <v>0</v>
      </c>
      <c r="H8" s="7">
        <v>1800</v>
      </c>
      <c r="I8" s="7">
        <f t="shared" si="0"/>
        <v>67780.569999999992</v>
      </c>
    </row>
    <row r="9" spans="1:9" x14ac:dyDescent="0.45">
      <c r="A9" s="1" t="s">
        <v>65</v>
      </c>
      <c r="B9" s="7">
        <v>2080</v>
      </c>
      <c r="C9" s="7">
        <v>165.5</v>
      </c>
      <c r="D9" s="7">
        <v>26.92</v>
      </c>
      <c r="E9" s="7">
        <f>B9*D9</f>
        <v>55993.600000000006</v>
      </c>
      <c r="F9" s="7">
        <f t="shared" si="2"/>
        <v>6682.89</v>
      </c>
      <c r="G9" s="7">
        <v>0</v>
      </c>
      <c r="H9" s="7">
        <v>3020</v>
      </c>
      <c r="I9" s="7">
        <f t="shared" si="0"/>
        <v>65696.490000000005</v>
      </c>
    </row>
    <row r="10" spans="1:9" x14ac:dyDescent="0.45">
      <c r="A10" s="1" t="s">
        <v>66</v>
      </c>
      <c r="B10" s="7">
        <f>1768+40+160+112</f>
        <v>2080</v>
      </c>
      <c r="C10" s="7">
        <v>118.5</v>
      </c>
      <c r="D10" s="7">
        <v>27.38</v>
      </c>
      <c r="E10" s="7">
        <f>B10*D10</f>
        <v>56950.400000000001</v>
      </c>
      <c r="F10" s="7">
        <f t="shared" si="2"/>
        <v>4866.7950000000001</v>
      </c>
      <c r="G10" s="7">
        <v>0</v>
      </c>
      <c r="H10" s="7">
        <v>1320</v>
      </c>
      <c r="I10" s="7">
        <f t="shared" si="0"/>
        <v>63137.195</v>
      </c>
    </row>
    <row r="11" spans="1:9" x14ac:dyDescent="0.45">
      <c r="A11" s="1" t="s">
        <v>67</v>
      </c>
      <c r="B11" s="7">
        <v>2080</v>
      </c>
      <c r="C11" s="7">
        <v>93</v>
      </c>
      <c r="D11" s="7">
        <v>26.31</v>
      </c>
      <c r="E11" s="7">
        <f t="shared" si="1"/>
        <v>54724.799999999996</v>
      </c>
      <c r="F11" s="7">
        <f t="shared" si="2"/>
        <v>3670.2449999999999</v>
      </c>
      <c r="G11" s="7">
        <v>0</v>
      </c>
      <c r="H11" s="7">
        <v>1640</v>
      </c>
      <c r="I11" s="7">
        <f t="shared" si="0"/>
        <v>60035.044999999998</v>
      </c>
    </row>
    <row r="12" spans="1:9" x14ac:dyDescent="0.45">
      <c r="A12" s="1" t="s">
        <v>68</v>
      </c>
      <c r="B12" s="7">
        <f>1824+120+48+80</f>
        <v>2072</v>
      </c>
      <c r="C12" s="7">
        <v>145.5</v>
      </c>
      <c r="D12" s="7">
        <v>25.52</v>
      </c>
      <c r="E12" s="7">
        <f t="shared" ref="E12:E17" si="3">B12*D12</f>
        <v>52877.440000000002</v>
      </c>
      <c r="F12" s="7">
        <f t="shared" ref="F12:F17" si="4">C12*D12*1.5</f>
        <v>5569.74</v>
      </c>
      <c r="G12" s="7">
        <v>0</v>
      </c>
      <c r="H12" s="7">
        <v>1380</v>
      </c>
      <c r="I12" s="7">
        <f t="shared" si="0"/>
        <v>59827.18</v>
      </c>
    </row>
    <row r="13" spans="1:9" x14ac:dyDescent="0.45">
      <c r="A13" s="1" t="s">
        <v>69</v>
      </c>
      <c r="B13" s="7">
        <v>2080</v>
      </c>
      <c r="C13" s="7">
        <v>211</v>
      </c>
      <c r="D13" s="7">
        <v>25.52</v>
      </c>
      <c r="E13" s="7">
        <f t="shared" si="3"/>
        <v>53081.599999999999</v>
      </c>
      <c r="F13" s="7">
        <f t="shared" si="4"/>
        <v>8077.08</v>
      </c>
      <c r="G13" s="7">
        <v>0</v>
      </c>
      <c r="H13" s="7">
        <v>1700</v>
      </c>
      <c r="I13" s="7">
        <f t="shared" si="0"/>
        <v>62858.68</v>
      </c>
    </row>
    <row r="14" spans="1:9" x14ac:dyDescent="0.45">
      <c r="A14" s="1" t="s">
        <v>70</v>
      </c>
      <c r="B14" s="7">
        <v>416</v>
      </c>
      <c r="C14" s="7">
        <v>0</v>
      </c>
      <c r="D14" s="7">
        <v>25.52</v>
      </c>
      <c r="E14" s="7">
        <f t="shared" si="3"/>
        <v>10616.32</v>
      </c>
      <c r="F14" s="7">
        <f t="shared" si="4"/>
        <v>0</v>
      </c>
      <c r="G14" s="7">
        <v>0</v>
      </c>
      <c r="H14" s="7">
        <v>0</v>
      </c>
      <c r="I14" s="7">
        <f t="shared" si="0"/>
        <v>10616.32</v>
      </c>
    </row>
    <row r="15" spans="1:9" x14ac:dyDescent="0.45">
      <c r="A15" s="1" t="s">
        <v>71</v>
      </c>
      <c r="B15" s="7">
        <v>2080</v>
      </c>
      <c r="C15" s="7">
        <v>161.75</v>
      </c>
      <c r="D15" s="7">
        <v>26.37</v>
      </c>
      <c r="E15" s="7">
        <f t="shared" si="3"/>
        <v>54849.599999999999</v>
      </c>
      <c r="F15" s="7">
        <f t="shared" si="4"/>
        <v>6398.0212499999998</v>
      </c>
      <c r="G15" s="7">
        <v>0</v>
      </c>
      <c r="H15" s="7">
        <v>2720</v>
      </c>
      <c r="I15" s="7">
        <f t="shared" si="0"/>
        <v>63967.621249999997</v>
      </c>
    </row>
    <row r="16" spans="1:9" x14ac:dyDescent="0.45">
      <c r="A16" s="1" t="s">
        <v>72</v>
      </c>
      <c r="B16" s="7">
        <v>1144</v>
      </c>
      <c r="C16" s="7">
        <v>0</v>
      </c>
      <c r="D16" s="7">
        <v>23.1</v>
      </c>
      <c r="E16" s="7">
        <f t="shared" si="3"/>
        <v>26426.400000000001</v>
      </c>
      <c r="F16" s="7">
        <f t="shared" si="4"/>
        <v>0</v>
      </c>
      <c r="G16" s="7">
        <v>0</v>
      </c>
      <c r="H16" s="7">
        <v>1440</v>
      </c>
      <c r="I16" s="7">
        <f t="shared" si="0"/>
        <v>27866.400000000001</v>
      </c>
    </row>
    <row r="17" spans="1:10" x14ac:dyDescent="0.45">
      <c r="A17" s="1" t="s">
        <v>73</v>
      </c>
      <c r="B17" s="7">
        <v>1121.25</v>
      </c>
      <c r="C17" s="7">
        <v>0</v>
      </c>
      <c r="D17" s="7">
        <v>23.1</v>
      </c>
      <c r="E17" s="7">
        <f t="shared" si="3"/>
        <v>25900.875</v>
      </c>
      <c r="F17" s="7">
        <f t="shared" si="4"/>
        <v>0</v>
      </c>
      <c r="G17" s="7">
        <v>0</v>
      </c>
      <c r="H17" s="7">
        <v>0</v>
      </c>
      <c r="I17" s="7">
        <f t="shared" si="0"/>
        <v>25900.875</v>
      </c>
    </row>
    <row r="18" spans="1:10" x14ac:dyDescent="0.45">
      <c r="A18" s="1" t="s">
        <v>74</v>
      </c>
      <c r="B18" s="7">
        <f>1740+128+84+120</f>
        <v>2072</v>
      </c>
      <c r="C18" s="7">
        <v>18.25</v>
      </c>
      <c r="D18" s="7">
        <v>24.27</v>
      </c>
      <c r="E18" s="7">
        <f t="shared" ref="E18:E19" si="5">B18*D18</f>
        <v>50287.44</v>
      </c>
      <c r="F18" s="7">
        <f t="shared" ref="F18:F19" si="6">C18*D18*1.5</f>
        <v>664.39125000000001</v>
      </c>
      <c r="G18" s="7">
        <v>0</v>
      </c>
      <c r="H18" s="7">
        <v>0</v>
      </c>
      <c r="I18" s="7">
        <f t="shared" si="0"/>
        <v>50951.831250000003</v>
      </c>
    </row>
    <row r="19" spans="1:10" x14ac:dyDescent="0.45">
      <c r="A19" s="1" t="s">
        <v>75</v>
      </c>
      <c r="B19" s="7">
        <f>175+269.5</f>
        <v>444.5</v>
      </c>
      <c r="C19" s="7">
        <v>0</v>
      </c>
      <c r="D19" s="7">
        <v>17.079999999999998</v>
      </c>
      <c r="E19" s="7">
        <f t="shared" si="5"/>
        <v>7592.0599999999995</v>
      </c>
      <c r="F19" s="7">
        <f t="shared" si="6"/>
        <v>0</v>
      </c>
      <c r="G19" s="7">
        <v>0</v>
      </c>
      <c r="H19" s="7">
        <v>0</v>
      </c>
      <c r="I19" s="7">
        <f t="shared" si="0"/>
        <v>7592.0599999999995</v>
      </c>
    </row>
    <row r="20" spans="1:10" x14ac:dyDescent="0.45">
      <c r="A20" s="1" t="s">
        <v>76</v>
      </c>
      <c r="B20" s="7">
        <v>2080</v>
      </c>
      <c r="C20" s="7">
        <v>34.5</v>
      </c>
      <c r="D20" s="7">
        <v>24.27</v>
      </c>
      <c r="E20" s="7">
        <f t="shared" ref="E20" si="7">B20*D20</f>
        <v>50481.599999999999</v>
      </c>
      <c r="F20" s="7">
        <f t="shared" ref="F20" si="8">C20*D20*1.5</f>
        <v>1255.9724999999999</v>
      </c>
      <c r="G20" s="7">
        <v>0</v>
      </c>
      <c r="H20" s="7">
        <v>0</v>
      </c>
      <c r="I20" s="7">
        <f t="shared" si="0"/>
        <v>51737.572499999995</v>
      </c>
    </row>
    <row r="21" spans="1:10" x14ac:dyDescent="0.45">
      <c r="A21" s="1" t="s">
        <v>77</v>
      </c>
      <c r="B21" s="7">
        <v>2080</v>
      </c>
      <c r="C21" s="7">
        <v>26.25</v>
      </c>
      <c r="D21" s="7">
        <v>25.05</v>
      </c>
      <c r="E21" s="7">
        <f>B21*D21</f>
        <v>52104</v>
      </c>
      <c r="F21" s="7">
        <f t="shared" si="2"/>
        <v>986.34375</v>
      </c>
      <c r="G21" s="7">
        <v>0</v>
      </c>
      <c r="H21" s="7">
        <v>0</v>
      </c>
      <c r="I21" s="7">
        <f t="shared" si="0"/>
        <v>53090.34375</v>
      </c>
    </row>
    <row r="22" spans="1:10" x14ac:dyDescent="0.45">
      <c r="B22" s="26"/>
      <c r="C22" s="26"/>
      <c r="E22" s="26"/>
      <c r="F22" s="26"/>
      <c r="G22" s="26"/>
      <c r="H22" s="26"/>
      <c r="I22" s="26"/>
    </row>
    <row r="23" spans="1:10" x14ac:dyDescent="0.45">
      <c r="B23" s="7">
        <f>SUM(B5:B21)</f>
        <v>30104.75</v>
      </c>
      <c r="C23" s="7">
        <f>SUM(C5:C21)</f>
        <v>1406.25</v>
      </c>
      <c r="E23" s="7">
        <f>SUM(E5:E21)</f>
        <v>825483.28500000003</v>
      </c>
      <c r="F23" s="7">
        <f>SUM(F5:F21)</f>
        <v>58354.053749999992</v>
      </c>
      <c r="G23" s="7">
        <f>SUM(G5:G21)</f>
        <v>11900</v>
      </c>
      <c r="H23" s="7">
        <f>SUM(H5:H21)</f>
        <v>22700</v>
      </c>
      <c r="I23" s="7">
        <f>SUM(I5:I22)</f>
        <v>918437.33875000011</v>
      </c>
      <c r="J23" s="235"/>
    </row>
    <row r="25" spans="1:10" x14ac:dyDescent="0.45">
      <c r="A25" s="1" t="s">
        <v>78</v>
      </c>
      <c r="I25" s="7">
        <f>I23</f>
        <v>918437.33875000011</v>
      </c>
    </row>
    <row r="27" spans="1:10" x14ac:dyDescent="0.45">
      <c r="A27" s="1" t="s">
        <v>79</v>
      </c>
      <c r="I27" s="7">
        <f>I25-I14-I19</f>
        <v>900228.95875000011</v>
      </c>
    </row>
    <row r="29" spans="1:10" x14ac:dyDescent="0.45">
      <c r="I29" s="97" t="s">
        <v>2</v>
      </c>
    </row>
    <row r="30" spans="1:10" x14ac:dyDescent="0.45">
      <c r="D30" s="7" t="s">
        <v>80</v>
      </c>
      <c r="I30" s="6">
        <f>I25</f>
        <v>918437.33875000011</v>
      </c>
    </row>
    <row r="31" spans="1:10" x14ac:dyDescent="0.45">
      <c r="D31" s="7" t="s">
        <v>81</v>
      </c>
      <c r="I31" s="5">
        <f>-SAO!D14</f>
        <v>-956992</v>
      </c>
    </row>
    <row r="32" spans="1:10" x14ac:dyDescent="0.45">
      <c r="D32" s="7" t="s">
        <v>82</v>
      </c>
      <c r="I32" s="6">
        <f>I30+I31</f>
        <v>-38554.661249999888</v>
      </c>
      <c r="J32" s="12" t="s">
        <v>259</v>
      </c>
    </row>
    <row r="33" spans="2:10" x14ac:dyDescent="0.45">
      <c r="I33" s="7" t="s">
        <v>83</v>
      </c>
    </row>
    <row r="34" spans="2:10" x14ac:dyDescent="0.45">
      <c r="D34" s="7" t="s">
        <v>84</v>
      </c>
      <c r="I34" s="6">
        <f>I25</f>
        <v>918437.33875000011</v>
      </c>
    </row>
    <row r="35" spans="2:10" x14ac:dyDescent="0.45">
      <c r="D35" s="7" t="s">
        <v>85</v>
      </c>
      <c r="I35" s="98">
        <v>7.6499999999999999E-2</v>
      </c>
    </row>
    <row r="36" spans="2:10" x14ac:dyDescent="0.45">
      <c r="D36" s="7" t="s">
        <v>86</v>
      </c>
      <c r="I36" s="6">
        <f>I34*I35</f>
        <v>70260.456414375003</v>
      </c>
    </row>
    <row r="37" spans="2:10" x14ac:dyDescent="0.45">
      <c r="D37" s="7" t="s">
        <v>87</v>
      </c>
      <c r="I37" s="174">
        <f>-SAO!D34</f>
        <v>-80633</v>
      </c>
    </row>
    <row r="38" spans="2:10" x14ac:dyDescent="0.45">
      <c r="D38" s="7" t="s">
        <v>88</v>
      </c>
      <c r="I38" s="173">
        <f>I36+I37</f>
        <v>-10372.543585624997</v>
      </c>
      <c r="J38" s="12" t="s">
        <v>262</v>
      </c>
    </row>
    <row r="39" spans="2:10" x14ac:dyDescent="0.45">
      <c r="I39" s="288"/>
    </row>
    <row r="40" spans="2:10" x14ac:dyDescent="0.45">
      <c r="D40" s="7" t="s">
        <v>89</v>
      </c>
      <c r="I40" s="173">
        <f>I27</f>
        <v>900228.95875000011</v>
      </c>
    </row>
    <row r="41" spans="2:10" x14ac:dyDescent="0.45">
      <c r="D41" s="7" t="s">
        <v>90</v>
      </c>
      <c r="I41" s="289">
        <v>0.1971</v>
      </c>
    </row>
    <row r="42" spans="2:10" x14ac:dyDescent="0.45">
      <c r="D42" s="7" t="s">
        <v>91</v>
      </c>
      <c r="I42" s="173">
        <f>I40*I41</f>
        <v>177435.12776962502</v>
      </c>
    </row>
    <row r="43" spans="2:10" x14ac:dyDescent="0.45">
      <c r="D43" s="7" t="s">
        <v>92</v>
      </c>
      <c r="I43" s="174">
        <f>-209950-14626</f>
        <v>-224576</v>
      </c>
    </row>
    <row r="44" spans="2:10" x14ac:dyDescent="0.45">
      <c r="D44" s="7" t="s">
        <v>93</v>
      </c>
      <c r="I44" s="6">
        <f>I42+I43</f>
        <v>-47140.872230374982</v>
      </c>
      <c r="J44" s="12" t="s">
        <v>232</v>
      </c>
    </row>
    <row r="45" spans="2:10" x14ac:dyDescent="0.45">
      <c r="I45" s="6"/>
    </row>
    <row r="46" spans="2:10" x14ac:dyDescent="0.45">
      <c r="I46" s="6"/>
    </row>
    <row r="47" spans="2:10" x14ac:dyDescent="0.45">
      <c r="C47" s="144"/>
      <c r="I47" s="6"/>
    </row>
    <row r="48" spans="2:10" x14ac:dyDescent="0.45">
      <c r="B48" s="8"/>
      <c r="C48" s="144"/>
      <c r="I48" s="6"/>
    </row>
    <row r="49" spans="2:9" x14ac:dyDescent="0.45">
      <c r="B49" s="26"/>
      <c r="C49" s="144"/>
      <c r="I49" s="6"/>
    </row>
  </sheetData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>
      <selection activeCell="D15" sqref="D15"/>
    </sheetView>
  </sheetViews>
  <sheetFormatPr defaultColWidth="8.88671875" defaultRowHeight="14.25" x14ac:dyDescent="0.45"/>
  <cols>
    <col min="1" max="1" width="12.6640625" style="1" customWidth="1"/>
    <col min="2" max="2" width="11.5546875" style="113" bestFit="1" customWidth="1"/>
    <col min="3" max="3" width="10.33203125" style="113" bestFit="1" customWidth="1"/>
    <col min="4" max="4" width="9.77734375" style="119" customWidth="1"/>
    <col min="5" max="5" width="9.77734375" style="114" customWidth="1"/>
    <col min="6" max="6" width="11.44140625" style="113" customWidth="1"/>
    <col min="7" max="7" width="10.6640625" style="115" customWidth="1"/>
    <col min="8" max="8" width="10.109375" style="113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77734375" style="1" bestFit="1" customWidth="1"/>
    <col min="15" max="16384" width="8.88671875" style="1"/>
  </cols>
  <sheetData>
    <row r="1" spans="1:12" x14ac:dyDescent="0.45">
      <c r="A1" s="1" t="s">
        <v>94</v>
      </c>
    </row>
    <row r="2" spans="1:12" x14ac:dyDescent="0.45">
      <c r="B2" s="116"/>
    </row>
    <row r="3" spans="1:12" x14ac:dyDescent="0.45">
      <c r="C3" s="113" t="s">
        <v>95</v>
      </c>
      <c r="F3" s="113" t="s">
        <v>96</v>
      </c>
      <c r="G3" s="115" t="s">
        <v>97</v>
      </c>
      <c r="H3" s="113" t="s">
        <v>97</v>
      </c>
    </row>
    <row r="4" spans="1:12" x14ac:dyDescent="0.45">
      <c r="B4" s="127" t="s">
        <v>95</v>
      </c>
      <c r="C4" s="113" t="s">
        <v>98</v>
      </c>
      <c r="D4" s="119" t="s">
        <v>98</v>
      </c>
      <c r="E4" s="114" t="s">
        <v>99</v>
      </c>
      <c r="F4" s="113" t="s">
        <v>100</v>
      </c>
      <c r="G4" s="115" t="s">
        <v>101</v>
      </c>
      <c r="H4" s="113" t="s">
        <v>101</v>
      </c>
    </row>
    <row r="5" spans="1:12" x14ac:dyDescent="0.45">
      <c r="B5" s="113" t="s">
        <v>102</v>
      </c>
      <c r="C5" s="113" t="s">
        <v>103</v>
      </c>
      <c r="D5" s="119" t="s">
        <v>104</v>
      </c>
      <c r="E5" s="114" t="s">
        <v>104</v>
      </c>
      <c r="F5" s="113" t="s">
        <v>102</v>
      </c>
      <c r="G5" s="115" t="s">
        <v>105</v>
      </c>
      <c r="H5" s="113" t="s">
        <v>106</v>
      </c>
      <c r="I5" s="12"/>
    </row>
    <row r="6" spans="1:12" x14ac:dyDescent="0.45">
      <c r="A6" s="1" t="s">
        <v>107</v>
      </c>
      <c r="B6" s="113">
        <v>984.85</v>
      </c>
      <c r="C6" s="113">
        <v>0</v>
      </c>
      <c r="D6" s="119">
        <v>0</v>
      </c>
      <c r="E6" s="114">
        <v>1</v>
      </c>
      <c r="F6" s="113">
        <f>B6*12</f>
        <v>11818.2</v>
      </c>
      <c r="G6" s="115">
        <v>0.78</v>
      </c>
      <c r="H6" s="113">
        <f>F6*G6</f>
        <v>9218.1960000000017</v>
      </c>
      <c r="I6" s="12"/>
    </row>
    <row r="7" spans="1:12" x14ac:dyDescent="0.45">
      <c r="A7" s="1" t="s">
        <v>108</v>
      </c>
      <c r="B7" s="113">
        <f>31712.72-B6</f>
        <v>30727.870000000003</v>
      </c>
      <c r="C7" s="113">
        <v>0</v>
      </c>
      <c r="D7" s="119">
        <v>0</v>
      </c>
      <c r="E7" s="114">
        <v>1</v>
      </c>
      <c r="F7" s="113">
        <f>B7*12</f>
        <v>368734.44000000006</v>
      </c>
      <c r="G7" s="115">
        <v>0.67</v>
      </c>
      <c r="H7" s="113">
        <f>F7*G7</f>
        <v>247052.07480000006</v>
      </c>
      <c r="I7" s="12"/>
    </row>
    <row r="8" spans="1:12" x14ac:dyDescent="0.45">
      <c r="A8" s="1" t="s">
        <v>109</v>
      </c>
      <c r="B8" s="113">
        <v>1336.53</v>
      </c>
      <c r="C8" s="113">
        <v>0</v>
      </c>
      <c r="D8" s="119">
        <v>0</v>
      </c>
      <c r="E8" s="114">
        <v>1</v>
      </c>
      <c r="F8" s="113">
        <f>B8*12</f>
        <v>16038.36</v>
      </c>
      <c r="G8" s="124">
        <v>1</v>
      </c>
      <c r="H8" s="113">
        <f>F8*G8</f>
        <v>16038.36</v>
      </c>
      <c r="I8" s="28"/>
    </row>
    <row r="9" spans="1:12" x14ac:dyDescent="0.45">
      <c r="A9" s="1" t="s">
        <v>110</v>
      </c>
      <c r="B9" s="118">
        <v>1173.81</v>
      </c>
      <c r="C9" s="117">
        <v>0</v>
      </c>
      <c r="D9" s="119">
        <v>0</v>
      </c>
      <c r="E9" s="115">
        <v>1</v>
      </c>
      <c r="F9" s="118">
        <f>B9*12</f>
        <v>14085.72</v>
      </c>
      <c r="G9" s="115">
        <v>0.6</v>
      </c>
      <c r="H9" s="118">
        <f>F9*G9</f>
        <v>8451.4319999999989</v>
      </c>
      <c r="I9" s="110"/>
      <c r="K9" s="2"/>
      <c r="L9" s="111"/>
    </row>
    <row r="10" spans="1:12" x14ac:dyDescent="0.45">
      <c r="A10" s="107" t="s">
        <v>111</v>
      </c>
      <c r="B10" s="113">
        <f>SUM(B6:B9)</f>
        <v>34223.06</v>
      </c>
      <c r="C10" s="113">
        <f>SUM(C6:C9)</f>
        <v>0</v>
      </c>
      <c r="F10" s="113">
        <f>SUM(F6:F9)</f>
        <v>410676.72000000003</v>
      </c>
      <c r="G10" s="125"/>
      <c r="H10" s="127">
        <f>SUM(H6:H9)</f>
        <v>280760.06280000001</v>
      </c>
      <c r="I10" s="28"/>
    </row>
    <row r="11" spans="1:12" x14ac:dyDescent="0.45">
      <c r="C11" s="117"/>
      <c r="E11" s="115"/>
      <c r="H11" s="128"/>
      <c r="I11" s="110"/>
    </row>
    <row r="12" spans="1:12" x14ac:dyDescent="0.45">
      <c r="A12" s="1" t="s">
        <v>112</v>
      </c>
      <c r="C12" s="117">
        <f>H10</f>
        <v>280760.06280000001</v>
      </c>
      <c r="E12" s="115"/>
      <c r="H12" s="128"/>
      <c r="I12" s="108"/>
    </row>
    <row r="13" spans="1:12" ht="16.5" x14ac:dyDescent="0.75">
      <c r="A13" s="1" t="s">
        <v>113</v>
      </c>
      <c r="C13" s="117">
        <f>-F10</f>
        <v>-410676.72000000003</v>
      </c>
      <c r="E13" s="115"/>
      <c r="G13" s="126"/>
      <c r="H13" s="128"/>
      <c r="I13" s="112"/>
    </row>
    <row r="14" spans="1:12" x14ac:dyDescent="0.45">
      <c r="A14" s="1" t="s">
        <v>114</v>
      </c>
      <c r="C14" s="113">
        <f>C12+C13</f>
        <v>-129916.65720000002</v>
      </c>
      <c r="D14" s="132" t="s">
        <v>261</v>
      </c>
    </row>
    <row r="15" spans="1:12" x14ac:dyDescent="0.45">
      <c r="I15" s="110"/>
    </row>
    <row r="16" spans="1:12" x14ac:dyDescent="0.45">
      <c r="I16" s="110"/>
    </row>
    <row r="17" spans="1:12" x14ac:dyDescent="0.45">
      <c r="I17" s="110"/>
    </row>
    <row r="18" spans="1:12" x14ac:dyDescent="0.45">
      <c r="E18" s="121"/>
      <c r="H18" s="129"/>
      <c r="I18" s="28"/>
      <c r="K18" s="109"/>
      <c r="L18" s="109"/>
    </row>
    <row r="19" spans="1:12" x14ac:dyDescent="0.45">
      <c r="D19" s="120"/>
      <c r="E19" s="122"/>
      <c r="H19" s="130"/>
      <c r="I19" s="105"/>
      <c r="K19" s="2"/>
    </row>
    <row r="20" spans="1:12" ht="16.5" x14ac:dyDescent="0.75">
      <c r="E20" s="123"/>
      <c r="H20" s="131"/>
      <c r="I20" s="106"/>
    </row>
    <row r="21" spans="1:12" x14ac:dyDescent="0.45">
      <c r="E21" s="122"/>
      <c r="H21" s="130"/>
      <c r="I21" s="105"/>
    </row>
    <row r="26" spans="1:12" x14ac:dyDescent="0.45">
      <c r="A26" s="11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I45"/>
  <sheetViews>
    <sheetView showGridLines="0" topLeftCell="A16" workbookViewId="0">
      <selection activeCell="E41" sqref="E41"/>
    </sheetView>
  </sheetViews>
  <sheetFormatPr defaultColWidth="8.88671875" defaultRowHeight="14.25" x14ac:dyDescent="0.45"/>
  <cols>
    <col min="1" max="1" width="22" style="1" customWidth="1"/>
    <col min="2" max="2" width="11" style="6" bestFit="1" customWidth="1"/>
    <col min="3" max="3" width="9.88671875" style="6" bestFit="1" customWidth="1"/>
    <col min="4" max="4" width="10.44140625" style="1" bestFit="1" customWidth="1"/>
    <col min="5" max="16384" width="8.88671875" style="1"/>
  </cols>
  <sheetData>
    <row r="1" spans="1:3" x14ac:dyDescent="0.45">
      <c r="A1" s="138" t="s">
        <v>127</v>
      </c>
    </row>
    <row r="2" spans="1:3" x14ac:dyDescent="0.45">
      <c r="A2" s="138"/>
    </row>
    <row r="3" spans="1:3" x14ac:dyDescent="0.45">
      <c r="A3" s="138" t="s">
        <v>127</v>
      </c>
    </row>
    <row r="4" spans="1:3" x14ac:dyDescent="0.45">
      <c r="A4" s="1" t="s">
        <v>128</v>
      </c>
      <c r="C4" s="6">
        <v>0</v>
      </c>
    </row>
    <row r="5" spans="1:3" x14ac:dyDescent="0.45">
      <c r="A5" s="1" t="s">
        <v>129</v>
      </c>
      <c r="C5" s="5">
        <v>417727</v>
      </c>
    </row>
    <row r="6" spans="1:3" x14ac:dyDescent="0.45">
      <c r="A6" s="1" t="s">
        <v>130</v>
      </c>
      <c r="C6" s="6">
        <f>C4+C5</f>
        <v>417727</v>
      </c>
    </row>
    <row r="8" spans="1:3" x14ac:dyDescent="0.45">
      <c r="A8" s="1" t="s">
        <v>131</v>
      </c>
      <c r="C8" s="6">
        <v>333386</v>
      </c>
    </row>
    <row r="10" spans="1:3" x14ac:dyDescent="0.45">
      <c r="A10" s="1" t="s">
        <v>132</v>
      </c>
    </row>
    <row r="11" spans="1:3" x14ac:dyDescent="0.45">
      <c r="A11" s="1" t="s">
        <v>133</v>
      </c>
      <c r="B11" s="6">
        <v>2700</v>
      </c>
    </row>
    <row r="12" spans="1:3" x14ac:dyDescent="0.45">
      <c r="A12" s="1" t="s">
        <v>134</v>
      </c>
      <c r="B12" s="6">
        <v>7980</v>
      </c>
    </row>
    <row r="13" spans="1:3" x14ac:dyDescent="0.45">
      <c r="A13" s="1" t="s">
        <v>135</v>
      </c>
      <c r="B13" s="6">
        <v>356</v>
      </c>
    </row>
    <row r="14" spans="1:3" x14ac:dyDescent="0.45">
      <c r="A14" s="1" t="s">
        <v>136</v>
      </c>
      <c r="B14" s="6">
        <v>0</v>
      </c>
    </row>
    <row r="15" spans="1:3" x14ac:dyDescent="0.45">
      <c r="A15" s="1" t="s">
        <v>137</v>
      </c>
      <c r="C15" s="6">
        <f>SUM(B11:B14)</f>
        <v>11036</v>
      </c>
    </row>
    <row r="17" spans="1:9" x14ac:dyDescent="0.45">
      <c r="A17" s="1" t="s">
        <v>138</v>
      </c>
    </row>
    <row r="18" spans="1:9" x14ac:dyDescent="0.45">
      <c r="A18" s="1" t="s">
        <v>139</v>
      </c>
      <c r="B18" s="6">
        <v>0</v>
      </c>
    </row>
    <row r="19" spans="1:9" x14ac:dyDescent="0.45">
      <c r="A19" s="1" t="s">
        <v>140</v>
      </c>
      <c r="B19" s="6">
        <v>11523</v>
      </c>
    </row>
    <row r="20" spans="1:9" x14ac:dyDescent="0.45">
      <c r="A20" s="1" t="s">
        <v>141</v>
      </c>
      <c r="B20" s="6">
        <v>61782</v>
      </c>
    </row>
    <row r="21" spans="1:9" x14ac:dyDescent="0.45">
      <c r="A21" s="1" t="s">
        <v>142</v>
      </c>
      <c r="B21" s="6">
        <v>0</v>
      </c>
    </row>
    <row r="22" spans="1:9" x14ac:dyDescent="0.45">
      <c r="A22" s="1" t="s">
        <v>143</v>
      </c>
      <c r="B22" s="6">
        <v>0</v>
      </c>
    </row>
    <row r="23" spans="1:9" x14ac:dyDescent="0.45">
      <c r="A23" s="1" t="s">
        <v>144</v>
      </c>
      <c r="C23" s="5">
        <f>SUM(B18:B22)</f>
        <v>73305</v>
      </c>
    </row>
    <row r="24" spans="1:9" x14ac:dyDescent="0.45">
      <c r="A24" s="1" t="s">
        <v>145</v>
      </c>
      <c r="C24" s="6">
        <f>C8+C15+C23</f>
        <v>417727</v>
      </c>
    </row>
    <row r="26" spans="1:9" x14ac:dyDescent="0.45">
      <c r="D26" s="29">
        <f>C23/C6</f>
        <v>0.17548542469124573</v>
      </c>
      <c r="E26" s="1" t="s">
        <v>146</v>
      </c>
    </row>
    <row r="27" spans="1:9" x14ac:dyDescent="0.45">
      <c r="D27" s="140">
        <v>0.15</v>
      </c>
      <c r="E27" s="1" t="s">
        <v>147</v>
      </c>
    </row>
    <row r="28" spans="1:9" x14ac:dyDescent="0.45">
      <c r="D28" s="29">
        <f>D26-D27</f>
        <v>2.5485424691245734E-2</v>
      </c>
      <c r="E28" s="1" t="s">
        <v>148</v>
      </c>
      <c r="G28" s="12"/>
    </row>
    <row r="29" spans="1:9" x14ac:dyDescent="0.45">
      <c r="D29" s="29"/>
      <c r="G29" s="12"/>
    </row>
    <row r="30" spans="1:9" x14ac:dyDescent="0.45">
      <c r="D30" s="29"/>
      <c r="G30" s="12"/>
    </row>
    <row r="31" spans="1:9" s="138" customFormat="1" x14ac:dyDescent="0.45">
      <c r="A31" s="138" t="s">
        <v>149</v>
      </c>
      <c r="B31" s="141"/>
      <c r="C31" s="141"/>
      <c r="I31" s="145"/>
    </row>
    <row r="32" spans="1:9" x14ac:dyDescent="0.45">
      <c r="A32" s="1" t="s">
        <v>16</v>
      </c>
      <c r="B32" s="139">
        <f>SAO!D18</f>
        <v>1609028</v>
      </c>
      <c r="C32" s="134">
        <f>D28</f>
        <v>2.5485424691245734E-2</v>
      </c>
      <c r="D32" s="146">
        <f>B32*C32</f>
        <v>41006.761920105739</v>
      </c>
      <c r="E32" s="138" t="s">
        <v>150</v>
      </c>
      <c r="F32" s="138"/>
      <c r="G32" s="138"/>
      <c r="H32" s="138"/>
      <c r="I32" s="145"/>
    </row>
    <row r="33" spans="1:9" x14ac:dyDescent="0.45">
      <c r="A33" s="1" t="s">
        <v>231</v>
      </c>
      <c r="B33" s="139">
        <f>B45</f>
        <v>325715.48</v>
      </c>
      <c r="C33" s="134">
        <f>D28</f>
        <v>2.5485424691245734E-2</v>
      </c>
      <c r="D33" s="146">
        <f>B33*C33</f>
        <v>8300.9973363129557</v>
      </c>
      <c r="E33" s="138" t="s">
        <v>150</v>
      </c>
      <c r="F33" s="138"/>
      <c r="G33" s="138"/>
      <c r="H33" s="138"/>
      <c r="I33" s="145"/>
    </row>
    <row r="34" spans="1:9" x14ac:dyDescent="0.45">
      <c r="A34" s="1" t="str">
        <f>SAO!C20</f>
        <v>Purchased Power</v>
      </c>
      <c r="B34" s="139">
        <f>SAO!D20</f>
        <v>119207</v>
      </c>
      <c r="C34" s="134">
        <f>D28</f>
        <v>2.5485424691245734E-2</v>
      </c>
      <c r="D34" s="146">
        <f>B34*C34</f>
        <v>3038.0410211693302</v>
      </c>
      <c r="E34" s="138" t="s">
        <v>151</v>
      </c>
      <c r="F34" s="138"/>
      <c r="G34" s="138"/>
      <c r="H34" s="138"/>
      <c r="I34" s="145"/>
    </row>
    <row r="35" spans="1:9" ht="16.5" x14ac:dyDescent="0.75">
      <c r="A35" s="1" t="str">
        <f>SAO!C21</f>
        <v>Chemicals</v>
      </c>
      <c r="B35" s="6">
        <f>SAO!D21</f>
        <v>7609</v>
      </c>
      <c r="C35" s="135">
        <f>D28</f>
        <v>2.5485424691245734E-2</v>
      </c>
      <c r="D35" s="147">
        <f>B35*C35</f>
        <v>193.91859647568879</v>
      </c>
      <c r="E35" s="138" t="s">
        <v>152</v>
      </c>
      <c r="F35" s="138"/>
      <c r="G35" s="138"/>
      <c r="H35" s="138"/>
      <c r="I35" s="145"/>
    </row>
    <row r="36" spans="1:9" x14ac:dyDescent="0.45">
      <c r="A36" s="138" t="s">
        <v>153</v>
      </c>
      <c r="B36" s="141"/>
      <c r="C36" s="142"/>
      <c r="D36" s="143">
        <f>SUM(D32:D35)</f>
        <v>52539.718874063714</v>
      </c>
    </row>
    <row r="37" spans="1:9" x14ac:dyDescent="0.45">
      <c r="A37" s="138"/>
      <c r="B37" s="141"/>
      <c r="C37" s="142"/>
      <c r="D37" s="143"/>
    </row>
    <row r="38" spans="1:9" x14ac:dyDescent="0.45">
      <c r="A38" s="138" t="s">
        <v>270</v>
      </c>
      <c r="B38" s="141"/>
      <c r="C38" s="142"/>
      <c r="D38" s="143"/>
    </row>
    <row r="39" spans="1:9" x14ac:dyDescent="0.45">
      <c r="A39" s="1" t="s">
        <v>153</v>
      </c>
      <c r="C39" s="133"/>
      <c r="D39" s="137">
        <f>D36</f>
        <v>52539.718874063714</v>
      </c>
    </row>
    <row r="40" spans="1:9" ht="16.5" x14ac:dyDescent="0.75">
      <c r="A40" s="1" t="s">
        <v>271</v>
      </c>
      <c r="C40" s="133"/>
      <c r="D40" s="237">
        <f>ExBA!E14</f>
        <v>71790</v>
      </c>
    </row>
    <row r="41" spans="1:9" x14ac:dyDescent="0.45">
      <c r="A41" s="1" t="s">
        <v>270</v>
      </c>
      <c r="C41" s="133"/>
      <c r="D41" s="287">
        <f>D39/D40</f>
        <v>0.73185288862047237</v>
      </c>
      <c r="E41" s="1" t="s">
        <v>328</v>
      </c>
    </row>
    <row r="42" spans="1:9" x14ac:dyDescent="0.45">
      <c r="C42" s="133"/>
      <c r="D42" s="137"/>
    </row>
    <row r="43" spans="1:9" x14ac:dyDescent="0.45">
      <c r="A43" s="138" t="s">
        <v>154</v>
      </c>
      <c r="B43" s="173"/>
      <c r="C43" s="173"/>
    </row>
    <row r="44" spans="1:9" x14ac:dyDescent="0.45">
      <c r="B44" s="173"/>
      <c r="C44" s="173"/>
    </row>
    <row r="45" spans="1:9" x14ac:dyDescent="0.45">
      <c r="A45" s="1" t="s">
        <v>5</v>
      </c>
      <c r="B45" s="225">
        <v>325715.48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SAO</vt:lpstr>
      <vt:lpstr>Revenue Requirement</vt:lpstr>
      <vt:lpstr>Depreciation</vt:lpstr>
      <vt:lpstr>Debt Service</vt:lpstr>
      <vt:lpstr>Materials and Supplies</vt:lpstr>
      <vt:lpstr>Software Upgrade</vt:lpstr>
      <vt:lpstr>Wages</vt:lpstr>
      <vt:lpstr>Medical</vt:lpstr>
      <vt:lpstr>Purchased Water</vt:lpstr>
      <vt:lpstr>Rates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PrBA!Print_Area</vt:lpstr>
      <vt:lpstr>Rates!Print_Area</vt:lpstr>
      <vt:lpstr>'Revenue Requirement'!Print_Area</vt:lpstr>
      <vt:lpstr>SAO!Print_Area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Robert Miller</cp:lastModifiedBy>
  <cp:revision/>
  <cp:lastPrinted>2025-03-06T15:35:53Z</cp:lastPrinted>
  <dcterms:created xsi:type="dcterms:W3CDTF">2016-05-18T14:12:06Z</dcterms:created>
  <dcterms:modified xsi:type="dcterms:W3CDTF">2025-03-06T15:38:21Z</dcterms:modified>
  <cp:category/>
  <cp:contentStatus/>
</cp:coreProperties>
</file>