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"/>
    </mc:Choice>
  </mc:AlternateContent>
  <xr:revisionPtr revIDLastSave="0" documentId="13_ncr:1_{B4F332A0-D508-4E7C-B043-EACEADC23C36}" xr6:coauthVersionLast="47" xr6:coauthVersionMax="47" xr10:uidLastSave="{00000000-0000-0000-0000-000000000000}"/>
  <bookViews>
    <workbookView xWindow="-120" yWindow="-120" windowWidth="29040" windowHeight="15720" xr2:uid="{C8B6113C-F1E9-498E-AF3E-E96255BE266E}"/>
  </bookViews>
  <sheets>
    <sheet name="1.16 Health" sheetId="1" r:id="rId1"/>
  </sheets>
  <externalReferences>
    <externalReference r:id="rId2"/>
  </externalReferences>
  <definedNames>
    <definedName name="_xlnm.Print_Titles" localSheetId="0">'1.16 Health'!$1:$6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30" i="1"/>
  <c r="K30" i="1"/>
  <c r="I30" i="1"/>
  <c r="G30" i="1"/>
  <c r="E30" i="1"/>
  <c r="C30" i="1"/>
  <c r="L21" i="1"/>
  <c r="K21" i="1"/>
  <c r="I21" i="1"/>
  <c r="G21" i="1"/>
  <c r="E21" i="1"/>
  <c r="C21" i="1"/>
  <c r="H20" i="1"/>
  <c r="F20" i="1"/>
  <c r="I20" i="1"/>
  <c r="G19" i="1"/>
  <c r="C28" i="1"/>
  <c r="C29" i="1"/>
  <c r="G29" i="1" l="1"/>
  <c r="C17" i="1" l="1"/>
  <c r="I18" i="1"/>
  <c r="G18" i="1"/>
  <c r="I17" i="1" l="1"/>
  <c r="L17" i="1" s="1"/>
  <c r="G77" i="1"/>
  <c r="G71" i="1"/>
  <c r="C53" i="1"/>
  <c r="I52" i="1"/>
  <c r="G52" i="1"/>
  <c r="G53" i="1" s="1"/>
  <c r="E52" i="1"/>
  <c r="I51" i="1"/>
  <c r="E51" i="1"/>
  <c r="I50" i="1"/>
  <c r="E50" i="1"/>
  <c r="I49" i="1"/>
  <c r="E49" i="1"/>
  <c r="I48" i="1"/>
  <c r="E48" i="1"/>
  <c r="C45" i="1"/>
  <c r="I44" i="1"/>
  <c r="G44" i="1"/>
  <c r="G45" i="1" s="1"/>
  <c r="E44" i="1"/>
  <c r="I43" i="1"/>
  <c r="E43" i="1"/>
  <c r="I42" i="1"/>
  <c r="E42" i="1"/>
  <c r="I41" i="1"/>
  <c r="E41" i="1"/>
  <c r="I40" i="1"/>
  <c r="E40" i="1"/>
  <c r="H29" i="1"/>
  <c r="H28" i="1"/>
  <c r="I28" i="1" s="1"/>
  <c r="L28" i="1" s="1"/>
  <c r="G28" i="1"/>
  <c r="K27" i="1"/>
  <c r="H27" i="1"/>
  <c r="I27" i="1" s="1"/>
  <c r="E27" i="1"/>
  <c r="H26" i="1"/>
  <c r="I26" i="1" s="1"/>
  <c r="L26" i="1" s="1"/>
  <c r="E26" i="1"/>
  <c r="H25" i="1"/>
  <c r="I25" i="1" s="1"/>
  <c r="L25" i="1" s="1"/>
  <c r="E25" i="1"/>
  <c r="K24" i="1"/>
  <c r="H24" i="1"/>
  <c r="I24" i="1" s="1"/>
  <c r="E24" i="1"/>
  <c r="L18" i="1"/>
  <c r="I16" i="1"/>
  <c r="L16" i="1" s="1"/>
  <c r="E16" i="1"/>
  <c r="I15" i="1"/>
  <c r="L15" i="1" s="1"/>
  <c r="E15" i="1"/>
  <c r="I14" i="1"/>
  <c r="L14" i="1" s="1"/>
  <c r="E14" i="1"/>
  <c r="I13" i="1"/>
  <c r="L13" i="1" s="1"/>
  <c r="E13" i="1"/>
  <c r="B4" i="1"/>
  <c r="B3" i="1"/>
  <c r="L27" i="1" l="1"/>
  <c r="I29" i="1"/>
  <c r="L29" i="1" s="1"/>
  <c r="I45" i="1"/>
  <c r="E45" i="1"/>
  <c r="E53" i="1"/>
  <c r="I53" i="1"/>
  <c r="G79" i="1"/>
  <c r="L24" i="1"/>
  <c r="I55" i="1" l="1"/>
  <c r="I57" i="1" l="1"/>
  <c r="H75" i="1" s="1"/>
  <c r="H67" i="1"/>
  <c r="H66" i="1" l="1"/>
  <c r="H71" i="1" s="1"/>
  <c r="H76" i="1"/>
  <c r="H70" i="1"/>
  <c r="H69" i="1"/>
  <c r="H68" i="1"/>
  <c r="H74" i="1"/>
  <c r="H73" i="1"/>
  <c r="H77" i="1" s="1"/>
  <c r="H79" i="1" l="1"/>
</calcChain>
</file>

<file path=xl/sharedStrings.xml><?xml version="1.0" encoding="utf-8"?>
<sst xmlns="http://schemas.openxmlformats.org/spreadsheetml/2006/main" count="104" uniqueCount="68">
  <si>
    <t>Reference Schedule:  1.16</t>
  </si>
  <si>
    <t>HDHP Health Insurance Premiums</t>
  </si>
  <si>
    <t>H.S.A./H.R.A. Contributions</t>
  </si>
  <si>
    <t>Option</t>
  </si>
  <si>
    <t>Total Cost $</t>
  </si>
  <si>
    <t>Employee %</t>
  </si>
  <si>
    <t>Employee $</t>
  </si>
  <si>
    <t>Retiree %</t>
  </si>
  <si>
    <t>Retiree $</t>
  </si>
  <si>
    <t>Utility %</t>
  </si>
  <si>
    <t>Utility $</t>
  </si>
  <si>
    <t>Total Utility $</t>
  </si>
  <si>
    <t>#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</si>
  <si>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</si>
  <si>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</si>
  <si>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</si>
  <si>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</si>
  <si>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</si>
  <si>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</si>
  <si>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</si>
  <si>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</si>
  <si>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</si>
  <si>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</si>
  <si>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Employee or Retiree</t>
  </si>
  <si>
    <t>Employee or Retiree &amp; Spouse</t>
  </si>
  <si>
    <t>Employee or Retiree &amp; Child(ren)</t>
  </si>
  <si>
    <t>Employee or Retiree &amp; Family</t>
  </si>
  <si>
    <t>Retiree-Humana</t>
  </si>
  <si>
    <t>Total</t>
  </si>
  <si>
    <t>Adjustment</t>
  </si>
  <si>
    <t>Dental Insurance Premiums</t>
  </si>
  <si>
    <t>Employee</t>
  </si>
  <si>
    <t>Employee &amp; Spouse</t>
  </si>
  <si>
    <t>Employee &amp; Child(ren)</t>
  </si>
  <si>
    <t>Employee &amp; Family</t>
  </si>
  <si>
    <t>Retiree</t>
  </si>
  <si>
    <t>Grand Total Adjustment for Medical and Dental</t>
  </si>
  <si>
    <t xml:space="preserve"> </t>
  </si>
  <si>
    <t xml:space="preserve">This adjustment adjusts contributions to employee premiums for medical and dental insurance to reflect the change in health care plans </t>
  </si>
  <si>
    <t>Allocation to Accounts</t>
  </si>
  <si>
    <t>Alloc</t>
  </si>
  <si>
    <t>580-589</t>
  </si>
  <si>
    <t>Operations</t>
  </si>
  <si>
    <t>590-598</t>
  </si>
  <si>
    <t>Maintenance</t>
  </si>
  <si>
    <t>901-905</t>
  </si>
  <si>
    <t>Consumer Accounts</t>
  </si>
  <si>
    <t>907-910</t>
  </si>
  <si>
    <t>Customer Service</t>
  </si>
  <si>
    <t>920-935</t>
  </si>
  <si>
    <t>Administrative &amp; General</t>
  </si>
  <si>
    <t xml:space="preserve">Expense Adjustment &gt; </t>
  </si>
  <si>
    <t>101-120</t>
  </si>
  <si>
    <t>Utility Plant</t>
  </si>
  <si>
    <t>131-174</t>
  </si>
  <si>
    <t>Current &amp; Accrued Assets</t>
  </si>
  <si>
    <t>181-190</t>
  </si>
  <si>
    <t>Deferred Debits</t>
  </si>
  <si>
    <t>231-283</t>
  </si>
  <si>
    <t>Current &amp; Accrued Liabilities</t>
  </si>
  <si>
    <t>Subtotal</t>
  </si>
  <si>
    <t>REVISED</t>
  </si>
  <si>
    <t>Test Year</t>
  </si>
  <si>
    <t>Proforma Year</t>
  </si>
  <si>
    <t>Retiree Spouse-Humana</t>
  </si>
  <si>
    <t>Retiree Self Pay-Humana</t>
  </si>
  <si>
    <t>Excluded</t>
  </si>
  <si>
    <t>Former Director Spouse-Humana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</si>
</sst>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4" applyFont="1" applyAlignment="1">
      <alignment horizontal="right"/>
    </xf>
    <xf numFmtId="0" fontId="4" fillId="0" borderId="0" xfId="4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4" applyFont="1"/>
    <xf numFmtId="0" fontId="6" fillId="0" borderId="0" xfId="0" applyFont="1" applyAlignment="1">
      <alignment horizontal="center" wrapText="1"/>
    </xf>
    <xf numFmtId="164" fontId="7" fillId="0" borderId="0" xfId="0" quotePrefix="1" applyNumberFormat="1" applyFont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wrapText="1"/>
    </xf>
    <xf numFmtId="165" fontId="2" fillId="0" borderId="0" xfId="1" applyNumberFormat="1" applyFont="1" applyFill="1" applyAlignment="1">
      <alignment horizontal="right"/>
    </xf>
    <xf numFmtId="9" fontId="8" fillId="0" borderId="0" xfId="3" applyFont="1" applyFill="1" applyAlignment="1"/>
    <xf numFmtId="165" fontId="8" fillId="0" borderId="0" xfId="1" applyNumberFormat="1" applyFont="1" applyFill="1" applyAlignment="1"/>
    <xf numFmtId="3" fontId="2" fillId="0" borderId="0" xfId="0" applyNumberFormat="1" applyFont="1"/>
    <xf numFmtId="165" fontId="2" fillId="0" borderId="0" xfId="0" applyNumberFormat="1" applyFont="1"/>
    <xf numFmtId="9" fontId="8" fillId="0" borderId="0" xfId="3" applyFont="1" applyFill="1" applyBorder="1" applyAlignment="1"/>
    <xf numFmtId="165" fontId="8" fillId="0" borderId="0" xfId="1" applyNumberFormat="1" applyFont="1" applyFill="1" applyBorder="1" applyAlignment="1"/>
    <xf numFmtId="0" fontId="8" fillId="0" borderId="2" xfId="0" applyFont="1" applyBorder="1"/>
    <xf numFmtId="165" fontId="2" fillId="0" borderId="2" xfId="1" applyNumberFormat="1" applyFont="1" applyFill="1" applyBorder="1" applyAlignment="1">
      <alignment horizontal="right"/>
    </xf>
    <xf numFmtId="165" fontId="8" fillId="0" borderId="2" xfId="1" applyNumberFormat="1" applyFont="1" applyFill="1" applyBorder="1" applyAlignment="1"/>
    <xf numFmtId="165" fontId="8" fillId="0" borderId="2" xfId="1" applyNumberFormat="1" applyFont="1" applyFill="1" applyBorder="1" applyAlignment="1">
      <alignment horizontal="right"/>
    </xf>
    <xf numFmtId="165" fontId="8" fillId="0" borderId="0" xfId="1" applyNumberFormat="1" applyFont="1" applyFill="1"/>
    <xf numFmtId="165" fontId="5" fillId="0" borderId="0" xfId="1" applyNumberFormat="1" applyFont="1" applyFill="1" applyAlignment="1"/>
    <xf numFmtId="0" fontId="5" fillId="0" borderId="0" xfId="0" applyFont="1" applyAlignment="1">
      <alignment horizontal="left"/>
    </xf>
    <xf numFmtId="165" fontId="2" fillId="0" borderId="0" xfId="1" applyNumberFormat="1" applyFont="1" applyFill="1" applyBorder="1" applyAlignment="1">
      <alignment horizontal="right"/>
    </xf>
    <xf numFmtId="0" fontId="2" fillId="0" borderId="1" xfId="0" applyFont="1" applyBorder="1"/>
    <xf numFmtId="0" fontId="7" fillId="0" borderId="3" xfId="0" applyFont="1" applyBorder="1"/>
    <xf numFmtId="165" fontId="2" fillId="0" borderId="3" xfId="1" applyNumberFormat="1" applyFont="1" applyFill="1" applyBorder="1" applyAlignment="1">
      <alignment horizontal="right"/>
    </xf>
    <xf numFmtId="165" fontId="8" fillId="0" borderId="3" xfId="1" applyNumberFormat="1" applyFont="1" applyFill="1" applyBorder="1"/>
    <xf numFmtId="165" fontId="8" fillId="0" borderId="3" xfId="1" applyNumberFormat="1" applyFont="1" applyFill="1" applyBorder="1" applyAlignment="1"/>
    <xf numFmtId="0" fontId="2" fillId="0" borderId="3" xfId="0" applyFont="1" applyBorder="1"/>
    <xf numFmtId="37" fontId="2" fillId="0" borderId="3" xfId="0" applyNumberFormat="1" applyFont="1" applyBorder="1"/>
    <xf numFmtId="43" fontId="2" fillId="0" borderId="0" xfId="0" applyNumberFormat="1" applyFont="1"/>
    <xf numFmtId="5" fontId="7" fillId="0" borderId="3" xfId="1" applyNumberFormat="1" applyFont="1" applyFill="1" applyBorder="1" applyAlignment="1"/>
    <xf numFmtId="0" fontId="8" fillId="0" borderId="0" xfId="0" applyFont="1" applyAlignment="1">
      <alignment horizontal="left" vertical="top" wrapText="1"/>
    </xf>
    <xf numFmtId="0" fontId="10" fillId="0" borderId="0" xfId="5" applyFont="1" applyFill="1"/>
    <xf numFmtId="0" fontId="4" fillId="0" borderId="0" xfId="0" applyFo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10" fontId="2" fillId="0" borderId="0" xfId="3" applyNumberFormat="1" applyFont="1"/>
    <xf numFmtId="165" fontId="2" fillId="0" borderId="0" xfId="1" applyNumberFormat="1" applyFont="1"/>
    <xf numFmtId="10" fontId="8" fillId="0" borderId="0" xfId="3" applyNumberFormat="1" applyFont="1" applyBorder="1" applyProtection="1"/>
    <xf numFmtId="166" fontId="8" fillId="0" borderId="0" xfId="0" applyNumberFormat="1" applyFont="1"/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/>
    <xf numFmtId="10" fontId="2" fillId="0" borderId="2" xfId="3" applyNumberFormat="1" applyFont="1" applyBorder="1"/>
    <xf numFmtId="165" fontId="4" fillId="0" borderId="4" xfId="1" applyNumberFormat="1" applyFont="1" applyBorder="1"/>
    <xf numFmtId="166" fontId="7" fillId="0" borderId="0" xfId="0" applyNumberFormat="1" applyFont="1"/>
    <xf numFmtId="165" fontId="2" fillId="0" borderId="2" xfId="1" applyNumberFormat="1" applyFont="1" applyBorder="1"/>
    <xf numFmtId="167" fontId="8" fillId="0" borderId="0" xfId="3" applyNumberFormat="1" applyFont="1" applyBorder="1" applyProtection="1"/>
    <xf numFmtId="0" fontId="2" fillId="0" borderId="3" xfId="0" applyFont="1" applyBorder="1" applyAlignment="1">
      <alignment horizontal="center"/>
    </xf>
    <xf numFmtId="10" fontId="2" fillId="0" borderId="3" xfId="3" applyNumberFormat="1" applyFont="1" applyBorder="1"/>
    <xf numFmtId="165" fontId="2" fillId="0" borderId="3" xfId="1" applyNumberFormat="1" applyFont="1" applyBorder="1"/>
    <xf numFmtId="166" fontId="8" fillId="0" borderId="0" xfId="2" applyNumberFormat="1" applyFont="1" applyBorder="1" applyAlignment="1" applyProtection="1"/>
    <xf numFmtId="165" fontId="13" fillId="0" borderId="0" xfId="1" applyNumberFormat="1" applyFont="1" applyFill="1" applyAlignment="1">
      <alignment horizontal="right"/>
    </xf>
    <xf numFmtId="165" fontId="13" fillId="0" borderId="0" xfId="1" applyNumberFormat="1" applyFont="1" applyFill="1" applyBorder="1" applyAlignment="1"/>
    <xf numFmtId="165" fontId="13" fillId="0" borderId="0" xfId="0" applyNumberFormat="1" applyFont="1"/>
    <xf numFmtId="165" fontId="13" fillId="0" borderId="0" xfId="1" applyNumberFormat="1" applyFont="1" applyFill="1" applyAlignment="1"/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right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" xfId="4" xr:uid="{C154D42B-AFE5-4108-B62E-9FE4174906A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C\2024-00402%20Rate%20Case\SouthKY-Rev-Req-2024-FILED-cb.xlsx" TargetMode="External"/><Relationship Id="rId1" Type="http://schemas.openxmlformats.org/officeDocument/2006/relationships/externalLinkPath" Target="SouthKY-Rev-Req-2024-FILED-c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RC"/>
      <sheetName val="1.04 CUST"/>
      <sheetName val="1.05 Depr"/>
      <sheetName val="1.06 Donat&amp;Promo"/>
      <sheetName val="1.07 FEMA"/>
      <sheetName val="1.08 Dir"/>
      <sheetName val=" 1.09 RS401k"/>
      <sheetName val="1.10 Wages"/>
      <sheetName val="1.11 Prof"/>
      <sheetName val="1.12 GTCC"/>
      <sheetName val="1.13PayrTx"/>
      <sheetName val="1.14 Int"/>
      <sheetName val="1.15 Life Ins"/>
      <sheetName val="1.16 Health"/>
      <sheetName val="1.17 Meter Test"/>
      <sheetName val="1.18 Trip Charge"/>
      <sheetName val="1.19 Remote Reconnect&lt;60"/>
      <sheetName val="1.20 Remote Reconnect 61-365"/>
      <sheetName val="1.21 Returned Check"/>
    </sheetNames>
    <sheetDataSet>
      <sheetData sheetId="0">
        <row r="1">
          <cell r="A1" t="str">
            <v>SOUTH KENTUCKY R.E.C.C.</v>
          </cell>
        </row>
        <row r="3">
          <cell r="A3" t="str">
            <v>For the 12 Months Ended May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F0BE-2D5E-426C-8AFF-EA80CC00F072}">
  <sheetPr>
    <pageSetUpPr fitToPage="1"/>
  </sheetPr>
  <dimension ref="A1:M80"/>
  <sheetViews>
    <sheetView tabSelected="1" view="pageBreakPreview" zoomScaleNormal="100" zoomScaleSheetLayoutView="100" workbookViewId="0"/>
  </sheetViews>
  <sheetFormatPr defaultColWidth="8.85546875" defaultRowHeight="12.75" x14ac:dyDescent="0.2"/>
  <cols>
    <col min="1" max="1" width="4.42578125" style="1" customWidth="1"/>
    <col min="2" max="2" width="31.85546875" style="2" customWidth="1"/>
    <col min="3" max="3" width="11.5703125" style="3" bestFit="1" customWidth="1"/>
    <col min="4" max="4" width="12" style="2" bestFit="1" customWidth="1"/>
    <col min="5" max="5" width="15.7109375" style="2" customWidth="1"/>
    <col min="6" max="6" width="9.5703125" style="2" bestFit="1" customWidth="1"/>
    <col min="7" max="7" width="9.140625" style="2" bestFit="1" customWidth="1"/>
    <col min="8" max="8" width="10.42578125" style="2" bestFit="1" customWidth="1"/>
    <col min="9" max="9" width="10.28515625" style="2" bestFit="1" customWidth="1"/>
    <col min="10" max="10" width="2.42578125" style="2" customWidth="1"/>
    <col min="11" max="11" width="13.140625" style="2" customWidth="1"/>
    <col min="12" max="12" width="15.85546875" style="2" customWidth="1"/>
    <col min="13" max="13" width="10.5703125" style="2" bestFit="1" customWidth="1"/>
    <col min="14" max="16384" width="8.85546875" style="2"/>
  </cols>
  <sheetData>
    <row r="1" spans="1:13" x14ac:dyDescent="0.2">
      <c r="D1" s="4"/>
      <c r="L1" s="4" t="s">
        <v>0</v>
      </c>
    </row>
    <row r="2" spans="1:13" x14ac:dyDescent="0.2">
      <c r="E2" s="4"/>
    </row>
    <row r="3" spans="1:13" x14ac:dyDescent="0.2">
      <c r="B3" s="5" t="str">
        <f>[1]RevReq!A1</f>
        <v>SOUTH KENTUCKY R.E.C.C.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x14ac:dyDescent="0.2">
      <c r="B4" s="5" t="str">
        <f>[1]RevReq!A3</f>
        <v>For the 12 Months Ended May 2024</v>
      </c>
      <c r="C4" s="5"/>
      <c r="D4" s="5"/>
      <c r="E4" s="5"/>
      <c r="F4" s="5"/>
      <c r="G4" s="5"/>
      <c r="H4" s="5"/>
      <c r="I4" s="5"/>
      <c r="J4" s="5"/>
      <c r="K4" s="5"/>
      <c r="L4" s="5"/>
    </row>
    <row r="6" spans="1:13" x14ac:dyDescent="0.2"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ht="25.5" x14ac:dyDescent="0.2">
      <c r="C7" s="7"/>
      <c r="D7" s="8"/>
      <c r="E7" s="8"/>
      <c r="F7" s="8"/>
      <c r="G7" s="8"/>
      <c r="H7" s="8"/>
      <c r="I7" s="8"/>
      <c r="J7" s="9"/>
      <c r="K7" s="10" t="s">
        <v>2</v>
      </c>
    </row>
    <row r="8" spans="1:13" x14ac:dyDescent="0.2">
      <c r="C8" s="76" t="s">
        <v>61</v>
      </c>
    </row>
    <row r="9" spans="1:13" ht="15" customHeight="1" x14ac:dyDescent="0.2">
      <c r="B9" s="11" t="s">
        <v>3</v>
      </c>
      <c r="C9" s="12" t="s">
        <v>4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13" t="s">
        <v>10</v>
      </c>
      <c r="J9" s="14"/>
      <c r="K9" s="13" t="s">
        <v>10</v>
      </c>
      <c r="L9" s="13" t="s">
        <v>11</v>
      </c>
    </row>
    <row r="10" spans="1:13" x14ac:dyDescent="0.2">
      <c r="A10" s="15" t="s">
        <v>12</v>
      </c>
      <c r="B10" s="16" t="s">
        <v>13</v>
      </c>
      <c r="C10" s="16" t="s">
        <v>14</v>
      </c>
      <c r="D10" s="16" t="s">
        <v>15</v>
      </c>
      <c r="E10" s="16" t="s">
        <v>16</v>
      </c>
      <c r="F10" s="16" t="s">
        <v>17</v>
      </c>
      <c r="G10" s="16" t="s">
        <v>18</v>
      </c>
      <c r="H10" s="16" t="s">
        <v>19</v>
      </c>
      <c r="I10" s="16" t="s">
        <v>20</v>
      </c>
      <c r="J10" s="16"/>
      <c r="K10" s="16" t="s">
        <v>21</v>
      </c>
      <c r="L10" s="16" t="s">
        <v>22</v>
      </c>
    </row>
    <row r="11" spans="1:13" ht="15" customHeight="1" x14ac:dyDescent="0.2">
      <c r="B11" s="14"/>
      <c r="C11" s="17"/>
      <c r="D11" s="14"/>
      <c r="E11" s="14"/>
      <c r="F11" s="14"/>
      <c r="G11" s="14"/>
      <c r="H11" s="14"/>
      <c r="I11" s="8"/>
      <c r="J11" s="14"/>
      <c r="M11" s="18"/>
    </row>
    <row r="12" spans="1:13" x14ac:dyDescent="0.2">
      <c r="A12" s="1">
        <v>1</v>
      </c>
      <c r="B12" s="19" t="s">
        <v>62</v>
      </c>
      <c r="C12" s="20"/>
      <c r="D12" s="21"/>
      <c r="E12" s="22"/>
      <c r="F12" s="22"/>
      <c r="G12" s="22"/>
      <c r="H12" s="23"/>
      <c r="I12" s="8"/>
      <c r="J12" s="14"/>
      <c r="M12" s="18"/>
    </row>
    <row r="13" spans="1:13" x14ac:dyDescent="0.2">
      <c r="A13" s="1">
        <v>2</v>
      </c>
      <c r="B13" s="14" t="s">
        <v>23</v>
      </c>
      <c r="C13" s="24">
        <v>478665</v>
      </c>
      <c r="D13" s="25">
        <v>0.22</v>
      </c>
      <c r="E13" s="26">
        <f>C13*D13</f>
        <v>105306.3</v>
      </c>
      <c r="F13" s="25"/>
      <c r="G13" s="26"/>
      <c r="H13" s="25">
        <v>0.78</v>
      </c>
      <c r="I13" s="26">
        <f>C13*H13</f>
        <v>373358.7</v>
      </c>
      <c r="J13" s="14"/>
      <c r="K13" s="27">
        <v>22633.33</v>
      </c>
      <c r="L13" s="28">
        <f>I13+K13</f>
        <v>395992.03</v>
      </c>
      <c r="M13" s="18"/>
    </row>
    <row r="14" spans="1:13" x14ac:dyDescent="0.2">
      <c r="A14" s="1">
        <v>3</v>
      </c>
      <c r="B14" s="14" t="s">
        <v>24</v>
      </c>
      <c r="C14" s="24">
        <v>577503</v>
      </c>
      <c r="D14" s="25">
        <v>0.26</v>
      </c>
      <c r="E14" s="26">
        <f>C14*D14</f>
        <v>150150.78</v>
      </c>
      <c r="F14" s="25"/>
      <c r="G14" s="26"/>
      <c r="H14" s="25">
        <v>0.74</v>
      </c>
      <c r="I14" s="26">
        <f>C14*H14</f>
        <v>427352.22</v>
      </c>
      <c r="J14" s="14"/>
      <c r="L14" s="28">
        <f t="shared" ref="L14:L18" si="0">I14+K14</f>
        <v>427352.22</v>
      </c>
      <c r="M14" s="18"/>
    </row>
    <row r="15" spans="1:13" x14ac:dyDescent="0.2">
      <c r="A15" s="1">
        <v>4</v>
      </c>
      <c r="B15" s="14" t="s">
        <v>25</v>
      </c>
      <c r="C15" s="24">
        <v>657788</v>
      </c>
      <c r="D15" s="25">
        <v>0.28000000000000003</v>
      </c>
      <c r="E15" s="26">
        <f>C15*D15</f>
        <v>184180.64</v>
      </c>
      <c r="F15" s="25"/>
      <c r="G15" s="26"/>
      <c r="H15" s="25">
        <v>0.72</v>
      </c>
      <c r="I15" s="26">
        <f>C15*H15</f>
        <v>473607.36</v>
      </c>
      <c r="J15" s="14"/>
      <c r="L15" s="28">
        <f t="shared" si="0"/>
        <v>473607.36</v>
      </c>
      <c r="M15" s="18"/>
    </row>
    <row r="16" spans="1:13" x14ac:dyDescent="0.2">
      <c r="A16" s="1">
        <v>5</v>
      </c>
      <c r="B16" s="14" t="s">
        <v>26</v>
      </c>
      <c r="C16" s="24">
        <v>704083</v>
      </c>
      <c r="D16" s="29">
        <v>0.34</v>
      </c>
      <c r="E16" s="26">
        <f>C16*D16</f>
        <v>239388.22000000003</v>
      </c>
      <c r="F16" s="29"/>
      <c r="G16" s="30"/>
      <c r="H16" s="25">
        <v>0.65999999999999992</v>
      </c>
      <c r="I16" s="26">
        <f>C16*H16</f>
        <v>464694.77999999997</v>
      </c>
      <c r="J16" s="14"/>
      <c r="K16" s="27">
        <v>89850</v>
      </c>
      <c r="L16" s="28">
        <f t="shared" si="0"/>
        <v>554544.78</v>
      </c>
      <c r="M16" s="18"/>
    </row>
    <row r="17" spans="1:13" x14ac:dyDescent="0.2">
      <c r="A17" s="1">
        <v>6</v>
      </c>
      <c r="B17" s="14" t="s">
        <v>27</v>
      </c>
      <c r="C17" s="72">
        <f>459129.81-C18</f>
        <v>350777.18</v>
      </c>
      <c r="D17" s="29"/>
      <c r="E17" s="26"/>
      <c r="F17" s="29">
        <v>0</v>
      </c>
      <c r="G17" s="30"/>
      <c r="H17" s="25">
        <v>1</v>
      </c>
      <c r="I17" s="30">
        <f>C17*H17</f>
        <v>350777.18</v>
      </c>
      <c r="J17" s="14"/>
      <c r="K17" s="27"/>
      <c r="L17" s="28">
        <f t="shared" si="0"/>
        <v>350777.18</v>
      </c>
      <c r="M17" s="18"/>
    </row>
    <row r="18" spans="1:13" x14ac:dyDescent="0.2">
      <c r="A18" s="1">
        <v>7</v>
      </c>
      <c r="B18" s="14" t="s">
        <v>64</v>
      </c>
      <c r="C18" s="72">
        <v>108352.63</v>
      </c>
      <c r="D18" s="29"/>
      <c r="E18" s="26"/>
      <c r="F18" s="29">
        <v>0.85</v>
      </c>
      <c r="G18" s="73">
        <f>C18*F18</f>
        <v>92099.735499999995</v>
      </c>
      <c r="H18" s="25">
        <v>0.15000000000000002</v>
      </c>
      <c r="I18" s="73">
        <f>C18*H18</f>
        <v>16252.894500000004</v>
      </c>
      <c r="J18" s="14"/>
      <c r="K18" s="27"/>
      <c r="L18" s="74">
        <f t="shared" si="0"/>
        <v>16252.894500000004</v>
      </c>
      <c r="M18" s="18"/>
    </row>
    <row r="19" spans="1:13" x14ac:dyDescent="0.2">
      <c r="A19" s="1">
        <v>8</v>
      </c>
      <c r="B19" s="14" t="s">
        <v>65</v>
      </c>
      <c r="C19" s="72">
        <v>35780.39</v>
      </c>
      <c r="D19" s="29"/>
      <c r="E19" s="26"/>
      <c r="F19" s="29">
        <v>1</v>
      </c>
      <c r="G19" s="73">
        <f>C19*F19</f>
        <v>35780.39</v>
      </c>
      <c r="H19" s="25"/>
      <c r="I19" s="73"/>
      <c r="J19" s="14"/>
      <c r="K19" s="27"/>
      <c r="L19" s="74"/>
      <c r="M19" s="18"/>
    </row>
    <row r="20" spans="1:13" x14ac:dyDescent="0.2">
      <c r="A20" s="1">
        <v>9</v>
      </c>
      <c r="B20" s="14" t="s">
        <v>67</v>
      </c>
      <c r="C20" s="72">
        <v>7221.74</v>
      </c>
      <c r="D20" s="29"/>
      <c r="E20" s="26"/>
      <c r="F20" s="29">
        <f>G20/C20</f>
        <v>0.15951834322476302</v>
      </c>
      <c r="G20" s="73">
        <v>1152</v>
      </c>
      <c r="H20" s="25">
        <f>1-F20</f>
        <v>0.84048165677523701</v>
      </c>
      <c r="I20" s="73">
        <f>C20-G20</f>
        <v>6069.74</v>
      </c>
      <c r="J20" s="14"/>
      <c r="K20" s="27"/>
      <c r="L20" s="77" t="s">
        <v>66</v>
      </c>
      <c r="M20" s="18"/>
    </row>
    <row r="21" spans="1:13" x14ac:dyDescent="0.2">
      <c r="A21" s="1">
        <v>10</v>
      </c>
      <c r="B21" s="31" t="s">
        <v>28</v>
      </c>
      <c r="C21" s="32">
        <f>SUM(C13:C20)</f>
        <v>2920170.9400000004</v>
      </c>
      <c r="D21" s="33"/>
      <c r="E21" s="34">
        <f>SUM(E13:E18)</f>
        <v>679025.94000000006</v>
      </c>
      <c r="F21" s="33"/>
      <c r="G21" s="34">
        <f>SUM(G13:G20)</f>
        <v>129032.12549999999</v>
      </c>
      <c r="H21" s="33"/>
      <c r="I21" s="34">
        <f>SUM(I13:I20)</f>
        <v>2112112.8744999999</v>
      </c>
      <c r="J21" s="14"/>
      <c r="K21" s="34">
        <f>SUM(K13:K20)</f>
        <v>112483.33</v>
      </c>
      <c r="L21" s="34">
        <f>SUM(L13:L18)</f>
        <v>2218526.4644999998</v>
      </c>
      <c r="M21" s="18"/>
    </row>
    <row r="22" spans="1:13" x14ac:dyDescent="0.2">
      <c r="A22" s="1">
        <v>11</v>
      </c>
      <c r="B22" s="14"/>
      <c r="C22" s="24"/>
      <c r="D22" s="35"/>
      <c r="E22" s="35"/>
      <c r="F22" s="35"/>
      <c r="G22" s="35"/>
      <c r="H22" s="35"/>
      <c r="I22" s="36"/>
      <c r="J22" s="14"/>
      <c r="M22" s="18"/>
    </row>
    <row r="23" spans="1:13" x14ac:dyDescent="0.2">
      <c r="A23" s="1">
        <v>12</v>
      </c>
      <c r="B23" s="37" t="s">
        <v>63</v>
      </c>
      <c r="C23" s="24"/>
      <c r="D23" s="35"/>
      <c r="E23" s="35"/>
      <c r="F23" s="35"/>
      <c r="G23" s="35"/>
      <c r="H23" s="35"/>
      <c r="I23" s="36"/>
      <c r="J23" s="14"/>
      <c r="M23" s="18"/>
    </row>
    <row r="24" spans="1:13" x14ac:dyDescent="0.2">
      <c r="A24" s="1">
        <v>13</v>
      </c>
      <c r="B24" s="14" t="s">
        <v>23</v>
      </c>
      <c r="C24" s="24">
        <v>475547</v>
      </c>
      <c r="D24" s="25">
        <v>0.2</v>
      </c>
      <c r="E24" s="26">
        <f>C24*D24</f>
        <v>95109.400000000009</v>
      </c>
      <c r="F24" s="26"/>
      <c r="G24" s="26"/>
      <c r="H24" s="25">
        <f>1-D24</f>
        <v>0.8</v>
      </c>
      <c r="I24" s="26">
        <f>C24*H24</f>
        <v>380437.60000000003</v>
      </c>
      <c r="J24" s="14"/>
      <c r="K24" s="27">
        <f>12*1650</f>
        <v>19800</v>
      </c>
      <c r="L24" s="28">
        <f>I24+K24</f>
        <v>400237.60000000003</v>
      </c>
      <c r="M24" s="18"/>
    </row>
    <row r="25" spans="1:13" x14ac:dyDescent="0.2">
      <c r="A25" s="1">
        <v>14</v>
      </c>
      <c r="B25" s="14" t="s">
        <v>24</v>
      </c>
      <c r="C25" s="24">
        <v>512634</v>
      </c>
      <c r="D25" s="25">
        <v>0.2</v>
      </c>
      <c r="E25" s="26">
        <f t="shared" ref="E25:E27" si="1">C25*D25</f>
        <v>102526.8</v>
      </c>
      <c r="F25" s="26"/>
      <c r="G25" s="26"/>
      <c r="H25" s="25">
        <f t="shared" ref="H25:H27" si="2">1-D25</f>
        <v>0.8</v>
      </c>
      <c r="I25" s="26">
        <f t="shared" ref="I25:I28" si="3">C25*H25</f>
        <v>410107.2</v>
      </c>
      <c r="J25" s="14"/>
      <c r="K25" s="27"/>
      <c r="L25" s="28">
        <f t="shared" ref="L25:L29" si="4">I25+K25</f>
        <v>410107.2</v>
      </c>
      <c r="M25" s="18"/>
    </row>
    <row r="26" spans="1:13" x14ac:dyDescent="0.2">
      <c r="A26" s="1">
        <v>15</v>
      </c>
      <c r="B26" s="14" t="s">
        <v>25</v>
      </c>
      <c r="C26" s="24">
        <v>645276</v>
      </c>
      <c r="D26" s="25">
        <v>0.2</v>
      </c>
      <c r="E26" s="26">
        <f t="shared" si="1"/>
        <v>129055.20000000001</v>
      </c>
      <c r="F26" s="26"/>
      <c r="G26" s="26"/>
      <c r="H26" s="25">
        <f t="shared" si="2"/>
        <v>0.8</v>
      </c>
      <c r="I26" s="26">
        <f t="shared" si="3"/>
        <v>516220.80000000005</v>
      </c>
      <c r="J26" s="14"/>
      <c r="K26" s="27"/>
      <c r="L26" s="28">
        <f t="shared" si="4"/>
        <v>516220.80000000005</v>
      </c>
      <c r="M26" s="18"/>
    </row>
    <row r="27" spans="1:13" x14ac:dyDescent="0.2">
      <c r="A27" s="1">
        <v>16</v>
      </c>
      <c r="B27" s="14" t="s">
        <v>26</v>
      </c>
      <c r="C27" s="38">
        <v>768196</v>
      </c>
      <c r="D27" s="29">
        <v>0.2</v>
      </c>
      <c r="E27" s="26">
        <f t="shared" si="1"/>
        <v>153639.20000000001</v>
      </c>
      <c r="F27" s="30"/>
      <c r="G27" s="30"/>
      <c r="H27" s="25">
        <f t="shared" si="2"/>
        <v>0.8</v>
      </c>
      <c r="I27" s="26">
        <f t="shared" si="3"/>
        <v>614556.80000000005</v>
      </c>
      <c r="J27" s="14"/>
      <c r="K27" s="27">
        <f>29*3300</f>
        <v>95700</v>
      </c>
      <c r="L27" s="28">
        <f t="shared" si="4"/>
        <v>710256.8</v>
      </c>
      <c r="M27" s="18"/>
    </row>
    <row r="28" spans="1:13" x14ac:dyDescent="0.2">
      <c r="A28" s="1">
        <v>17</v>
      </c>
      <c r="B28" s="14" t="s">
        <v>27</v>
      </c>
      <c r="C28" s="72">
        <f>283.8*99*12</f>
        <v>337154.4</v>
      </c>
      <c r="D28" s="29"/>
      <c r="E28" s="26"/>
      <c r="F28" s="29">
        <v>0</v>
      </c>
      <c r="G28" s="30">
        <f t="shared" ref="G28" si="5">C28*F28</f>
        <v>0</v>
      </c>
      <c r="H28" s="25">
        <f t="shared" ref="H28:H29" si="6">1-F28-D28</f>
        <v>1</v>
      </c>
      <c r="I28" s="26">
        <f t="shared" si="3"/>
        <v>337154.4</v>
      </c>
      <c r="J28" s="14"/>
      <c r="K28" s="27"/>
      <c r="L28" s="28">
        <f t="shared" si="4"/>
        <v>337154.4</v>
      </c>
      <c r="M28" s="18"/>
    </row>
    <row r="29" spans="1:13" x14ac:dyDescent="0.2">
      <c r="A29" s="1">
        <v>18</v>
      </c>
      <c r="B29" s="14" t="s">
        <v>64</v>
      </c>
      <c r="C29" s="72">
        <f>283.8*35*12</f>
        <v>119196</v>
      </c>
      <c r="D29" s="29"/>
      <c r="E29" s="26"/>
      <c r="F29" s="29">
        <v>0.85</v>
      </c>
      <c r="G29" s="73">
        <f>C29*F29</f>
        <v>101316.59999999999</v>
      </c>
      <c r="H29" s="25">
        <f t="shared" si="6"/>
        <v>0.15000000000000002</v>
      </c>
      <c r="I29" s="75">
        <f>C29*H29</f>
        <v>17879.400000000001</v>
      </c>
      <c r="J29" s="14"/>
      <c r="K29" s="27"/>
      <c r="L29" s="74">
        <f t="shared" si="4"/>
        <v>17879.400000000001</v>
      </c>
      <c r="M29" s="18"/>
    </row>
    <row r="30" spans="1:13" x14ac:dyDescent="0.2">
      <c r="A30" s="1">
        <v>19</v>
      </c>
      <c r="B30" s="31" t="s">
        <v>28</v>
      </c>
      <c r="C30" s="32">
        <f>SUM(C24:C29)</f>
        <v>2858003.4</v>
      </c>
      <c r="D30" s="33"/>
      <c r="E30" s="34">
        <f>SUM(E24:E29)</f>
        <v>480330.60000000003</v>
      </c>
      <c r="F30" s="33"/>
      <c r="G30" s="34">
        <f>SUM(G24:G29)</f>
        <v>101316.59999999999</v>
      </c>
      <c r="H30" s="33"/>
      <c r="I30" s="34">
        <f>SUM(I24:I29)</f>
        <v>2276356.2000000002</v>
      </c>
      <c r="J30" s="14"/>
      <c r="K30" s="34">
        <f>SUM(K24:K29)</f>
        <v>115500</v>
      </c>
      <c r="L30" s="34">
        <f>SUM(L24:L29)</f>
        <v>2391856.2000000002</v>
      </c>
      <c r="M30" s="18"/>
    </row>
    <row r="31" spans="1:13" x14ac:dyDescent="0.2">
      <c r="A31" s="1">
        <v>20</v>
      </c>
      <c r="B31" s="14"/>
      <c r="C31" s="24"/>
      <c r="D31" s="35"/>
      <c r="E31" s="35"/>
      <c r="F31" s="35"/>
      <c r="G31" s="35"/>
      <c r="H31" s="35"/>
      <c r="I31" s="35"/>
      <c r="J31" s="14"/>
      <c r="K31" s="39"/>
      <c r="L31" s="39"/>
      <c r="M31" s="18"/>
    </row>
    <row r="32" spans="1:13" ht="13.5" thickBot="1" x14ac:dyDescent="0.25">
      <c r="A32" s="1">
        <v>21</v>
      </c>
      <c r="B32" s="40" t="s">
        <v>29</v>
      </c>
      <c r="C32" s="41"/>
      <c r="D32" s="42"/>
      <c r="E32" s="42"/>
      <c r="F32" s="42"/>
      <c r="G32" s="42"/>
      <c r="H32" s="42"/>
      <c r="I32" s="43"/>
      <c r="J32" s="14"/>
      <c r="K32" s="44"/>
      <c r="L32" s="45">
        <f>L30-L21</f>
        <v>173329.73550000042</v>
      </c>
    </row>
    <row r="33" spans="1:12" ht="13.5" thickTop="1" x14ac:dyDescent="0.2">
      <c r="A33" s="1">
        <v>22</v>
      </c>
    </row>
    <row r="34" spans="1:12" x14ac:dyDescent="0.2">
      <c r="A34" s="1">
        <v>23</v>
      </c>
      <c r="B34" s="6" t="s">
        <v>30</v>
      </c>
      <c r="C34" s="6"/>
      <c r="D34" s="6"/>
      <c r="E34" s="6"/>
      <c r="F34" s="6"/>
      <c r="G34" s="6"/>
      <c r="H34" s="6"/>
      <c r="I34" s="6"/>
      <c r="J34" s="9"/>
    </row>
    <row r="35" spans="1:12" x14ac:dyDescent="0.2">
      <c r="A35" s="1">
        <v>24</v>
      </c>
      <c r="B35" s="14"/>
      <c r="D35" s="14"/>
      <c r="E35" s="14"/>
      <c r="F35" s="14"/>
      <c r="G35" s="14"/>
      <c r="H35" s="14"/>
      <c r="I35" s="14"/>
      <c r="J35" s="14"/>
    </row>
    <row r="36" spans="1:12" ht="15" customHeight="1" x14ac:dyDescent="0.2">
      <c r="A36" s="1">
        <v>25</v>
      </c>
      <c r="B36" s="11" t="s">
        <v>3</v>
      </c>
      <c r="C36" s="12" t="s">
        <v>4</v>
      </c>
      <c r="D36" s="13" t="s">
        <v>5</v>
      </c>
      <c r="E36" s="13" t="s">
        <v>6</v>
      </c>
      <c r="F36" s="13" t="s">
        <v>7</v>
      </c>
      <c r="G36" s="13" t="s">
        <v>8</v>
      </c>
      <c r="H36" s="13" t="s">
        <v>9</v>
      </c>
      <c r="I36" s="13" t="s">
        <v>10</v>
      </c>
      <c r="J36" s="14"/>
    </row>
    <row r="37" spans="1:12" x14ac:dyDescent="0.2">
      <c r="A37" s="1">
        <v>26</v>
      </c>
      <c r="B37" s="16" t="s">
        <v>13</v>
      </c>
      <c r="C37" s="16" t="s">
        <v>14</v>
      </c>
      <c r="D37" s="16" t="s">
        <v>15</v>
      </c>
      <c r="E37" s="16" t="s">
        <v>16</v>
      </c>
      <c r="F37" s="16" t="s">
        <v>17</v>
      </c>
      <c r="G37" s="16" t="s">
        <v>18</v>
      </c>
      <c r="H37" s="16" t="s">
        <v>19</v>
      </c>
      <c r="I37" s="16" t="s">
        <v>20</v>
      </c>
      <c r="J37" s="14"/>
    </row>
    <row r="38" spans="1:12" x14ac:dyDescent="0.2">
      <c r="A38" s="1">
        <v>27</v>
      </c>
      <c r="B38" s="14"/>
      <c r="C38" s="17"/>
      <c r="D38" s="14"/>
      <c r="E38" s="14"/>
      <c r="F38" s="14"/>
      <c r="G38" s="14"/>
      <c r="H38" s="14"/>
      <c r="I38" s="8"/>
      <c r="J38" s="14"/>
    </row>
    <row r="39" spans="1:12" x14ac:dyDescent="0.2">
      <c r="A39" s="1">
        <v>28</v>
      </c>
      <c r="B39" s="19" t="s">
        <v>62</v>
      </c>
      <c r="C39" s="20"/>
      <c r="D39" s="21"/>
      <c r="E39" s="22"/>
      <c r="F39" s="22"/>
      <c r="G39" s="22"/>
      <c r="H39" s="23"/>
      <c r="I39" s="8"/>
      <c r="J39" s="14"/>
    </row>
    <row r="40" spans="1:12" x14ac:dyDescent="0.2">
      <c r="A40" s="1">
        <v>29</v>
      </c>
      <c r="B40" s="14" t="s">
        <v>31</v>
      </c>
      <c r="C40" s="24">
        <v>13024.66</v>
      </c>
      <c r="D40" s="25">
        <v>0.5</v>
      </c>
      <c r="E40" s="26">
        <f>C40*D40</f>
        <v>6512.33</v>
      </c>
      <c r="F40" s="26"/>
      <c r="G40" s="26"/>
      <c r="H40" s="25">
        <v>0.5</v>
      </c>
      <c r="I40" s="26">
        <f>C40*H40</f>
        <v>6512.33</v>
      </c>
      <c r="J40" s="14"/>
      <c r="L40" s="46"/>
    </row>
    <row r="41" spans="1:12" x14ac:dyDescent="0.2">
      <c r="A41" s="1">
        <v>30</v>
      </c>
      <c r="B41" s="14" t="s">
        <v>32</v>
      </c>
      <c r="C41" s="24">
        <v>11779.54</v>
      </c>
      <c r="D41" s="25">
        <v>0.5</v>
      </c>
      <c r="E41" s="26">
        <f t="shared" ref="E41:E44" si="7">C41*D41</f>
        <v>5889.77</v>
      </c>
      <c r="F41" s="26"/>
      <c r="G41" s="26"/>
      <c r="H41" s="25">
        <v>0.5</v>
      </c>
      <c r="I41" s="26">
        <f>C41*H41</f>
        <v>5889.77</v>
      </c>
      <c r="J41" s="14"/>
      <c r="L41" s="46"/>
    </row>
    <row r="42" spans="1:12" x14ac:dyDescent="0.2">
      <c r="A42" s="1">
        <v>31</v>
      </c>
      <c r="B42" s="14" t="s">
        <v>33</v>
      </c>
      <c r="C42" s="24">
        <v>18127.62</v>
      </c>
      <c r="D42" s="29">
        <v>0.5</v>
      </c>
      <c r="E42" s="26">
        <f t="shared" si="7"/>
        <v>9063.81</v>
      </c>
      <c r="F42" s="30"/>
      <c r="G42" s="30"/>
      <c r="H42" s="29">
        <v>0.5</v>
      </c>
      <c r="I42" s="30">
        <f>C42*H42</f>
        <v>9063.81</v>
      </c>
      <c r="J42" s="14"/>
      <c r="L42" s="46"/>
    </row>
    <row r="43" spans="1:12" x14ac:dyDescent="0.2">
      <c r="A43" s="1">
        <v>32</v>
      </c>
      <c r="B43" s="14" t="s">
        <v>34</v>
      </c>
      <c r="C43" s="24">
        <v>37134.94</v>
      </c>
      <c r="D43" s="29">
        <v>0.5</v>
      </c>
      <c r="E43" s="26">
        <f t="shared" si="7"/>
        <v>18567.47</v>
      </c>
      <c r="F43" s="30"/>
      <c r="G43" s="30"/>
      <c r="H43" s="29">
        <v>0.5</v>
      </c>
      <c r="I43" s="30">
        <f>C43*H43</f>
        <v>18567.47</v>
      </c>
      <c r="J43" s="14"/>
      <c r="L43" s="46"/>
    </row>
    <row r="44" spans="1:12" x14ac:dyDescent="0.2">
      <c r="A44" s="1">
        <v>33</v>
      </c>
      <c r="B44" s="14" t="s">
        <v>35</v>
      </c>
      <c r="C44" s="38">
        <v>45122</v>
      </c>
      <c r="D44" s="25">
        <v>0</v>
      </c>
      <c r="E44" s="26">
        <f t="shared" si="7"/>
        <v>0</v>
      </c>
      <c r="F44" s="29">
        <v>1</v>
      </c>
      <c r="G44" s="30">
        <f>C44*F44</f>
        <v>45122</v>
      </c>
      <c r="H44" s="29">
        <v>0</v>
      </c>
      <c r="I44" s="30">
        <f>C44*H44</f>
        <v>0</v>
      </c>
      <c r="J44" s="14"/>
    </row>
    <row r="45" spans="1:12" x14ac:dyDescent="0.2">
      <c r="A45" s="1">
        <v>34</v>
      </c>
      <c r="B45" s="31" t="s">
        <v>28</v>
      </c>
      <c r="C45" s="32">
        <f>SUM(C40:C44)</f>
        <v>125188.76000000001</v>
      </c>
      <c r="D45" s="33"/>
      <c r="E45" s="33">
        <f>SUM(E40:E44)</f>
        <v>40033.380000000005</v>
      </c>
      <c r="F45" s="33"/>
      <c r="G45" s="33">
        <f>SUM(G44)</f>
        <v>45122</v>
      </c>
      <c r="H45" s="33"/>
      <c r="I45" s="33">
        <f>SUM(I40:I44)</f>
        <v>40033.380000000005</v>
      </c>
      <c r="J45" s="14"/>
    </row>
    <row r="46" spans="1:12" x14ac:dyDescent="0.2">
      <c r="A46" s="1">
        <v>35</v>
      </c>
      <c r="B46" s="14"/>
      <c r="C46" s="24"/>
      <c r="D46" s="35"/>
      <c r="E46" s="35"/>
      <c r="F46" s="35"/>
      <c r="G46" s="35"/>
      <c r="H46" s="35"/>
      <c r="I46" s="36"/>
      <c r="J46" s="14"/>
    </row>
    <row r="47" spans="1:12" x14ac:dyDescent="0.2">
      <c r="A47" s="1">
        <v>36</v>
      </c>
      <c r="B47" s="37" t="s">
        <v>63</v>
      </c>
      <c r="C47" s="24"/>
      <c r="D47" s="35"/>
      <c r="E47" s="35"/>
      <c r="F47" s="35"/>
      <c r="G47" s="35"/>
      <c r="H47" s="35"/>
      <c r="I47" s="36"/>
      <c r="J47" s="14"/>
    </row>
    <row r="48" spans="1:12" x14ac:dyDescent="0.2">
      <c r="A48" s="1">
        <v>37</v>
      </c>
      <c r="B48" s="14" t="s">
        <v>31</v>
      </c>
      <c r="C48" s="24">
        <v>14864.469342778801</v>
      </c>
      <c r="D48" s="25">
        <v>0.5</v>
      </c>
      <c r="E48" s="26">
        <f>C48*D48</f>
        <v>7432.2346713894003</v>
      </c>
      <c r="F48" s="26"/>
      <c r="G48" s="26"/>
      <c r="H48" s="25">
        <v>0.5</v>
      </c>
      <c r="I48" s="26">
        <f>(16*11.95*12)+(27*15.31*12)</f>
        <v>7254.84</v>
      </c>
      <c r="J48" s="14"/>
    </row>
    <row r="49" spans="1:13" x14ac:dyDescent="0.2">
      <c r="A49" s="1">
        <v>38</v>
      </c>
      <c r="B49" s="14" t="s">
        <v>32</v>
      </c>
      <c r="C49" s="24">
        <v>10848.631319546399</v>
      </c>
      <c r="D49" s="25">
        <v>0.5</v>
      </c>
      <c r="E49" s="26">
        <f>C49*D49</f>
        <v>5424.3156597731995</v>
      </c>
      <c r="F49" s="26"/>
      <c r="G49" s="26"/>
      <c r="H49" s="25">
        <v>0.5</v>
      </c>
      <c r="I49" s="26">
        <f>(6*21.15*12)+(12*27.1*12)</f>
        <v>5425.2000000000007</v>
      </c>
      <c r="J49" s="14"/>
    </row>
    <row r="50" spans="1:13" x14ac:dyDescent="0.2">
      <c r="A50" s="1">
        <v>39</v>
      </c>
      <c r="B50" s="14" t="s">
        <v>33</v>
      </c>
      <c r="C50" s="24">
        <v>18704.247661443598</v>
      </c>
      <c r="D50" s="25">
        <v>0.5</v>
      </c>
      <c r="E50" s="26">
        <f>C50*D50</f>
        <v>9352.1238307217991</v>
      </c>
      <c r="F50" s="26"/>
      <c r="G50" s="26"/>
      <c r="H50" s="25">
        <v>0.5</v>
      </c>
      <c r="I50" s="26">
        <f>(9*24.1*12)+(18*29.92*12)</f>
        <v>9065.52</v>
      </c>
      <c r="J50" s="14"/>
    </row>
    <row r="51" spans="1:13" x14ac:dyDescent="0.2">
      <c r="A51" s="1">
        <v>40</v>
      </c>
      <c r="B51" s="14" t="s">
        <v>34</v>
      </c>
      <c r="C51" s="38">
        <v>39412.222436775599</v>
      </c>
      <c r="D51" s="29">
        <v>0.5</v>
      </c>
      <c r="E51" s="30">
        <f>C51*D51</f>
        <v>19706.111218387799</v>
      </c>
      <c r="F51" s="30"/>
      <c r="G51" s="30"/>
      <c r="H51" s="29">
        <v>0.5</v>
      </c>
      <c r="I51" s="30">
        <f>(16*37.84*12)+(22*47.15*12)</f>
        <v>19712.879999999997</v>
      </c>
      <c r="J51" s="14"/>
    </row>
    <row r="52" spans="1:13" x14ac:dyDescent="0.2">
      <c r="A52" s="1">
        <v>41</v>
      </c>
      <c r="B52" s="14" t="s">
        <v>35</v>
      </c>
      <c r="C52" s="38">
        <v>46689.96</v>
      </c>
      <c r="D52" s="25">
        <v>0</v>
      </c>
      <c r="E52" s="30">
        <f>C52*D52</f>
        <v>0</v>
      </c>
      <c r="F52" s="29">
        <v>1</v>
      </c>
      <c r="G52" s="30">
        <f>C52*F52</f>
        <v>46689.96</v>
      </c>
      <c r="H52" s="25">
        <v>0</v>
      </c>
      <c r="I52" s="30">
        <f>C52*H52</f>
        <v>0</v>
      </c>
      <c r="J52" s="14"/>
    </row>
    <row r="53" spans="1:13" x14ac:dyDescent="0.2">
      <c r="A53" s="1">
        <v>42</v>
      </c>
      <c r="B53" s="31" t="s">
        <v>28</v>
      </c>
      <c r="C53" s="32">
        <f>SUM(C48:C52)</f>
        <v>130519.53076054438</v>
      </c>
      <c r="D53" s="33"/>
      <c r="E53" s="33">
        <f>SUM(E48:E52)</f>
        <v>41914.785380272195</v>
      </c>
      <c r="F53" s="33"/>
      <c r="G53" s="33">
        <f>SUM(G52)</f>
        <v>46689.96</v>
      </c>
      <c r="H53" s="33"/>
      <c r="I53" s="33">
        <f>SUM(I48:I52)</f>
        <v>41458.44</v>
      </c>
      <c r="J53" s="14"/>
    </row>
    <row r="54" spans="1:13" x14ac:dyDescent="0.2">
      <c r="A54" s="1">
        <v>43</v>
      </c>
      <c r="B54" s="14"/>
      <c r="C54" s="24"/>
      <c r="D54" s="35"/>
      <c r="E54" s="35"/>
      <c r="F54" s="35"/>
      <c r="G54" s="35"/>
      <c r="H54" s="35"/>
      <c r="I54" s="35"/>
      <c r="J54" s="14"/>
    </row>
    <row r="55" spans="1:13" ht="13.5" thickBot="1" x14ac:dyDescent="0.25">
      <c r="A55" s="1">
        <v>44</v>
      </c>
      <c r="B55" s="40" t="s">
        <v>29</v>
      </c>
      <c r="C55" s="41"/>
      <c r="D55" s="42"/>
      <c r="E55" s="42"/>
      <c r="F55" s="42"/>
      <c r="G55" s="42"/>
      <c r="H55" s="42"/>
      <c r="I55" s="43">
        <f>I53-I45</f>
        <v>1425.0599999999977</v>
      </c>
      <c r="J55" s="14"/>
    </row>
    <row r="56" spans="1:13" ht="13.5" thickTop="1" x14ac:dyDescent="0.2">
      <c r="A56" s="1">
        <v>45</v>
      </c>
    </row>
    <row r="57" spans="1:13" ht="13.5" thickBot="1" x14ac:dyDescent="0.25">
      <c r="A57" s="1">
        <v>46</v>
      </c>
      <c r="B57" s="40" t="s">
        <v>36</v>
      </c>
      <c r="C57" s="41"/>
      <c r="D57" s="42"/>
      <c r="E57" s="42"/>
      <c r="F57" s="42"/>
      <c r="G57" s="42"/>
      <c r="H57" s="42"/>
      <c r="I57" s="47">
        <f>L32+I55</f>
        <v>174754.79550000041</v>
      </c>
      <c r="J57" s="14"/>
    </row>
    <row r="58" spans="1:13" ht="13.5" thickTop="1" x14ac:dyDescent="0.2">
      <c r="A58" s="1">
        <v>47</v>
      </c>
    </row>
    <row r="59" spans="1:13" x14ac:dyDescent="0.2">
      <c r="A59" s="1">
        <v>48</v>
      </c>
    </row>
    <row r="60" spans="1:13" x14ac:dyDescent="0.2">
      <c r="A60" s="1">
        <v>49</v>
      </c>
      <c r="B60" s="2" t="s">
        <v>37</v>
      </c>
    </row>
    <row r="61" spans="1:13" x14ac:dyDescent="0.2">
      <c r="A61" s="1">
        <v>50</v>
      </c>
    </row>
    <row r="62" spans="1:13" ht="43.5" customHeight="1" x14ac:dyDescent="0.2">
      <c r="A62" s="1">
        <v>51</v>
      </c>
      <c r="B62" s="48" t="s">
        <v>38</v>
      </c>
      <c r="C62" s="48"/>
      <c r="D62" s="48"/>
      <c r="E62" s="48"/>
      <c r="F62" s="48"/>
      <c r="G62" s="48"/>
      <c r="H62" s="48"/>
      <c r="I62" s="48"/>
    </row>
    <row r="63" spans="1:13" x14ac:dyDescent="0.2">
      <c r="A63" s="1">
        <v>52</v>
      </c>
      <c r="B63" s="49"/>
    </row>
    <row r="64" spans="1:13" s="14" customFormat="1" x14ac:dyDescent="0.2">
      <c r="A64" s="1">
        <v>53</v>
      </c>
      <c r="B64" s="50" t="s">
        <v>39</v>
      </c>
      <c r="C64" s="50"/>
      <c r="D64" s="51"/>
      <c r="E64" s="51"/>
      <c r="F64" s="2"/>
      <c r="G64" s="52" t="s">
        <v>40</v>
      </c>
      <c r="H64" s="53" t="s">
        <v>29</v>
      </c>
      <c r="I64" s="54"/>
      <c r="J64" s="54"/>
      <c r="K64" s="54"/>
      <c r="L64" s="54"/>
      <c r="M64" s="55"/>
    </row>
    <row r="65" spans="1:13" s="14" customFormat="1" ht="3.75" customHeight="1" x14ac:dyDescent="0.2">
      <c r="A65" s="1">
        <v>54</v>
      </c>
      <c r="B65" s="2"/>
      <c r="C65" s="2"/>
      <c r="D65" s="51"/>
      <c r="E65" s="51"/>
      <c r="F65" s="2"/>
      <c r="G65" s="2"/>
      <c r="H65" s="2"/>
    </row>
    <row r="66" spans="1:13" s="14" customFormat="1" x14ac:dyDescent="0.2">
      <c r="A66" s="1">
        <v>55</v>
      </c>
      <c r="B66" s="2" t="s">
        <v>41</v>
      </c>
      <c r="C66" s="2"/>
      <c r="D66" s="1"/>
      <c r="E66" s="1" t="s">
        <v>42</v>
      </c>
      <c r="F66" s="2"/>
      <c r="G66" s="56">
        <v>7.9162376565297371E-2</v>
      </c>
      <c r="H66" s="57">
        <f>G66*$I$57</f>
        <v>13834.004927962567</v>
      </c>
      <c r="I66" s="58"/>
      <c r="L66" s="59"/>
    </row>
    <row r="67" spans="1:13" s="14" customFormat="1" x14ac:dyDescent="0.2">
      <c r="A67" s="1">
        <v>56</v>
      </c>
      <c r="B67" s="2" t="s">
        <v>43</v>
      </c>
      <c r="C67" s="2"/>
      <c r="D67" s="1"/>
      <c r="E67" s="1" t="s">
        <v>44</v>
      </c>
      <c r="F67" s="2"/>
      <c r="G67" s="56">
        <v>0.24163090740067283</v>
      </c>
      <c r="H67" s="57">
        <f t="shared" ref="H67:H70" si="8">G67*$I$57</f>
        <v>42226.159809284116</v>
      </c>
      <c r="I67" s="58"/>
      <c r="L67" s="59"/>
    </row>
    <row r="68" spans="1:13" s="14" customFormat="1" x14ac:dyDescent="0.2">
      <c r="A68" s="1">
        <v>57</v>
      </c>
      <c r="B68" s="2" t="s">
        <v>45</v>
      </c>
      <c r="C68" s="2"/>
      <c r="D68" s="1"/>
      <c r="E68" s="1" t="s">
        <v>46</v>
      </c>
      <c r="F68" s="2"/>
      <c r="G68" s="56">
        <v>0.10810391683156846</v>
      </c>
      <c r="H68" s="57">
        <f t="shared" si="8"/>
        <v>18891.6778786498</v>
      </c>
      <c r="I68" s="58"/>
      <c r="L68" s="59"/>
    </row>
    <row r="69" spans="1:13" s="14" customFormat="1" x14ac:dyDescent="0.2">
      <c r="A69" s="1">
        <v>58</v>
      </c>
      <c r="B69" s="2" t="s">
        <v>47</v>
      </c>
      <c r="C69" s="2"/>
      <c r="D69" s="1"/>
      <c r="E69" s="1" t="s">
        <v>48</v>
      </c>
      <c r="F69" s="2"/>
      <c r="G69" s="56">
        <v>2.3955366492386103E-2</v>
      </c>
      <c r="H69" s="57">
        <f t="shared" si="8"/>
        <v>4186.3151725044954</v>
      </c>
      <c r="I69" s="58"/>
      <c r="L69" s="59"/>
    </row>
    <row r="70" spans="1:13" s="14" customFormat="1" x14ac:dyDescent="0.2">
      <c r="A70" s="1">
        <v>59</v>
      </c>
      <c r="B70" s="2" t="s">
        <v>49</v>
      </c>
      <c r="C70" s="2"/>
      <c r="D70" s="1"/>
      <c r="E70" s="1" t="s">
        <v>50</v>
      </c>
      <c r="F70" s="2"/>
      <c r="G70" s="56">
        <v>0.10589168658007772</v>
      </c>
      <c r="H70" s="57">
        <f t="shared" si="8"/>
        <v>18505.080033451621</v>
      </c>
      <c r="I70" s="58"/>
      <c r="L70" s="59"/>
    </row>
    <row r="71" spans="1:13" s="14" customFormat="1" ht="15" customHeight="1" x14ac:dyDescent="0.2">
      <c r="A71" s="1">
        <v>60</v>
      </c>
      <c r="B71" s="60" t="s">
        <v>51</v>
      </c>
      <c r="C71" s="61"/>
      <c r="D71" s="62"/>
      <c r="E71" s="62"/>
      <c r="F71" s="62"/>
      <c r="G71" s="63">
        <f>SUM(G66:G70)</f>
        <v>0.55874425387000248</v>
      </c>
      <c r="H71" s="64">
        <f>SUM(H66:H70)</f>
        <v>97643.237821852599</v>
      </c>
      <c r="I71" s="58"/>
      <c r="L71" s="65"/>
    </row>
    <row r="72" spans="1:13" s="14" customFormat="1" ht="5.25" customHeight="1" x14ac:dyDescent="0.2">
      <c r="A72" s="1">
        <v>61</v>
      </c>
      <c r="B72" s="2"/>
      <c r="C72" s="2"/>
      <c r="D72" s="51"/>
      <c r="E72" s="51"/>
      <c r="F72" s="2"/>
      <c r="G72" s="56"/>
      <c r="H72" s="57"/>
      <c r="I72" s="58"/>
    </row>
    <row r="73" spans="1:13" s="14" customFormat="1" x14ac:dyDescent="0.2">
      <c r="A73" s="1">
        <v>62</v>
      </c>
      <c r="B73" s="2" t="s">
        <v>52</v>
      </c>
      <c r="C73" s="2"/>
      <c r="D73" s="1"/>
      <c r="E73" s="1" t="s">
        <v>53</v>
      </c>
      <c r="F73" s="2"/>
      <c r="G73" s="56">
        <v>0.26532065508349417</v>
      </c>
      <c r="H73" s="57">
        <f t="shared" ref="H73:H76" si="9">G73*$I$57</f>
        <v>46366.05682104217</v>
      </c>
      <c r="I73" s="58"/>
      <c r="L73" s="59"/>
    </row>
    <row r="74" spans="1:13" s="14" customFormat="1" x14ac:dyDescent="0.2">
      <c r="A74" s="1">
        <v>63</v>
      </c>
      <c r="B74" s="2" t="s">
        <v>54</v>
      </c>
      <c r="C74" s="2"/>
      <c r="D74" s="1"/>
      <c r="E74" s="1" t="s">
        <v>55</v>
      </c>
      <c r="F74" s="2"/>
      <c r="G74" s="56">
        <v>1.9168932948869864E-2</v>
      </c>
      <c r="H74" s="57">
        <f t="shared" si="9"/>
        <v>3349.862957432973</v>
      </c>
      <c r="I74" s="58"/>
      <c r="L74" s="59"/>
    </row>
    <row r="75" spans="1:13" s="14" customFormat="1" x14ac:dyDescent="0.2">
      <c r="A75" s="1">
        <v>64</v>
      </c>
      <c r="B75" s="2" t="s">
        <v>56</v>
      </c>
      <c r="C75" s="2"/>
      <c r="D75" s="1"/>
      <c r="E75" s="1" t="s">
        <v>57</v>
      </c>
      <c r="F75" s="2"/>
      <c r="G75" s="56">
        <v>5.5518749294945616E-2</v>
      </c>
      <c r="H75" s="57">
        <f t="shared" si="9"/>
        <v>9702.1676794540126</v>
      </c>
      <c r="I75" s="58"/>
      <c r="L75" s="59"/>
    </row>
    <row r="76" spans="1:13" s="14" customFormat="1" x14ac:dyDescent="0.2">
      <c r="A76" s="1">
        <v>65</v>
      </c>
      <c r="B76" s="2" t="s">
        <v>58</v>
      </c>
      <c r="C76" s="2"/>
      <c r="D76" s="1"/>
      <c r="E76" s="1" t="s">
        <v>59</v>
      </c>
      <c r="F76" s="2"/>
      <c r="G76" s="56">
        <v>0.10124740880268777</v>
      </c>
      <c r="H76" s="57">
        <f t="shared" si="9"/>
        <v>17693.470220218645</v>
      </c>
      <c r="I76" s="58"/>
      <c r="L76" s="59"/>
    </row>
    <row r="77" spans="1:13" s="14" customFormat="1" ht="15" customHeight="1" x14ac:dyDescent="0.2">
      <c r="A77" s="1">
        <v>66</v>
      </c>
      <c r="B77" s="62"/>
      <c r="C77" s="62"/>
      <c r="D77" s="62"/>
      <c r="E77" s="62" t="s">
        <v>60</v>
      </c>
      <c r="F77" s="62"/>
      <c r="G77" s="63">
        <f>SUM(G73:G76)</f>
        <v>0.44125574612999741</v>
      </c>
      <c r="H77" s="66">
        <f>SUM(H73:H76)</f>
        <v>77111.557678147801</v>
      </c>
      <c r="I77" s="58"/>
      <c r="L77" s="59"/>
    </row>
    <row r="78" spans="1:13" s="14" customFormat="1" ht="5.25" customHeight="1" x14ac:dyDescent="0.2">
      <c r="A78" s="1">
        <v>67</v>
      </c>
      <c r="B78" s="2"/>
      <c r="C78" s="2"/>
      <c r="D78" s="51"/>
      <c r="E78" s="51"/>
      <c r="F78" s="2"/>
      <c r="G78" s="56"/>
      <c r="H78" s="57"/>
      <c r="I78" s="67"/>
    </row>
    <row r="79" spans="1:13" s="14" customFormat="1" ht="15" customHeight="1" thickBot="1" x14ac:dyDescent="0.25">
      <c r="A79" s="1">
        <v>68</v>
      </c>
      <c r="B79" s="44"/>
      <c r="C79" s="44"/>
      <c r="D79" s="44"/>
      <c r="E79" s="68" t="s">
        <v>28</v>
      </c>
      <c r="F79" s="44"/>
      <c r="G79" s="69">
        <f>G71+G77</f>
        <v>0.99999999999999989</v>
      </c>
      <c r="H79" s="70">
        <f>H71+H77</f>
        <v>174754.79550000041</v>
      </c>
      <c r="I79" s="67"/>
      <c r="L79" s="71"/>
      <c r="M79" s="71"/>
    </row>
    <row r="80" spans="1:13" ht="13.5" thickTop="1" x14ac:dyDescent="0.2"/>
  </sheetData>
  <mergeCells count="5">
    <mergeCell ref="B3:L3"/>
    <mergeCell ref="B4:L4"/>
    <mergeCell ref="B6:L6"/>
    <mergeCell ref="B34:I34"/>
    <mergeCell ref="B62:I62"/>
  </mergeCells>
  <printOptions horizontalCentered="1"/>
  <pageMargins left="0.7" right="0.7" top="0.75" bottom="0.75" header="0.3" footer="0.3"/>
  <pageSetup scale="61" fitToHeight="0" orientation="portrait" r:id="rId1"/>
  <headerFooter>
    <oddFooter>&amp;RExhibit 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1.16 Health</vt:lpstr>
      <vt:lpstr>'1.16 Health'!Print_Titles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2025-04-06T19:37:46Z</dcterms:created>
  <dcterms:modified xsi:type="dcterms:W3CDTF">2025-04-06T21:46:18Z</dcterms:modified>
</cp:coreProperties>
</file>