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PSC\Rate Case 2024-00402\DR1\Questions - Final Form\"/>
    </mc:Choice>
  </mc:AlternateContent>
  <xr:revisionPtr revIDLastSave="0" documentId="8_{454C4993-D3CF-43ED-A4D3-80EB5A7F8F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ule I - Test Year" sheetId="1" r:id="rId1"/>
    <sheet name="Schedule I - 2023" sheetId="11" r:id="rId2"/>
    <sheet name="Schedule I - 2022" sheetId="10" r:id="rId3"/>
    <sheet name="Schedule I - 2021" sheetId="12" r:id="rId4"/>
  </sheets>
  <definedNames>
    <definedName name="_xlnm.Print_Area" localSheetId="3">'Schedule I - 2021'!$A$1:$AA$39</definedName>
    <definedName name="_xlnm.Print_Area" localSheetId="2">'Schedule I - 2022'!$A$1:$AA$40</definedName>
    <definedName name="_xlnm.Print_Area" localSheetId="1">'Schedule I - 2023'!$A$1:$AA$41</definedName>
    <definedName name="_xlnm.Print_Area" localSheetId="0">'Schedule I - Test Year'!$A$1:$AA$42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X9" i="1"/>
  <c r="B28" i="1"/>
  <c r="H28" i="1" s="1"/>
  <c r="Z28" i="1" s="1"/>
  <c r="B27" i="1"/>
  <c r="H27" i="1" s="1"/>
  <c r="Z27" i="1" s="1"/>
  <c r="B20" i="1"/>
  <c r="B19" i="1"/>
  <c r="B11" i="1"/>
  <c r="B27" i="11"/>
  <c r="H27" i="11" s="1"/>
  <c r="Z27" i="11" s="1"/>
  <c r="B26" i="11"/>
  <c r="H26" i="11" s="1"/>
  <c r="Z26" i="11" s="1"/>
  <c r="B19" i="11"/>
  <c r="B18" i="11"/>
  <c r="B11" i="11"/>
  <c r="B10" i="11"/>
  <c r="B9" i="11"/>
  <c r="B27" i="10"/>
  <c r="B26" i="10"/>
  <c r="B18" i="10"/>
  <c r="B26" i="12"/>
  <c r="B24" i="12"/>
  <c r="H24" i="12" s="1"/>
  <c r="Z24" i="12" s="1"/>
  <c r="B17" i="12"/>
  <c r="B19" i="12" s="1"/>
  <c r="D9" i="1"/>
  <c r="B9" i="1" s="1"/>
  <c r="H26" i="10" l="1"/>
  <c r="Z26" i="10" s="1"/>
  <c r="H25" i="10"/>
  <c r="Z25" i="10" s="1"/>
  <c r="H25" i="12"/>
  <c r="Z25" i="12" s="1"/>
  <c r="X11" i="10"/>
  <c r="X11" i="11"/>
  <c r="V11" i="11"/>
  <c r="Q11" i="11"/>
  <c r="O11" i="11"/>
  <c r="L11" i="11"/>
  <c r="K11" i="11"/>
  <c r="J11" i="11"/>
  <c r="I11" i="11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G19" i="12"/>
  <c r="F19" i="12"/>
  <c r="E19" i="12"/>
  <c r="D19" i="12"/>
  <c r="C19" i="12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G20" i="10"/>
  <c r="F20" i="10"/>
  <c r="E20" i="10"/>
  <c r="D20" i="10"/>
  <c r="C20" i="10"/>
  <c r="B20" i="10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G21" i="11"/>
  <c r="F21" i="11"/>
  <c r="E21" i="11"/>
  <c r="D21" i="11"/>
  <c r="C21" i="11"/>
  <c r="B21" i="1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G22" i="1"/>
  <c r="F22" i="1"/>
  <c r="E22" i="1"/>
  <c r="D22" i="1"/>
  <c r="C22" i="1"/>
  <c r="B22" i="1"/>
  <c r="V9" i="1" l="1"/>
  <c r="S9" i="1"/>
  <c r="Q9" i="1"/>
  <c r="O9" i="1"/>
  <c r="N9" i="1"/>
  <c r="L9" i="1"/>
  <c r="K9" i="1"/>
  <c r="J9" i="1"/>
  <c r="I9" i="1"/>
  <c r="I15" i="1" s="1"/>
  <c r="AA9" i="1" l="1"/>
  <c r="Y27" i="12"/>
  <c r="Y28" i="12" s="1"/>
  <c r="X27" i="12"/>
  <c r="X30" i="12" s="1"/>
  <c r="W27" i="12"/>
  <c r="W28" i="12" s="1"/>
  <c r="V27" i="12"/>
  <c r="V30" i="12" s="1"/>
  <c r="U27" i="12"/>
  <c r="U28" i="12" s="1"/>
  <c r="T27" i="12"/>
  <c r="T28" i="12" s="1"/>
  <c r="S27" i="12"/>
  <c r="S30" i="12" s="1"/>
  <c r="R27" i="12"/>
  <c r="R28" i="12" s="1"/>
  <c r="Q27" i="12"/>
  <c r="Q28" i="12" s="1"/>
  <c r="P27" i="12"/>
  <c r="P28" i="12" s="1"/>
  <c r="O27" i="12"/>
  <c r="O30" i="12" s="1"/>
  <c r="N27" i="12"/>
  <c r="N30" i="12" s="1"/>
  <c r="M27" i="12"/>
  <c r="M30" i="12" s="1"/>
  <c r="L27" i="12"/>
  <c r="L30" i="12" s="1"/>
  <c r="K27" i="12"/>
  <c r="K28" i="12" s="1"/>
  <c r="J27" i="12"/>
  <c r="J30" i="12" s="1"/>
  <c r="I27" i="12"/>
  <c r="I28" i="12" s="1"/>
  <c r="G27" i="12"/>
  <c r="G30" i="12" s="1"/>
  <c r="F27" i="12"/>
  <c r="F28" i="12" s="1"/>
  <c r="E27" i="12"/>
  <c r="E28" i="12" s="1"/>
  <c r="D27" i="12"/>
  <c r="D28" i="12" s="1"/>
  <c r="C27" i="12"/>
  <c r="C30" i="12" s="1"/>
  <c r="B27" i="12"/>
  <c r="B30" i="12" s="1"/>
  <c r="AA26" i="12"/>
  <c r="H26" i="12"/>
  <c r="AA25" i="12"/>
  <c r="AA24" i="12"/>
  <c r="AA18" i="12"/>
  <c r="H18" i="12"/>
  <c r="Z18" i="12" s="1"/>
  <c r="AA17" i="12"/>
  <c r="H17" i="12"/>
  <c r="Z17" i="12" s="1"/>
  <c r="AA16" i="12"/>
  <c r="H16" i="12"/>
  <c r="Z16" i="12" s="1"/>
  <c r="C13" i="12"/>
  <c r="Y12" i="12"/>
  <c r="Y13" i="12" s="1"/>
  <c r="X12" i="12"/>
  <c r="X13" i="12" s="1"/>
  <c r="W12" i="12"/>
  <c r="W14" i="12" s="1"/>
  <c r="V12" i="12"/>
  <c r="V13" i="12" s="1"/>
  <c r="U12" i="12"/>
  <c r="U13" i="12" s="1"/>
  <c r="T12" i="12"/>
  <c r="T14" i="12" s="1"/>
  <c r="S12" i="12"/>
  <c r="S14" i="12" s="1"/>
  <c r="R12" i="12"/>
  <c r="R13" i="12" s="1"/>
  <c r="Q12" i="12"/>
  <c r="Q14" i="12" s="1"/>
  <c r="P12" i="12"/>
  <c r="P14" i="12" s="1"/>
  <c r="O12" i="12"/>
  <c r="O14" i="12" s="1"/>
  <c r="N12" i="12"/>
  <c r="N14" i="12" s="1"/>
  <c r="M12" i="12"/>
  <c r="M13" i="12" s="1"/>
  <c r="L12" i="12"/>
  <c r="L13" i="12" s="1"/>
  <c r="K12" i="12"/>
  <c r="K14" i="12" s="1"/>
  <c r="J12" i="12"/>
  <c r="J13" i="12" s="1"/>
  <c r="I12" i="12"/>
  <c r="I13" i="12" s="1"/>
  <c r="G12" i="12"/>
  <c r="G14" i="12" s="1"/>
  <c r="F12" i="12"/>
  <c r="F13" i="12" s="1"/>
  <c r="E12" i="12"/>
  <c r="E13" i="12" s="1"/>
  <c r="D12" i="12"/>
  <c r="D14" i="12" s="1"/>
  <c r="C12" i="12"/>
  <c r="C14" i="12" s="1"/>
  <c r="B12" i="12"/>
  <c r="B14" i="12" s="1"/>
  <c r="AA11" i="12"/>
  <c r="H11" i="12"/>
  <c r="Z11" i="12" s="1"/>
  <c r="AA10" i="12"/>
  <c r="H10" i="12"/>
  <c r="Z10" i="12" s="1"/>
  <c r="AA9" i="12"/>
  <c r="H9" i="12"/>
  <c r="Z9" i="12" s="1"/>
  <c r="Y29" i="11"/>
  <c r="Y32" i="11" s="1"/>
  <c r="X29" i="11"/>
  <c r="X32" i="11" s="1"/>
  <c r="W29" i="11"/>
  <c r="W32" i="11" s="1"/>
  <c r="V29" i="11"/>
  <c r="V30" i="11" s="1"/>
  <c r="U29" i="11"/>
  <c r="U32" i="11" s="1"/>
  <c r="T29" i="11"/>
  <c r="T32" i="11" s="1"/>
  <c r="S29" i="11"/>
  <c r="S30" i="11" s="1"/>
  <c r="R29" i="11"/>
  <c r="R30" i="11" s="1"/>
  <c r="Q29" i="11"/>
  <c r="Q32" i="11" s="1"/>
  <c r="P29" i="11"/>
  <c r="P32" i="11" s="1"/>
  <c r="O29" i="11"/>
  <c r="O30" i="11" s="1"/>
  <c r="N29" i="11"/>
  <c r="N32" i="11" s="1"/>
  <c r="M29" i="11"/>
  <c r="M32" i="11" s="1"/>
  <c r="L29" i="11"/>
  <c r="L32" i="11" s="1"/>
  <c r="K29" i="11"/>
  <c r="K32" i="11" s="1"/>
  <c r="J29" i="11"/>
  <c r="J30" i="11" s="1"/>
  <c r="I29" i="11"/>
  <c r="I32" i="11" s="1"/>
  <c r="G29" i="11"/>
  <c r="G32" i="11" s="1"/>
  <c r="F29" i="11"/>
  <c r="F30" i="11" s="1"/>
  <c r="E29" i="11"/>
  <c r="E30" i="11" s="1"/>
  <c r="D29" i="11"/>
  <c r="D32" i="11" s="1"/>
  <c r="C29" i="11"/>
  <c r="C30" i="11" s="1"/>
  <c r="B29" i="11"/>
  <c r="B32" i="11" s="1"/>
  <c r="AA28" i="11"/>
  <c r="H28" i="11"/>
  <c r="AA27" i="11"/>
  <c r="AA26" i="11"/>
  <c r="AA20" i="11"/>
  <c r="H20" i="11"/>
  <c r="Z20" i="11" s="1"/>
  <c r="AA19" i="11"/>
  <c r="H19" i="11"/>
  <c r="Z19" i="11" s="1"/>
  <c r="AA18" i="11"/>
  <c r="H18" i="11"/>
  <c r="Z18" i="11" s="1"/>
  <c r="Y14" i="11"/>
  <c r="Y16" i="11" s="1"/>
  <c r="X14" i="11"/>
  <c r="X15" i="11" s="1"/>
  <c r="W14" i="11"/>
  <c r="W16" i="11" s="1"/>
  <c r="V14" i="11"/>
  <c r="V15" i="11" s="1"/>
  <c r="U14" i="11"/>
  <c r="U16" i="11" s="1"/>
  <c r="T14" i="11"/>
  <c r="T16" i="11" s="1"/>
  <c r="S14" i="11"/>
  <c r="S15" i="11" s="1"/>
  <c r="R14" i="11"/>
  <c r="R15" i="11" s="1"/>
  <c r="Q14" i="11"/>
  <c r="Q16" i="11" s="1"/>
  <c r="P14" i="11"/>
  <c r="P16" i="11" s="1"/>
  <c r="O14" i="11"/>
  <c r="O15" i="11" s="1"/>
  <c r="N14" i="11"/>
  <c r="N16" i="11" s="1"/>
  <c r="M14" i="11"/>
  <c r="M15" i="11" s="1"/>
  <c r="L14" i="11"/>
  <c r="L15" i="11" s="1"/>
  <c r="K14" i="11"/>
  <c r="K16" i="11" s="1"/>
  <c r="J14" i="11"/>
  <c r="J15" i="11" s="1"/>
  <c r="I14" i="11"/>
  <c r="I16" i="11" s="1"/>
  <c r="G14" i="11"/>
  <c r="G15" i="11" s="1"/>
  <c r="F14" i="11"/>
  <c r="F15" i="11" s="1"/>
  <c r="E14" i="11"/>
  <c r="E16" i="11" s="1"/>
  <c r="D14" i="11"/>
  <c r="D16" i="11" s="1"/>
  <c r="C14" i="11"/>
  <c r="C15" i="11" s="1"/>
  <c r="B14" i="11"/>
  <c r="B15" i="11" s="1"/>
  <c r="AA13" i="11"/>
  <c r="H13" i="11"/>
  <c r="Z13" i="11" s="1"/>
  <c r="AA12" i="11"/>
  <c r="H12" i="11"/>
  <c r="Z12" i="11" s="1"/>
  <c r="AA11" i="11"/>
  <c r="H11" i="11"/>
  <c r="Z11" i="11" s="1"/>
  <c r="AA10" i="11"/>
  <c r="H10" i="11"/>
  <c r="Z10" i="11" s="1"/>
  <c r="AA9" i="11"/>
  <c r="H9" i="11"/>
  <c r="Z9" i="11" s="1"/>
  <c r="Y28" i="10"/>
  <c r="Y31" i="10" s="1"/>
  <c r="X28" i="10"/>
  <c r="X31" i="10" s="1"/>
  <c r="W28" i="10"/>
  <c r="W31" i="10" s="1"/>
  <c r="V28" i="10"/>
  <c r="V29" i="10" s="1"/>
  <c r="U28" i="10"/>
  <c r="U29" i="10" s="1"/>
  <c r="T28" i="10"/>
  <c r="T29" i="10" s="1"/>
  <c r="S28" i="10"/>
  <c r="S29" i="10" s="1"/>
  <c r="R28" i="10"/>
  <c r="R29" i="10" s="1"/>
  <c r="Q28" i="10"/>
  <c r="Q31" i="10" s="1"/>
  <c r="P28" i="10"/>
  <c r="P29" i="10" s="1"/>
  <c r="O28" i="10"/>
  <c r="O29" i="10" s="1"/>
  <c r="N28" i="10"/>
  <c r="N31" i="10" s="1"/>
  <c r="M28" i="10"/>
  <c r="M31" i="10" s="1"/>
  <c r="L28" i="10"/>
  <c r="L31" i="10" s="1"/>
  <c r="K28" i="10"/>
  <c r="K31" i="10" s="1"/>
  <c r="J28" i="10"/>
  <c r="J29" i="10" s="1"/>
  <c r="I28" i="10"/>
  <c r="I31" i="10" s="1"/>
  <c r="G28" i="10"/>
  <c r="G29" i="10" s="1"/>
  <c r="F28" i="10"/>
  <c r="F29" i="10" s="1"/>
  <c r="E28" i="10"/>
  <c r="E29" i="10" s="1"/>
  <c r="D28" i="10"/>
  <c r="D29" i="10" s="1"/>
  <c r="C28" i="10"/>
  <c r="C29" i="10" s="1"/>
  <c r="B28" i="10"/>
  <c r="B31" i="10" s="1"/>
  <c r="AA27" i="10"/>
  <c r="H27" i="10"/>
  <c r="Z27" i="10" s="1"/>
  <c r="AA26" i="10"/>
  <c r="AA25" i="10"/>
  <c r="AA19" i="10"/>
  <c r="H19" i="10"/>
  <c r="Z19" i="10" s="1"/>
  <c r="AA18" i="10"/>
  <c r="H18" i="10"/>
  <c r="Z18" i="10" s="1"/>
  <c r="AA17" i="10"/>
  <c r="H17" i="10"/>
  <c r="Z17" i="10" s="1"/>
  <c r="Y13" i="10"/>
  <c r="Y14" i="10" s="1"/>
  <c r="X13" i="10"/>
  <c r="X14" i="10" s="1"/>
  <c r="W13" i="10"/>
  <c r="W14" i="10" s="1"/>
  <c r="V13" i="10"/>
  <c r="V15" i="10" s="1"/>
  <c r="U13" i="10"/>
  <c r="U15" i="10" s="1"/>
  <c r="T13" i="10"/>
  <c r="T14" i="10" s="1"/>
  <c r="S13" i="10"/>
  <c r="S14" i="10" s="1"/>
  <c r="R13" i="10"/>
  <c r="R15" i="10" s="1"/>
  <c r="Q13" i="10"/>
  <c r="Q15" i="10" s="1"/>
  <c r="P13" i="10"/>
  <c r="P15" i="10" s="1"/>
  <c r="O13" i="10"/>
  <c r="O14" i="10" s="1"/>
  <c r="N13" i="10"/>
  <c r="N15" i="10" s="1"/>
  <c r="M13" i="10"/>
  <c r="M15" i="10" s="1"/>
  <c r="L13" i="10"/>
  <c r="L14" i="10" s="1"/>
  <c r="K13" i="10"/>
  <c r="K14" i="10" s="1"/>
  <c r="J13" i="10"/>
  <c r="J15" i="10" s="1"/>
  <c r="I13" i="10"/>
  <c r="I14" i="10" s="1"/>
  <c r="G13" i="10"/>
  <c r="G14" i="10" s="1"/>
  <c r="F13" i="10"/>
  <c r="F15" i="10" s="1"/>
  <c r="E13" i="10"/>
  <c r="E15" i="10" s="1"/>
  <c r="D13" i="10"/>
  <c r="D15" i="10" s="1"/>
  <c r="C13" i="10"/>
  <c r="C14" i="10" s="1"/>
  <c r="B13" i="10"/>
  <c r="B14" i="10" s="1"/>
  <c r="AA12" i="10"/>
  <c r="H12" i="10"/>
  <c r="Z12" i="10" s="1"/>
  <c r="AA11" i="10"/>
  <c r="H11" i="10"/>
  <c r="Z11" i="10" s="1"/>
  <c r="AA10" i="10"/>
  <c r="H10" i="10"/>
  <c r="Z10" i="10" s="1"/>
  <c r="AA9" i="10"/>
  <c r="H9" i="10"/>
  <c r="Z9" i="10" s="1"/>
  <c r="J15" i="1"/>
  <c r="J17" i="1" s="1"/>
  <c r="K15" i="1"/>
  <c r="K16" i="1" s="1"/>
  <c r="L15" i="1"/>
  <c r="L16" i="1" s="1"/>
  <c r="N15" i="1"/>
  <c r="N16" i="1" s="1"/>
  <c r="O15" i="1"/>
  <c r="O16" i="1" s="1"/>
  <c r="Q15" i="1"/>
  <c r="Q17" i="1" s="1"/>
  <c r="S15" i="1"/>
  <c r="S16" i="1" s="1"/>
  <c r="U15" i="1"/>
  <c r="U16" i="1" s="1"/>
  <c r="V15" i="1"/>
  <c r="V17" i="1" s="1"/>
  <c r="AA28" i="1"/>
  <c r="AA27" i="1"/>
  <c r="AA21" i="1"/>
  <c r="AA20" i="1"/>
  <c r="AA19" i="1"/>
  <c r="AA22" i="1" s="1"/>
  <c r="H21" i="1"/>
  <c r="Z21" i="1" s="1"/>
  <c r="H20" i="1"/>
  <c r="Z20" i="1" s="1"/>
  <c r="H19" i="1"/>
  <c r="Z19" i="1" s="1"/>
  <c r="AA14" i="1"/>
  <c r="AA13" i="1"/>
  <c r="AA12" i="1"/>
  <c r="AA11" i="1"/>
  <c r="AA10" i="1"/>
  <c r="H14" i="1"/>
  <c r="Z14" i="1" s="1"/>
  <c r="H13" i="1"/>
  <c r="Z13" i="1" s="1"/>
  <c r="H12" i="1"/>
  <c r="Z12" i="1" s="1"/>
  <c r="H11" i="1"/>
  <c r="Z11" i="1" s="1"/>
  <c r="H10" i="1"/>
  <c r="Z10" i="1" s="1"/>
  <c r="H9" i="1"/>
  <c r="Z9" i="1" s="1"/>
  <c r="U30" i="1"/>
  <c r="U33" i="1" s="1"/>
  <c r="T30" i="1"/>
  <c r="T33" i="1" s="1"/>
  <c r="S30" i="1"/>
  <c r="S33" i="1" s="1"/>
  <c r="T15" i="1"/>
  <c r="T17" i="1" s="1"/>
  <c r="R30" i="1"/>
  <c r="R33" i="1" s="1"/>
  <c r="Q30" i="1"/>
  <c r="Q33" i="1" s="1"/>
  <c r="R15" i="1"/>
  <c r="R17" i="1" s="1"/>
  <c r="Y30" i="1"/>
  <c r="Y31" i="1" s="1"/>
  <c r="X30" i="1"/>
  <c r="X33" i="1" s="1"/>
  <c r="W30" i="1"/>
  <c r="W31" i="1" s="1"/>
  <c r="V30" i="1"/>
  <c r="V31" i="1" s="1"/>
  <c r="P30" i="1"/>
  <c r="P31" i="1" s="1"/>
  <c r="O30" i="1"/>
  <c r="O31" i="1" s="1"/>
  <c r="N30" i="1"/>
  <c r="N31" i="1" s="1"/>
  <c r="M30" i="1"/>
  <c r="M31" i="1" s="1"/>
  <c r="L30" i="1"/>
  <c r="L33" i="1" s="1"/>
  <c r="K30" i="1"/>
  <c r="K31" i="1" s="1"/>
  <c r="J30" i="1"/>
  <c r="J31" i="1" s="1"/>
  <c r="I30" i="1"/>
  <c r="I31" i="1" s="1"/>
  <c r="G30" i="1"/>
  <c r="G33" i="1" s="1"/>
  <c r="F30" i="1"/>
  <c r="F31" i="1" s="1"/>
  <c r="E30" i="1"/>
  <c r="E31" i="1" s="1"/>
  <c r="D30" i="1"/>
  <c r="D31" i="1" s="1"/>
  <c r="C30" i="1"/>
  <c r="C31" i="1" s="1"/>
  <c r="B30" i="1"/>
  <c r="B31" i="1" s="1"/>
  <c r="Y15" i="1"/>
  <c r="Y16" i="1" s="1"/>
  <c r="X15" i="1"/>
  <c r="X16" i="1" s="1"/>
  <c r="W15" i="1"/>
  <c r="W16" i="1" s="1"/>
  <c r="P15" i="1"/>
  <c r="P16" i="1" s="1"/>
  <c r="M15" i="1"/>
  <c r="M16" i="1" s="1"/>
  <c r="I17" i="1"/>
  <c r="G15" i="1"/>
  <c r="G16" i="1" s="1"/>
  <c r="F15" i="1"/>
  <c r="F16" i="1" s="1"/>
  <c r="E15" i="1"/>
  <c r="E16" i="1" s="1"/>
  <c r="D15" i="1"/>
  <c r="D16" i="1" s="1"/>
  <c r="C15" i="1"/>
  <c r="C16" i="1" s="1"/>
  <c r="B15" i="1"/>
  <c r="B17" i="1" s="1"/>
  <c r="H29" i="1"/>
  <c r="Z29" i="1" s="1"/>
  <c r="Z30" i="1" s="1"/>
  <c r="Z33" i="1" s="1"/>
  <c r="AA29" i="1"/>
  <c r="T13" i="12" l="1"/>
  <c r="R14" i="10"/>
  <c r="F16" i="11"/>
  <c r="H27" i="12"/>
  <c r="H28" i="12" s="1"/>
  <c r="Z26" i="12"/>
  <c r="Z27" i="12" s="1"/>
  <c r="Z28" i="12" s="1"/>
  <c r="W30" i="12"/>
  <c r="U14" i="12"/>
  <c r="G15" i="10"/>
  <c r="H29" i="11"/>
  <c r="H32" i="11" s="1"/>
  <c r="Z28" i="11"/>
  <c r="Z29" i="11" s="1"/>
  <c r="Z32" i="11" s="1"/>
  <c r="T15" i="11"/>
  <c r="H22" i="1"/>
  <c r="H23" i="1" s="1"/>
  <c r="Z22" i="1"/>
  <c r="Z23" i="1" s="1"/>
  <c r="H28" i="10"/>
  <c r="H31" i="10" s="1"/>
  <c r="H19" i="12"/>
  <c r="H20" i="12" s="1"/>
  <c r="E32" i="11"/>
  <c r="G30" i="11"/>
  <c r="F32" i="11"/>
  <c r="H21" i="11"/>
  <c r="F31" i="10"/>
  <c r="E31" i="10"/>
  <c r="H20" i="10"/>
  <c r="F14" i="10"/>
  <c r="G28" i="12"/>
  <c r="F30" i="12"/>
  <c r="B13" i="12"/>
  <c r="U15" i="11"/>
  <c r="K30" i="12"/>
  <c r="R30" i="12"/>
  <c r="Q30" i="12"/>
  <c r="J28" i="12"/>
  <c r="S28" i="12"/>
  <c r="F14" i="12"/>
  <c r="AA27" i="12"/>
  <c r="AA28" i="12" s="1"/>
  <c r="V28" i="12"/>
  <c r="W13" i="12"/>
  <c r="R14" i="12"/>
  <c r="D30" i="12"/>
  <c r="E30" i="12"/>
  <c r="AA19" i="12"/>
  <c r="AA20" i="12" s="1"/>
  <c r="P30" i="12"/>
  <c r="V14" i="12"/>
  <c r="N13" i="12"/>
  <c r="O13" i="12"/>
  <c r="AA12" i="12"/>
  <c r="AA14" i="12" s="1"/>
  <c r="K13" i="12"/>
  <c r="J14" i="12"/>
  <c r="I14" i="12"/>
  <c r="C31" i="10"/>
  <c r="B29" i="10"/>
  <c r="D31" i="10"/>
  <c r="U14" i="10"/>
  <c r="R31" i="10"/>
  <c r="S15" i="10"/>
  <c r="T15" i="10"/>
  <c r="C32" i="11"/>
  <c r="W15" i="11"/>
  <c r="G16" i="11"/>
  <c r="R16" i="11"/>
  <c r="S16" i="11"/>
  <c r="P31" i="10"/>
  <c r="N29" i="10"/>
  <c r="AA28" i="10"/>
  <c r="AA29" i="10" s="1"/>
  <c r="Z28" i="10"/>
  <c r="Z29" i="10" s="1"/>
  <c r="Q29" i="10"/>
  <c r="O31" i="10"/>
  <c r="AA20" i="10"/>
  <c r="AA21" i="10" s="1"/>
  <c r="AA13" i="10"/>
  <c r="AA14" i="10" s="1"/>
  <c r="V14" i="10"/>
  <c r="Z13" i="10"/>
  <c r="Z14" i="10" s="1"/>
  <c r="J14" i="10"/>
  <c r="I15" i="10"/>
  <c r="S32" i="11"/>
  <c r="O32" i="11"/>
  <c r="T30" i="11"/>
  <c r="R32" i="11"/>
  <c r="Q30" i="11"/>
  <c r="AA29" i="11"/>
  <c r="AA32" i="11" s="1"/>
  <c r="AA21" i="11"/>
  <c r="AA22" i="11" s="1"/>
  <c r="X16" i="11"/>
  <c r="K15" i="11"/>
  <c r="AA14" i="11"/>
  <c r="AA16" i="11" s="1"/>
  <c r="V16" i="11"/>
  <c r="L16" i="11"/>
  <c r="J16" i="11"/>
  <c r="I15" i="11"/>
  <c r="AA30" i="1"/>
  <c r="AA33" i="1" s="1"/>
  <c r="AA23" i="1"/>
  <c r="R23" i="1"/>
  <c r="Z12" i="12"/>
  <c r="T30" i="12"/>
  <c r="Y14" i="12"/>
  <c r="I30" i="12"/>
  <c r="U30" i="12"/>
  <c r="D13" i="12"/>
  <c r="P13" i="12"/>
  <c r="L28" i="12"/>
  <c r="X28" i="12"/>
  <c r="L14" i="12"/>
  <c r="M28" i="12"/>
  <c r="H12" i="12"/>
  <c r="E20" i="12"/>
  <c r="B28" i="12"/>
  <c r="N28" i="12"/>
  <c r="M14" i="12"/>
  <c r="Q13" i="12"/>
  <c r="G13" i="12"/>
  <c r="S13" i="12"/>
  <c r="E14" i="12"/>
  <c r="Z19" i="12"/>
  <c r="F20" i="12"/>
  <c r="C28" i="12"/>
  <c r="O28" i="12"/>
  <c r="Y30" i="12"/>
  <c r="X14" i="12"/>
  <c r="Z14" i="11"/>
  <c r="G22" i="11"/>
  <c r="U30" i="11"/>
  <c r="N15" i="11"/>
  <c r="D15" i="11"/>
  <c r="P15" i="11"/>
  <c r="B16" i="11"/>
  <c r="C22" i="11"/>
  <c r="L30" i="11"/>
  <c r="X30" i="11"/>
  <c r="J32" i="11"/>
  <c r="V32" i="11"/>
  <c r="Y15" i="11"/>
  <c r="K30" i="11"/>
  <c r="W30" i="11"/>
  <c r="E15" i="11"/>
  <c r="E24" i="11" s="1"/>
  <c r="Q15" i="11"/>
  <c r="C16" i="11"/>
  <c r="O16" i="11"/>
  <c r="D22" i="11"/>
  <c r="M30" i="11"/>
  <c r="Y30" i="11"/>
  <c r="M16" i="11"/>
  <c r="H14" i="11"/>
  <c r="E22" i="11"/>
  <c r="B30" i="11"/>
  <c r="N30" i="11"/>
  <c r="I30" i="11"/>
  <c r="Z21" i="11"/>
  <c r="F22" i="11"/>
  <c r="D30" i="11"/>
  <c r="P30" i="11"/>
  <c r="G21" i="10"/>
  <c r="G31" i="10"/>
  <c r="K29" i="10"/>
  <c r="D14" i="10"/>
  <c r="D23" i="10" s="1"/>
  <c r="L29" i="10"/>
  <c r="X29" i="10"/>
  <c r="J31" i="10"/>
  <c r="V31" i="10"/>
  <c r="M14" i="10"/>
  <c r="W15" i="10"/>
  <c r="S31" i="10"/>
  <c r="N14" i="10"/>
  <c r="L15" i="10"/>
  <c r="X15" i="10"/>
  <c r="T31" i="10"/>
  <c r="Y15" i="10"/>
  <c r="W29" i="10"/>
  <c r="U31" i="10"/>
  <c r="P14" i="10"/>
  <c r="B15" i="10"/>
  <c r="E14" i="10"/>
  <c r="Q14" i="10"/>
  <c r="C15" i="10"/>
  <c r="O15" i="10"/>
  <c r="D21" i="10"/>
  <c r="M29" i="10"/>
  <c r="Y29" i="10"/>
  <c r="I29" i="10"/>
  <c r="H13" i="10"/>
  <c r="Z20" i="10"/>
  <c r="K15" i="10"/>
  <c r="S17" i="1"/>
  <c r="O17" i="1"/>
  <c r="N17" i="1"/>
  <c r="L17" i="1"/>
  <c r="K17" i="1"/>
  <c r="J16" i="1"/>
  <c r="AA15" i="1"/>
  <c r="AA17" i="1" s="1"/>
  <c r="Q16" i="1"/>
  <c r="U17" i="1"/>
  <c r="V16" i="1"/>
  <c r="L23" i="1"/>
  <c r="M23" i="1"/>
  <c r="S23" i="1"/>
  <c r="N23" i="1"/>
  <c r="T23" i="1"/>
  <c r="K23" i="1"/>
  <c r="O23" i="1"/>
  <c r="I23" i="1"/>
  <c r="J23" i="1"/>
  <c r="P23" i="1"/>
  <c r="V23" i="1"/>
  <c r="D23" i="1"/>
  <c r="W23" i="1"/>
  <c r="X23" i="1"/>
  <c r="Q23" i="1"/>
  <c r="E23" i="1"/>
  <c r="U23" i="1"/>
  <c r="Y23" i="1"/>
  <c r="G23" i="1"/>
  <c r="B23" i="1"/>
  <c r="F23" i="1"/>
  <c r="C23" i="1"/>
  <c r="E33" i="1"/>
  <c r="S31" i="1"/>
  <c r="B33" i="1"/>
  <c r="K33" i="1"/>
  <c r="T16" i="1"/>
  <c r="U31" i="1"/>
  <c r="T31" i="1"/>
  <c r="M33" i="1"/>
  <c r="N33" i="1"/>
  <c r="J33" i="1"/>
  <c r="G31" i="1"/>
  <c r="V33" i="1"/>
  <c r="L31" i="1"/>
  <c r="X31" i="1"/>
  <c r="H30" i="1"/>
  <c r="C33" i="1"/>
  <c r="O33" i="1"/>
  <c r="D33" i="1"/>
  <c r="P33" i="1"/>
  <c r="F33" i="1"/>
  <c r="W33" i="1"/>
  <c r="Q31" i="1"/>
  <c r="R16" i="1"/>
  <c r="R31" i="1"/>
  <c r="Y33" i="1"/>
  <c r="I33" i="1"/>
  <c r="P17" i="1"/>
  <c r="I16" i="1"/>
  <c r="C17" i="1"/>
  <c r="M17" i="1"/>
  <c r="E17" i="1"/>
  <c r="F17" i="1"/>
  <c r="W17" i="1"/>
  <c r="G17" i="1"/>
  <c r="X17" i="1"/>
  <c r="D17" i="1"/>
  <c r="Y17" i="1"/>
  <c r="H15" i="1"/>
  <c r="B16" i="1"/>
  <c r="D34" i="10" l="1"/>
  <c r="D35" i="10" s="1"/>
  <c r="H30" i="12"/>
  <c r="E35" i="11"/>
  <c r="E36" i="11" s="1"/>
  <c r="H30" i="11"/>
  <c r="H29" i="10"/>
  <c r="AA30" i="12"/>
  <c r="Z30" i="12"/>
  <c r="AA13" i="12"/>
  <c r="AA22" i="12" s="1"/>
  <c r="Z31" i="10"/>
  <c r="AA31" i="10"/>
  <c r="AA23" i="10"/>
  <c r="AA15" i="10"/>
  <c r="Z15" i="10"/>
  <c r="AA30" i="11"/>
  <c r="AA15" i="11"/>
  <c r="AA24" i="11" s="1"/>
  <c r="AA35" i="11" s="1"/>
  <c r="AA36" i="11" s="1"/>
  <c r="AA31" i="1"/>
  <c r="Z31" i="1"/>
  <c r="P25" i="1"/>
  <c r="P36" i="1" s="1"/>
  <c r="P37" i="1" s="1"/>
  <c r="O25" i="1"/>
  <c r="O36" i="1" s="1"/>
  <c r="O37" i="1" s="1"/>
  <c r="R25" i="1"/>
  <c r="R36" i="1" s="1"/>
  <c r="R37" i="1" s="1"/>
  <c r="I25" i="1"/>
  <c r="I36" i="1" s="1"/>
  <c r="I37" i="1" s="1"/>
  <c r="M25" i="1"/>
  <c r="M36" i="1" s="1"/>
  <c r="M37" i="1" s="1"/>
  <c r="D25" i="1"/>
  <c r="D36" i="1" s="1"/>
  <c r="D37" i="1" s="1"/>
  <c r="J25" i="1"/>
  <c r="J36" i="1" s="1"/>
  <c r="J37" i="1" s="1"/>
  <c r="X25" i="1"/>
  <c r="X36" i="1" s="1"/>
  <c r="X37" i="1" s="1"/>
  <c r="E22" i="12"/>
  <c r="E33" i="12" s="1"/>
  <c r="E34" i="12" s="1"/>
  <c r="S20" i="12"/>
  <c r="D20" i="12"/>
  <c r="Z20" i="12"/>
  <c r="P20" i="12"/>
  <c r="Q20" i="12"/>
  <c r="Z13" i="12"/>
  <c r="Z14" i="12"/>
  <c r="F22" i="12"/>
  <c r="F33" i="12" s="1"/>
  <c r="F34" i="12" s="1"/>
  <c r="S22" i="12"/>
  <c r="S33" i="12" s="1"/>
  <c r="S34" i="12" s="1"/>
  <c r="H14" i="12"/>
  <c r="H13" i="12"/>
  <c r="H22" i="12" s="1"/>
  <c r="Q22" i="12"/>
  <c r="Q33" i="12" s="1"/>
  <c r="Q34" i="12" s="1"/>
  <c r="G20" i="12"/>
  <c r="G22" i="12"/>
  <c r="G33" i="12" s="1"/>
  <c r="G34" i="12" s="1"/>
  <c r="Z15" i="11"/>
  <c r="Z24" i="11" s="1"/>
  <c r="Z35" i="11" s="1"/>
  <c r="Z16" i="11"/>
  <c r="N24" i="11"/>
  <c r="N35" i="11" s="1"/>
  <c r="N36" i="11" s="1"/>
  <c r="Z30" i="11"/>
  <c r="H16" i="11"/>
  <c r="H15" i="11"/>
  <c r="C24" i="11"/>
  <c r="C35" i="11" s="1"/>
  <c r="C36" i="11" s="1"/>
  <c r="Y24" i="11"/>
  <c r="Y35" i="11" s="1"/>
  <c r="Y36" i="11" s="1"/>
  <c r="G24" i="11"/>
  <c r="G35" i="11" s="1"/>
  <c r="G36" i="11" s="1"/>
  <c r="P24" i="11"/>
  <c r="P35" i="11" s="1"/>
  <c r="P36" i="11" s="1"/>
  <c r="F24" i="11"/>
  <c r="F35" i="11" s="1"/>
  <c r="F36" i="11" s="1"/>
  <c r="H22" i="11"/>
  <c r="Z22" i="11"/>
  <c r="Q22" i="11"/>
  <c r="P22" i="11"/>
  <c r="N22" i="11"/>
  <c r="Y22" i="11"/>
  <c r="Q24" i="11"/>
  <c r="Q35" i="11" s="1"/>
  <c r="Q36" i="11" s="1"/>
  <c r="D24" i="11"/>
  <c r="D35" i="11" s="1"/>
  <c r="D36" i="11" s="1"/>
  <c r="N23" i="10"/>
  <c r="N34" i="10" s="1"/>
  <c r="N35" i="10" s="1"/>
  <c r="P23" i="10"/>
  <c r="P34" i="10" s="1"/>
  <c r="P35" i="10" s="1"/>
  <c r="G23" i="10"/>
  <c r="G34" i="10" s="1"/>
  <c r="G35" i="10" s="1"/>
  <c r="H14" i="10"/>
  <c r="H15" i="10"/>
  <c r="F23" i="10"/>
  <c r="F34" i="10" s="1"/>
  <c r="F35" i="10" s="1"/>
  <c r="F21" i="10"/>
  <c r="Q21" i="10"/>
  <c r="N21" i="10"/>
  <c r="M21" i="10"/>
  <c r="H21" i="10"/>
  <c r="P21" i="10"/>
  <c r="Z21" i="10"/>
  <c r="E21" i="10"/>
  <c r="Z23" i="10"/>
  <c r="AA16" i="1"/>
  <c r="G25" i="1"/>
  <c r="G36" i="1" s="1"/>
  <c r="G37" i="1" s="1"/>
  <c r="T25" i="1"/>
  <c r="K25" i="1"/>
  <c r="K36" i="1" s="1"/>
  <c r="K37" i="1" s="1"/>
  <c r="W25" i="1"/>
  <c r="W36" i="1" s="1"/>
  <c r="W37" i="1" s="1"/>
  <c r="N25" i="1"/>
  <c r="N36" i="1" s="1"/>
  <c r="N37" i="1" s="1"/>
  <c r="L25" i="1"/>
  <c r="L36" i="1" s="1"/>
  <c r="L37" i="1" s="1"/>
  <c r="V25" i="1"/>
  <c r="V36" i="1" s="1"/>
  <c r="V37" i="1" s="1"/>
  <c r="E25" i="1"/>
  <c r="E36" i="1" s="1"/>
  <c r="E37" i="1" s="1"/>
  <c r="Q25" i="1"/>
  <c r="Q36" i="1" s="1"/>
  <c r="Q37" i="1" s="1"/>
  <c r="B25" i="1"/>
  <c r="B36" i="1" s="1"/>
  <c r="B37" i="1" s="1"/>
  <c r="C25" i="1"/>
  <c r="C36" i="1" s="1"/>
  <c r="C37" i="1" s="1"/>
  <c r="U25" i="1"/>
  <c r="U36" i="1" s="1"/>
  <c r="U37" i="1" s="1"/>
  <c r="Y25" i="1"/>
  <c r="Y36" i="1" s="1"/>
  <c r="Y37" i="1" s="1"/>
  <c r="S25" i="1"/>
  <c r="S36" i="1" s="1"/>
  <c r="S37" i="1" s="1"/>
  <c r="F25" i="1"/>
  <c r="F36" i="1" s="1"/>
  <c r="F37" i="1" s="1"/>
  <c r="H31" i="1"/>
  <c r="H33" i="1"/>
  <c r="H16" i="1"/>
  <c r="H25" i="1" s="1"/>
  <c r="H17" i="1"/>
  <c r="H33" i="12" l="1"/>
  <c r="H34" i="12" s="1"/>
  <c r="H36" i="1"/>
  <c r="H37" i="1" s="1"/>
  <c r="AA33" i="12"/>
  <c r="AA34" i="12" s="1"/>
  <c r="Z34" i="10"/>
  <c r="Z35" i="10" s="1"/>
  <c r="AA34" i="10"/>
  <c r="AA35" i="10" s="1"/>
  <c r="T36" i="1"/>
  <c r="T37" i="1" s="1"/>
  <c r="M20" i="12"/>
  <c r="M22" i="12"/>
  <c r="M33" i="12" s="1"/>
  <c r="M34" i="12" s="1"/>
  <c r="I20" i="12"/>
  <c r="I22" i="12"/>
  <c r="I33" i="12" s="1"/>
  <c r="I34" i="12" s="1"/>
  <c r="X20" i="12"/>
  <c r="X22" i="12"/>
  <c r="R20" i="12"/>
  <c r="R22" i="12"/>
  <c r="R33" i="12" s="1"/>
  <c r="R34" i="12" s="1"/>
  <c r="Z22" i="12"/>
  <c r="Z33" i="12" s="1"/>
  <c r="Z34" i="12" s="1"/>
  <c r="J20" i="12"/>
  <c r="J22" i="12"/>
  <c r="J33" i="12" s="1"/>
  <c r="J34" i="12" s="1"/>
  <c r="B20" i="12"/>
  <c r="B22" i="12"/>
  <c r="B33" i="12" s="1"/>
  <c r="B34" i="12" s="1"/>
  <c r="Y20" i="12"/>
  <c r="Y22" i="12"/>
  <c r="Y33" i="12" s="1"/>
  <c r="Y34" i="12" s="1"/>
  <c r="L20" i="12"/>
  <c r="L22" i="12"/>
  <c r="L33" i="12" s="1"/>
  <c r="L34" i="12" s="1"/>
  <c r="D22" i="12"/>
  <c r="D33" i="12" s="1"/>
  <c r="D34" i="12" s="1"/>
  <c r="O20" i="12"/>
  <c r="O22" i="12"/>
  <c r="O33" i="12" s="1"/>
  <c r="O34" i="12" s="1"/>
  <c r="T20" i="12"/>
  <c r="T22" i="12"/>
  <c r="T33" i="12" s="1"/>
  <c r="T34" i="12" s="1"/>
  <c r="P22" i="12"/>
  <c r="P33" i="12" s="1"/>
  <c r="P34" i="12" s="1"/>
  <c r="V20" i="12"/>
  <c r="V22" i="12"/>
  <c r="V33" i="12" s="1"/>
  <c r="V34" i="12" s="1"/>
  <c r="U20" i="12"/>
  <c r="U22" i="12"/>
  <c r="U33" i="12" s="1"/>
  <c r="U34" i="12" s="1"/>
  <c r="N20" i="12"/>
  <c r="N22" i="12"/>
  <c r="N33" i="12" s="1"/>
  <c r="N34" i="12" s="1"/>
  <c r="K20" i="12"/>
  <c r="K22" i="12"/>
  <c r="K33" i="12" s="1"/>
  <c r="K34" i="12" s="1"/>
  <c r="C20" i="12"/>
  <c r="C22" i="12"/>
  <c r="C33" i="12" s="1"/>
  <c r="C34" i="12" s="1"/>
  <c r="W20" i="12"/>
  <c r="W22" i="12"/>
  <c r="W33" i="12" s="1"/>
  <c r="W34" i="12" s="1"/>
  <c r="W22" i="11"/>
  <c r="W24" i="11"/>
  <c r="W35" i="11" s="1"/>
  <c r="W36" i="11" s="1"/>
  <c r="L22" i="11"/>
  <c r="L24" i="11"/>
  <c r="L35" i="11" s="1"/>
  <c r="L36" i="11" s="1"/>
  <c r="V22" i="11"/>
  <c r="V24" i="11"/>
  <c r="V35" i="11" s="1"/>
  <c r="V36" i="11" s="1"/>
  <c r="B22" i="11"/>
  <c r="B24" i="11"/>
  <c r="B35" i="11" s="1"/>
  <c r="B36" i="11" s="1"/>
  <c r="R22" i="11"/>
  <c r="R24" i="11"/>
  <c r="R35" i="11" s="1"/>
  <c r="R36" i="11" s="1"/>
  <c r="M22" i="11"/>
  <c r="M24" i="11"/>
  <c r="M35" i="11" s="1"/>
  <c r="M36" i="11" s="1"/>
  <c r="H24" i="11"/>
  <c r="H35" i="11" s="1"/>
  <c r="H36" i="11" s="1"/>
  <c r="O22" i="11"/>
  <c r="O24" i="11"/>
  <c r="O35" i="11" s="1"/>
  <c r="O36" i="11" s="1"/>
  <c r="S22" i="11"/>
  <c r="S24" i="11"/>
  <c r="S35" i="11" s="1"/>
  <c r="S36" i="11" s="1"/>
  <c r="X22" i="11"/>
  <c r="X24" i="11"/>
  <c r="X35" i="11" s="1"/>
  <c r="X36" i="11" s="1"/>
  <c r="T24" i="11"/>
  <c r="T35" i="11" s="1"/>
  <c r="T36" i="11" s="1"/>
  <c r="T22" i="11"/>
  <c r="I22" i="11"/>
  <c r="I24" i="11"/>
  <c r="I35" i="11" s="1"/>
  <c r="I36" i="11" s="1"/>
  <c r="J22" i="11"/>
  <c r="J24" i="11"/>
  <c r="J35" i="11" s="1"/>
  <c r="J36" i="11" s="1"/>
  <c r="U22" i="11"/>
  <c r="U24" i="11"/>
  <c r="U35" i="11" s="1"/>
  <c r="U36" i="11" s="1"/>
  <c r="K22" i="11"/>
  <c r="K24" i="11"/>
  <c r="K35" i="11" s="1"/>
  <c r="K36" i="11" s="1"/>
  <c r="Z36" i="11"/>
  <c r="L21" i="10"/>
  <c r="L23" i="10"/>
  <c r="L34" i="10" s="1"/>
  <c r="L35" i="10" s="1"/>
  <c r="I21" i="10"/>
  <c r="I23" i="10"/>
  <c r="I34" i="10" s="1"/>
  <c r="I35" i="10" s="1"/>
  <c r="B21" i="10"/>
  <c r="B23" i="10"/>
  <c r="B34" i="10" s="1"/>
  <c r="B35" i="10" s="1"/>
  <c r="Q23" i="10"/>
  <c r="Q34" i="10" s="1"/>
  <c r="Q35" i="10" s="1"/>
  <c r="U21" i="10"/>
  <c r="U23" i="10"/>
  <c r="U34" i="10" s="1"/>
  <c r="U35" i="10" s="1"/>
  <c r="C21" i="10"/>
  <c r="C23" i="10"/>
  <c r="C34" i="10" s="1"/>
  <c r="C35" i="10" s="1"/>
  <c r="H23" i="10"/>
  <c r="H34" i="10" s="1"/>
  <c r="H35" i="10" s="1"/>
  <c r="J21" i="10"/>
  <c r="J23" i="10"/>
  <c r="J34" i="10" s="1"/>
  <c r="J35" i="10" s="1"/>
  <c r="R21" i="10"/>
  <c r="R23" i="10"/>
  <c r="R34" i="10" s="1"/>
  <c r="R35" i="10" s="1"/>
  <c r="S21" i="10"/>
  <c r="S23" i="10"/>
  <c r="S34" i="10" s="1"/>
  <c r="S35" i="10" s="1"/>
  <c r="V21" i="10"/>
  <c r="V23" i="10"/>
  <c r="V34" i="10" s="1"/>
  <c r="V35" i="10" s="1"/>
  <c r="K21" i="10"/>
  <c r="K23" i="10"/>
  <c r="K34" i="10" s="1"/>
  <c r="K35" i="10" s="1"/>
  <c r="Y21" i="10"/>
  <c r="Y23" i="10"/>
  <c r="Y34" i="10" s="1"/>
  <c r="Y35" i="10" s="1"/>
  <c r="T21" i="10"/>
  <c r="T23" i="10"/>
  <c r="T34" i="10" s="1"/>
  <c r="T35" i="10" s="1"/>
  <c r="W21" i="10"/>
  <c r="W23" i="10"/>
  <c r="W34" i="10" s="1"/>
  <c r="W35" i="10" s="1"/>
  <c r="O21" i="10"/>
  <c r="O23" i="10"/>
  <c r="O34" i="10" s="1"/>
  <c r="O35" i="10" s="1"/>
  <c r="X21" i="10"/>
  <c r="X23" i="10"/>
  <c r="X34" i="10" s="1"/>
  <c r="X35" i="10" s="1"/>
  <c r="M23" i="10"/>
  <c r="M34" i="10" s="1"/>
  <c r="M35" i="10" s="1"/>
  <c r="E23" i="10"/>
  <c r="E34" i="10" s="1"/>
  <c r="E35" i="10" s="1"/>
  <c r="Z15" i="1"/>
  <c r="X33" i="12" l="1"/>
  <c r="X34" i="12" s="1"/>
  <c r="Z16" i="1"/>
  <c r="Z17" i="1"/>
  <c r="AA25" i="1"/>
  <c r="AA36" i="1" l="1"/>
  <c r="AA37" i="1" s="1"/>
  <c r="Z25" i="1"/>
  <c r="Z36" i="1" l="1"/>
  <c r="Z37" i="1" s="1"/>
</calcChain>
</file>

<file path=xl/sharedStrings.xml><?xml version="1.0" encoding="utf-8"?>
<sst xmlns="http://schemas.openxmlformats.org/spreadsheetml/2006/main" count="294" uniqueCount="58">
  <si>
    <t>Schedule I</t>
  </si>
  <si>
    <t>Employee Categories</t>
  </si>
  <si>
    <t>Defined Contribution Plan – Utility Contribution</t>
  </si>
  <si>
    <t>Total Compensation and Benefits</t>
  </si>
  <si>
    <t>Utility</t>
  </si>
  <si>
    <t>Employee</t>
  </si>
  <si>
    <t>Corporate Officers (Individually)</t>
  </si>
  <si>
    <t>Total Amount</t>
  </si>
  <si>
    <t>Total KY Jurisdictional</t>
  </si>
  <si>
    <t>Corporate Officers (Collectively)</t>
  </si>
  <si>
    <t>Total for All Categories</t>
  </si>
  <si>
    <t>Total Amounts</t>
  </si>
  <si>
    <r>
      <t>(3)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Specify.  Use additional columns as necessary.</t>
    </r>
  </si>
  <si>
    <t>Subtotal All Compensation</t>
  </si>
  <si>
    <t>President &amp; CEO</t>
  </si>
  <si>
    <t>Overtime Wages</t>
  </si>
  <si>
    <t>Excess Vacation Pay</t>
  </si>
  <si>
    <t>Standby/Dispatch</t>
  </si>
  <si>
    <t>Bonus Pay</t>
  </si>
  <si>
    <t>Other Income</t>
  </si>
  <si>
    <t>Regular Wages</t>
  </si>
  <si>
    <t>Supervisors Non-Exempt</t>
  </si>
  <si>
    <t>Directors Exempt</t>
  </si>
  <si>
    <t>Managers Exempt</t>
  </si>
  <si>
    <t>Supervisors Exempt</t>
  </si>
  <si>
    <t>Analysis of Compensation and Benefit Data, in gross dollars For the Period 6/1/2023 - 5/31/2024</t>
  </si>
  <si>
    <r>
      <t>(1)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30.  Use additional columns as necessary.</t>
    </r>
  </si>
  <si>
    <r>
      <t>(2)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30. Use additional columns as necessary. Provide utility and Employee contributions for each benefit  type.</t>
    </r>
  </si>
  <si>
    <r>
      <t>(4)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Specify as directed in Item 30. Use additional rows as necessary. Provide total company and jurisdictional operations separately for each category.</t>
    </r>
  </si>
  <si>
    <t>Chief Operating Officer</t>
  </si>
  <si>
    <t>Chief Financial Officer</t>
  </si>
  <si>
    <t>Chief Membership Officer</t>
  </si>
  <si>
    <t>Chief Technology Officer</t>
  </si>
  <si>
    <t>Chief Legal Officer</t>
  </si>
  <si>
    <t>Managers Non-Exempt</t>
  </si>
  <si>
    <t xml:space="preserve"> Total Exempt</t>
  </si>
  <si>
    <t>Total Non-Exempt</t>
  </si>
  <si>
    <t>Other Non-Exempt</t>
  </si>
  <si>
    <t>Compensation by Category (1)</t>
  </si>
  <si>
    <t>Benefit Type (2)
Healthcare</t>
  </si>
  <si>
    <t>Benefit Type (2)
Dental</t>
  </si>
  <si>
    <t>Benefit Type (2)
Vision</t>
  </si>
  <si>
    <t>Benefit Type (2)
Life &amp; AD&amp;D Insurance</t>
  </si>
  <si>
    <t>Benefit Type (2)
Long Term Disability</t>
  </si>
  <si>
    <t>Benefit Type (2)
Short Term Disability</t>
  </si>
  <si>
    <t>Benefit Type (2)
HSA Contribution</t>
  </si>
  <si>
    <t>Benefit Type (2)
Defined Benefit</t>
  </si>
  <si>
    <t>Other (3)</t>
  </si>
  <si>
    <t>VP of Engineering</t>
  </si>
  <si>
    <t>Analysis of Compensation and Benefit Data, in gross dollars For the Period 2021</t>
  </si>
  <si>
    <t>Analysis of Compensation and Benefit Data, in gross dollars For the Period 2022</t>
  </si>
  <si>
    <t>Analysis of Compensation and Benefit Data, in gross dollars For the Period 2023</t>
  </si>
  <si>
    <t>South Kentucky RECC</t>
  </si>
  <si>
    <t>Case No. 2024-00402</t>
  </si>
  <si>
    <r>
      <t>(1)</t>
    </r>
    <r>
      <rPr>
        <sz val="11"/>
        <color theme="1"/>
        <rFont val="Calibri"/>
        <family val="2"/>
        <scheme val="minor"/>
      </rPr>
      <t>         Specify as directed in Item 30.  Use additional columns as necessary.</t>
    </r>
  </si>
  <si>
    <r>
      <t>(2)</t>
    </r>
    <r>
      <rPr>
        <sz val="11"/>
        <color theme="1"/>
        <rFont val="Calibri"/>
        <family val="2"/>
        <scheme val="minor"/>
      </rPr>
      <t>         Specify as directed in Item 30. Use additional columns as necessary. Provide utility and Employee contributions for each benefit  type.</t>
    </r>
  </si>
  <si>
    <r>
      <t>(3)</t>
    </r>
    <r>
      <rPr>
        <sz val="11"/>
        <color theme="1"/>
        <rFont val="Calibri"/>
        <family val="2"/>
        <scheme val="minor"/>
      </rPr>
      <t>         Specify.  Use additional columns as necessary.</t>
    </r>
  </si>
  <si>
    <r>
      <t>(4)</t>
    </r>
    <r>
      <rPr>
        <sz val="11"/>
        <color theme="1"/>
        <rFont val="Calibri"/>
        <family val="2"/>
        <scheme val="minor"/>
      </rPr>
      <t>         Specify as directed in Item 30. Use additional rows as necessary. Provide total company and jurisdictional operations separately for each category.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</si>
</sst>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1" fillId="0" borderId="2" xfId="0" applyFont="1" applyBorder="1" applyAlignment="1">
      <alignment horizontal="left"/>
    </xf>
    <xf numFmtId="0" fontId="0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indent="2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164" fontId="1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2" xfId="0" applyFont="1" applyBorder="1"/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4" fontId="1" fillId="0" borderId="1" xfId="1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1.42578125" style="5" customWidth="1"/>
    <col min="2" max="7" width="18.7109375" style="5" customWidth="1"/>
    <col min="8" max="8" width="15.42578125" style="5" bestFit="1" customWidth="1"/>
    <col min="9" max="21" width="14.28515625" style="5" bestFit="1" customWidth="1"/>
    <col min="22" max="22" width="15.42578125" style="5" bestFit="1" customWidth="1"/>
    <col min="23" max="25" width="14.28515625" style="5" bestFit="1" customWidth="1"/>
    <col min="26" max="26" width="15.42578125" style="5" bestFit="1" customWidth="1"/>
    <col min="27" max="27" width="12.42578125" style="5" bestFit="1" customWidth="1"/>
    <col min="28" max="16384" width="9.140625" style="5"/>
  </cols>
  <sheetData>
    <row r="1" spans="1:27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 t="s">
        <v>0</v>
      </c>
    </row>
    <row r="2" spans="1:27" x14ac:dyDescent="0.25">
      <c r="A2" s="11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27" x14ac:dyDescent="0.25">
      <c r="A3" s="11" t="s">
        <v>53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1:27" x14ac:dyDescent="0.25">
      <c r="A4" s="11" t="s">
        <v>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</row>
    <row r="5" spans="1:27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</row>
    <row r="6" spans="1:27" s="6" customFormat="1" ht="60" x14ac:dyDescent="0.25">
      <c r="A6" s="17"/>
      <c r="B6" s="17" t="s">
        <v>38</v>
      </c>
      <c r="C6" s="17" t="s">
        <v>38</v>
      </c>
      <c r="D6" s="17" t="s">
        <v>38</v>
      </c>
      <c r="E6" s="17" t="s">
        <v>38</v>
      </c>
      <c r="F6" s="17" t="s">
        <v>38</v>
      </c>
      <c r="G6" s="17" t="s">
        <v>38</v>
      </c>
      <c r="H6" s="17" t="s">
        <v>13</v>
      </c>
      <c r="I6" s="18" t="s">
        <v>39</v>
      </c>
      <c r="J6" s="18"/>
      <c r="K6" s="18" t="s">
        <v>40</v>
      </c>
      <c r="L6" s="18"/>
      <c r="M6" s="18" t="s">
        <v>41</v>
      </c>
      <c r="N6" s="18"/>
      <c r="O6" s="18" t="s">
        <v>42</v>
      </c>
      <c r="P6" s="18"/>
      <c r="Q6" s="18" t="s">
        <v>43</v>
      </c>
      <c r="R6" s="18"/>
      <c r="S6" s="18" t="s">
        <v>44</v>
      </c>
      <c r="T6" s="18"/>
      <c r="U6" s="17" t="s">
        <v>45</v>
      </c>
      <c r="V6" s="18" t="s">
        <v>46</v>
      </c>
      <c r="W6" s="18"/>
      <c r="X6" s="17" t="s">
        <v>2</v>
      </c>
      <c r="Y6" s="17" t="s">
        <v>47</v>
      </c>
      <c r="Z6" s="18" t="s">
        <v>3</v>
      </c>
      <c r="AA6" s="18"/>
    </row>
    <row r="7" spans="1:27" ht="30" x14ac:dyDescent="0.25">
      <c r="A7" s="19" t="s">
        <v>1</v>
      </c>
      <c r="B7" s="20" t="s">
        <v>20</v>
      </c>
      <c r="C7" s="20" t="s">
        <v>15</v>
      </c>
      <c r="D7" s="20" t="s">
        <v>16</v>
      </c>
      <c r="E7" s="20" t="s">
        <v>17</v>
      </c>
      <c r="F7" s="20" t="s">
        <v>18</v>
      </c>
      <c r="G7" s="20" t="s">
        <v>19</v>
      </c>
      <c r="H7" s="21"/>
      <c r="I7" s="19" t="s">
        <v>4</v>
      </c>
      <c r="J7" s="22" t="s">
        <v>5</v>
      </c>
      <c r="K7" s="19" t="s">
        <v>4</v>
      </c>
      <c r="L7" s="22" t="s">
        <v>5</v>
      </c>
      <c r="M7" s="19" t="s">
        <v>4</v>
      </c>
      <c r="N7" s="22" t="s">
        <v>5</v>
      </c>
      <c r="O7" s="19" t="s">
        <v>4</v>
      </c>
      <c r="P7" s="22" t="s">
        <v>5</v>
      </c>
      <c r="Q7" s="19" t="s">
        <v>4</v>
      </c>
      <c r="R7" s="22" t="s">
        <v>5</v>
      </c>
      <c r="S7" s="19" t="s">
        <v>4</v>
      </c>
      <c r="T7" s="22" t="s">
        <v>5</v>
      </c>
      <c r="U7" s="17" t="s">
        <v>4</v>
      </c>
      <c r="V7" s="19" t="s">
        <v>4</v>
      </c>
      <c r="W7" s="22" t="s">
        <v>5</v>
      </c>
      <c r="X7" s="21"/>
      <c r="Y7" s="21"/>
      <c r="Z7" s="19" t="s">
        <v>4</v>
      </c>
      <c r="AA7" s="22" t="s">
        <v>5</v>
      </c>
    </row>
    <row r="8" spans="1:27" ht="30" x14ac:dyDescent="0.25">
      <c r="A8" s="23" t="s">
        <v>6</v>
      </c>
      <c r="B8" s="24"/>
      <c r="C8" s="24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x14ac:dyDescent="0.25">
      <c r="A9" s="26" t="s">
        <v>14</v>
      </c>
      <c r="B9" s="27">
        <f>123754.24+178792.36-D9</f>
        <v>216489.02999999997</v>
      </c>
      <c r="C9" s="27">
        <v>0</v>
      </c>
      <c r="D9" s="27">
        <f>15920.95+70136.62</f>
        <v>86057.569999999992</v>
      </c>
      <c r="E9" s="27">
        <v>0</v>
      </c>
      <c r="F9" s="27">
        <v>25000</v>
      </c>
      <c r="G9" s="27">
        <v>0</v>
      </c>
      <c r="H9" s="27">
        <f>SUM(B9:G9)</f>
        <v>327546.59999999998</v>
      </c>
      <c r="I9" s="25">
        <f>5398.3+4986.3</f>
        <v>10384.6</v>
      </c>
      <c r="J9" s="25">
        <f>1896.7+2749.16</f>
        <v>4645.8599999999997</v>
      </c>
      <c r="K9" s="25">
        <f>235.75+103.2</f>
        <v>338.95</v>
      </c>
      <c r="L9" s="25">
        <f>235.6+154.9</f>
        <v>390.5</v>
      </c>
      <c r="M9" s="25">
        <v>0</v>
      </c>
      <c r="N9" s="25">
        <f>45.5+45.5</f>
        <v>91</v>
      </c>
      <c r="O9" s="25">
        <f>480+480</f>
        <v>960</v>
      </c>
      <c r="P9" s="25">
        <v>0</v>
      </c>
      <c r="Q9" s="25">
        <f>223+178.4</f>
        <v>401.4</v>
      </c>
      <c r="R9" s="25">
        <v>0</v>
      </c>
      <c r="S9" s="25">
        <f>272.5+218</f>
        <v>490.5</v>
      </c>
      <c r="T9" s="25">
        <v>0</v>
      </c>
      <c r="U9" s="25">
        <v>3200</v>
      </c>
      <c r="V9" s="25">
        <f>27010.45+28570</f>
        <v>55580.45</v>
      </c>
      <c r="W9" s="25">
        <v>0</v>
      </c>
      <c r="X9" s="25">
        <f>2210.66+2173.11</f>
        <v>4383.7700000000004</v>
      </c>
      <c r="Y9" s="25">
        <v>0</v>
      </c>
      <c r="Z9" s="25">
        <f>H9+I9+K9+M9+O9+Q9+S9+U9+V9+X9</f>
        <v>403286.27</v>
      </c>
      <c r="AA9" s="25">
        <f>J9+L9+N9+P9+R9+T9+W9</f>
        <v>5127.3599999999997</v>
      </c>
    </row>
    <row r="10" spans="1:27" ht="30" x14ac:dyDescent="0.25">
      <c r="A10" s="26" t="s">
        <v>29</v>
      </c>
      <c r="B10" s="27">
        <v>132887.75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f t="shared" ref="H10:H14" si="0">SUM(B10:G10)</f>
        <v>132887.75</v>
      </c>
      <c r="I10" s="25">
        <v>6989.16</v>
      </c>
      <c r="J10" s="25">
        <v>2452.66</v>
      </c>
      <c r="K10" s="25">
        <v>314.16000000000003</v>
      </c>
      <c r="L10" s="25">
        <v>314.3</v>
      </c>
      <c r="M10" s="25">
        <v>0</v>
      </c>
      <c r="N10" s="25">
        <v>63.7</v>
      </c>
      <c r="O10" s="25">
        <v>672</v>
      </c>
      <c r="P10" s="25">
        <v>0</v>
      </c>
      <c r="Q10" s="25">
        <v>312.2</v>
      </c>
      <c r="R10" s="25">
        <v>0</v>
      </c>
      <c r="S10" s="25">
        <v>381.5</v>
      </c>
      <c r="T10" s="25">
        <v>0</v>
      </c>
      <c r="U10" s="25">
        <v>0</v>
      </c>
      <c r="V10" s="25">
        <v>35795.06</v>
      </c>
      <c r="W10" s="25">
        <v>0</v>
      </c>
      <c r="X10" s="25">
        <v>2591.6999999999998</v>
      </c>
      <c r="Y10" s="25">
        <v>0</v>
      </c>
      <c r="Z10" s="25">
        <f t="shared" ref="Z10:Z13" si="1">H10+I10+K10+M10+O10+Q10+S10+U10+V10+X10</f>
        <v>179943.53000000003</v>
      </c>
      <c r="AA10" s="25">
        <f t="shared" ref="AA10:AA14" si="2">J10+L10+N10+P10+R10+T10+W10</f>
        <v>2830.66</v>
      </c>
    </row>
    <row r="11" spans="1:27" x14ac:dyDescent="0.25">
      <c r="A11" s="26" t="s">
        <v>30</v>
      </c>
      <c r="B11" s="27">
        <f>156293.96-D11</f>
        <v>144394.31</v>
      </c>
      <c r="C11" s="27">
        <v>0</v>
      </c>
      <c r="D11" s="27">
        <v>11899.65</v>
      </c>
      <c r="E11" s="27">
        <v>0</v>
      </c>
      <c r="F11" s="27">
        <v>0</v>
      </c>
      <c r="G11" s="27">
        <v>0</v>
      </c>
      <c r="H11" s="27">
        <f t="shared" si="0"/>
        <v>156293.96</v>
      </c>
      <c r="I11" s="25">
        <v>10309.219999999999</v>
      </c>
      <c r="J11" s="25">
        <v>3619.2</v>
      </c>
      <c r="K11" s="25">
        <v>234.8</v>
      </c>
      <c r="L11" s="25">
        <v>234.94</v>
      </c>
      <c r="M11" s="25">
        <v>0</v>
      </c>
      <c r="N11" s="25">
        <v>81.900000000000006</v>
      </c>
      <c r="O11" s="25">
        <v>806.26</v>
      </c>
      <c r="P11" s="25">
        <v>0</v>
      </c>
      <c r="Q11" s="25">
        <v>360.54</v>
      </c>
      <c r="R11" s="25">
        <v>0</v>
      </c>
      <c r="S11" s="25">
        <v>404.21</v>
      </c>
      <c r="T11" s="25">
        <v>0</v>
      </c>
      <c r="U11" s="25">
        <v>0</v>
      </c>
      <c r="V11" s="25">
        <v>38302.1</v>
      </c>
      <c r="W11" s="25">
        <v>0</v>
      </c>
      <c r="X11" s="25">
        <v>2887.9</v>
      </c>
      <c r="Y11" s="25">
        <v>0</v>
      </c>
      <c r="Z11" s="25">
        <f t="shared" si="1"/>
        <v>209598.99</v>
      </c>
      <c r="AA11" s="25">
        <f t="shared" si="2"/>
        <v>3936.04</v>
      </c>
    </row>
    <row r="12" spans="1:27" ht="30" x14ac:dyDescent="0.25">
      <c r="A12" s="26" t="s">
        <v>31</v>
      </c>
      <c r="B12" s="27">
        <v>111593.88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f t="shared" si="0"/>
        <v>111593.88</v>
      </c>
      <c r="I12" s="25">
        <v>11516.58</v>
      </c>
      <c r="J12" s="25">
        <v>5928.36</v>
      </c>
      <c r="K12" s="25">
        <v>415.27</v>
      </c>
      <c r="L12" s="25">
        <v>415.2</v>
      </c>
      <c r="M12" s="25">
        <v>0</v>
      </c>
      <c r="N12" s="25">
        <v>132.21</v>
      </c>
      <c r="O12" s="25">
        <v>623.5</v>
      </c>
      <c r="P12" s="25">
        <v>0</v>
      </c>
      <c r="Q12" s="25">
        <v>401.4</v>
      </c>
      <c r="R12" s="25">
        <v>0</v>
      </c>
      <c r="S12" s="25">
        <v>326.98</v>
      </c>
      <c r="T12" s="25">
        <v>0</v>
      </c>
      <c r="U12" s="25">
        <v>3200</v>
      </c>
      <c r="V12" s="25">
        <v>29111.18</v>
      </c>
      <c r="W12" s="25">
        <v>0</v>
      </c>
      <c r="X12" s="25">
        <v>2231.9299999999998</v>
      </c>
      <c r="Y12" s="25">
        <v>0</v>
      </c>
      <c r="Z12" s="25">
        <f t="shared" si="1"/>
        <v>159420.72</v>
      </c>
      <c r="AA12" s="25">
        <f t="shared" si="2"/>
        <v>6475.7699999999995</v>
      </c>
    </row>
    <row r="13" spans="1:27" ht="30" x14ac:dyDescent="0.25">
      <c r="A13" s="26" t="s">
        <v>32</v>
      </c>
      <c r="B13" s="27">
        <v>43846.2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f t="shared" si="0"/>
        <v>43846.2</v>
      </c>
      <c r="I13" s="25">
        <v>1645.14</v>
      </c>
      <c r="J13" s="25">
        <v>463.98</v>
      </c>
      <c r="K13" s="25">
        <v>45.93</v>
      </c>
      <c r="L13" s="25">
        <v>45.9</v>
      </c>
      <c r="M13" s="25">
        <v>0</v>
      </c>
      <c r="N13" s="25">
        <v>16.23</v>
      </c>
      <c r="O13" s="25">
        <v>273.60000000000002</v>
      </c>
      <c r="P13" s="25">
        <v>0</v>
      </c>
      <c r="Q13" s="25">
        <v>133.80000000000001</v>
      </c>
      <c r="R13" s="25">
        <v>0</v>
      </c>
      <c r="S13" s="25">
        <v>143.43</v>
      </c>
      <c r="T13" s="25">
        <v>0</v>
      </c>
      <c r="U13" s="25">
        <v>0</v>
      </c>
      <c r="V13" s="25">
        <v>9139</v>
      </c>
      <c r="W13" s="25">
        <v>0</v>
      </c>
      <c r="X13" s="25">
        <v>876.91</v>
      </c>
      <c r="Y13" s="25">
        <v>0</v>
      </c>
      <c r="Z13" s="25">
        <f t="shared" si="1"/>
        <v>56104.01</v>
      </c>
      <c r="AA13" s="25">
        <f t="shared" si="2"/>
        <v>526.11</v>
      </c>
    </row>
    <row r="14" spans="1:27" x14ac:dyDescent="0.25">
      <c r="A14" s="26" t="s">
        <v>33</v>
      </c>
      <c r="B14" s="27">
        <v>235384.68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f t="shared" si="0"/>
        <v>235384.68</v>
      </c>
      <c r="I14" s="25">
        <v>5624.72</v>
      </c>
      <c r="J14" s="25">
        <v>1584.06</v>
      </c>
      <c r="K14" s="25">
        <v>178.54</v>
      </c>
      <c r="L14" s="25">
        <v>178.56</v>
      </c>
      <c r="M14" s="25">
        <v>0</v>
      </c>
      <c r="N14" s="25">
        <v>0</v>
      </c>
      <c r="O14" s="25">
        <v>1142.4000000000001</v>
      </c>
      <c r="P14" s="25">
        <v>0</v>
      </c>
      <c r="Q14" s="25">
        <v>535.20000000000005</v>
      </c>
      <c r="R14" s="25">
        <v>0</v>
      </c>
      <c r="S14" s="25">
        <v>632.20000000000005</v>
      </c>
      <c r="T14" s="25">
        <v>0</v>
      </c>
      <c r="U14" s="25">
        <v>1600</v>
      </c>
      <c r="V14" s="25">
        <v>0</v>
      </c>
      <c r="W14" s="25">
        <v>0</v>
      </c>
      <c r="X14" s="25">
        <v>4107.66</v>
      </c>
      <c r="Y14" s="25">
        <v>0</v>
      </c>
      <c r="Z14" s="25">
        <f>H14+I14+K14+M14+O14+Q14+S14+U14+V14+X14</f>
        <v>249205.40000000002</v>
      </c>
      <c r="AA14" s="25">
        <f t="shared" si="2"/>
        <v>1762.62</v>
      </c>
    </row>
    <row r="15" spans="1:27" ht="30" x14ac:dyDescent="0.25">
      <c r="A15" s="28" t="s">
        <v>9</v>
      </c>
      <c r="B15" s="29">
        <f>SUM(B9:B14)</f>
        <v>884595.84999999986</v>
      </c>
      <c r="C15" s="29">
        <f t="shared" ref="C15:Z15" si="3">SUM(C9:C14)</f>
        <v>0</v>
      </c>
      <c r="D15" s="29">
        <f t="shared" si="3"/>
        <v>97957.219999999987</v>
      </c>
      <c r="E15" s="29">
        <f t="shared" si="3"/>
        <v>0</v>
      </c>
      <c r="F15" s="29">
        <f t="shared" si="3"/>
        <v>25000</v>
      </c>
      <c r="G15" s="29">
        <f t="shared" si="3"/>
        <v>0</v>
      </c>
      <c r="H15" s="29">
        <f t="shared" si="3"/>
        <v>1007553.0699999998</v>
      </c>
      <c r="I15" s="30">
        <f>SUM(I9:I14)</f>
        <v>46469.420000000006</v>
      </c>
      <c r="J15" s="30">
        <f t="shared" si="3"/>
        <v>18694.12</v>
      </c>
      <c r="K15" s="30">
        <f t="shared" si="3"/>
        <v>1527.65</v>
      </c>
      <c r="L15" s="30">
        <f t="shared" si="3"/>
        <v>1579.4</v>
      </c>
      <c r="M15" s="30">
        <f t="shared" si="3"/>
        <v>0</v>
      </c>
      <c r="N15" s="30">
        <f t="shared" si="3"/>
        <v>385.04</v>
      </c>
      <c r="O15" s="30">
        <f t="shared" si="3"/>
        <v>4477.76</v>
      </c>
      <c r="P15" s="30">
        <f t="shared" si="3"/>
        <v>0</v>
      </c>
      <c r="Q15" s="30">
        <f t="shared" ref="Q15" si="4">SUM(Q9:Q14)</f>
        <v>2144.54</v>
      </c>
      <c r="R15" s="30">
        <f t="shared" ref="R15" si="5">SUM(R9:R14)</f>
        <v>0</v>
      </c>
      <c r="S15" s="30">
        <f t="shared" ref="S15" si="6">SUM(S9:S14)</f>
        <v>2378.8200000000002</v>
      </c>
      <c r="T15" s="30">
        <f t="shared" ref="T15" si="7">SUM(T9:T14)</f>
        <v>0</v>
      </c>
      <c r="U15" s="30">
        <f t="shared" si="3"/>
        <v>8000</v>
      </c>
      <c r="V15" s="30">
        <f t="shared" si="3"/>
        <v>167927.78999999998</v>
      </c>
      <c r="W15" s="30">
        <f t="shared" si="3"/>
        <v>0</v>
      </c>
      <c r="X15" s="30">
        <f t="shared" si="3"/>
        <v>17079.870000000003</v>
      </c>
      <c r="Y15" s="30">
        <f t="shared" si="3"/>
        <v>0</v>
      </c>
      <c r="Z15" s="30">
        <f t="shared" si="3"/>
        <v>1257558.92</v>
      </c>
      <c r="AA15" s="30">
        <f>SUM(AA9:AA14)</f>
        <v>20658.559999999998</v>
      </c>
    </row>
    <row r="16" spans="1:27" x14ac:dyDescent="0.25">
      <c r="A16" s="31" t="s">
        <v>7</v>
      </c>
      <c r="B16" s="29">
        <f>B15</f>
        <v>884595.84999999986</v>
      </c>
      <c r="C16" s="29">
        <f t="shared" ref="C16:Z16" si="8">C15</f>
        <v>0</v>
      </c>
      <c r="D16" s="29">
        <f t="shared" si="8"/>
        <v>97957.219999999987</v>
      </c>
      <c r="E16" s="29">
        <f t="shared" si="8"/>
        <v>0</v>
      </c>
      <c r="F16" s="29">
        <f t="shared" si="8"/>
        <v>25000</v>
      </c>
      <c r="G16" s="29">
        <f t="shared" si="8"/>
        <v>0</v>
      </c>
      <c r="H16" s="29">
        <f t="shared" si="8"/>
        <v>1007553.0699999998</v>
      </c>
      <c r="I16" s="30">
        <f t="shared" si="8"/>
        <v>46469.420000000006</v>
      </c>
      <c r="J16" s="30">
        <f t="shared" si="8"/>
        <v>18694.12</v>
      </c>
      <c r="K16" s="30">
        <f t="shared" si="8"/>
        <v>1527.65</v>
      </c>
      <c r="L16" s="30">
        <f t="shared" si="8"/>
        <v>1579.4</v>
      </c>
      <c r="M16" s="30">
        <f t="shared" si="8"/>
        <v>0</v>
      </c>
      <c r="N16" s="30">
        <f t="shared" si="8"/>
        <v>385.04</v>
      </c>
      <c r="O16" s="30">
        <f t="shared" si="8"/>
        <v>4477.76</v>
      </c>
      <c r="P16" s="30">
        <f t="shared" si="8"/>
        <v>0</v>
      </c>
      <c r="Q16" s="30">
        <f t="shared" ref="Q16" si="9">Q15</f>
        <v>2144.54</v>
      </c>
      <c r="R16" s="30">
        <f t="shared" ref="R16" si="10">R15</f>
        <v>0</v>
      </c>
      <c r="S16" s="30">
        <f t="shared" ref="S16" si="11">S15</f>
        <v>2378.8200000000002</v>
      </c>
      <c r="T16" s="30">
        <f t="shared" ref="T16" si="12">T15</f>
        <v>0</v>
      </c>
      <c r="U16" s="30">
        <f t="shared" si="8"/>
        <v>8000</v>
      </c>
      <c r="V16" s="30">
        <f t="shared" si="8"/>
        <v>167927.78999999998</v>
      </c>
      <c r="W16" s="30">
        <f t="shared" si="8"/>
        <v>0</v>
      </c>
      <c r="X16" s="30">
        <f t="shared" si="8"/>
        <v>17079.870000000003</v>
      </c>
      <c r="Y16" s="30">
        <f t="shared" si="8"/>
        <v>0</v>
      </c>
      <c r="Z16" s="30">
        <f t="shared" si="8"/>
        <v>1257558.92</v>
      </c>
      <c r="AA16" s="30">
        <f>AA15</f>
        <v>20658.559999999998</v>
      </c>
    </row>
    <row r="17" spans="1:27" x14ac:dyDescent="0.25">
      <c r="A17" s="31" t="s">
        <v>8</v>
      </c>
      <c r="B17" s="29">
        <f>B15</f>
        <v>884595.84999999986</v>
      </c>
      <c r="C17" s="29">
        <f t="shared" ref="C17:Z17" si="13">C15</f>
        <v>0</v>
      </c>
      <c r="D17" s="29">
        <f t="shared" si="13"/>
        <v>97957.219999999987</v>
      </c>
      <c r="E17" s="29">
        <f t="shared" si="13"/>
        <v>0</v>
      </c>
      <c r="F17" s="29">
        <f t="shared" si="13"/>
        <v>25000</v>
      </c>
      <c r="G17" s="29">
        <f t="shared" si="13"/>
        <v>0</v>
      </c>
      <c r="H17" s="29">
        <f t="shared" si="13"/>
        <v>1007553.0699999998</v>
      </c>
      <c r="I17" s="30">
        <f t="shared" si="13"/>
        <v>46469.420000000006</v>
      </c>
      <c r="J17" s="30">
        <f t="shared" si="13"/>
        <v>18694.12</v>
      </c>
      <c r="K17" s="30">
        <f t="shared" si="13"/>
        <v>1527.65</v>
      </c>
      <c r="L17" s="30">
        <f t="shared" si="13"/>
        <v>1579.4</v>
      </c>
      <c r="M17" s="30">
        <f t="shared" si="13"/>
        <v>0</v>
      </c>
      <c r="N17" s="30">
        <f t="shared" si="13"/>
        <v>385.04</v>
      </c>
      <c r="O17" s="30">
        <f t="shared" si="13"/>
        <v>4477.76</v>
      </c>
      <c r="P17" s="30">
        <f t="shared" si="13"/>
        <v>0</v>
      </c>
      <c r="Q17" s="30">
        <f t="shared" ref="Q17:R17" si="14">Q15</f>
        <v>2144.54</v>
      </c>
      <c r="R17" s="30">
        <f t="shared" si="14"/>
        <v>0</v>
      </c>
      <c r="S17" s="30">
        <f t="shared" ref="S17:U17" si="15">S15</f>
        <v>2378.8200000000002</v>
      </c>
      <c r="T17" s="30">
        <f t="shared" si="15"/>
        <v>0</v>
      </c>
      <c r="U17" s="30">
        <f t="shared" si="15"/>
        <v>8000</v>
      </c>
      <c r="V17" s="30">
        <f t="shared" si="13"/>
        <v>167927.78999999998</v>
      </c>
      <c r="W17" s="30">
        <f t="shared" si="13"/>
        <v>0</v>
      </c>
      <c r="X17" s="30">
        <f t="shared" si="13"/>
        <v>17079.870000000003</v>
      </c>
      <c r="Y17" s="30">
        <f t="shared" si="13"/>
        <v>0</v>
      </c>
      <c r="Z17" s="30">
        <f t="shared" si="13"/>
        <v>1257558.92</v>
      </c>
      <c r="AA17" s="30">
        <f>AA15</f>
        <v>20658.559999999998</v>
      </c>
    </row>
    <row r="18" spans="1:27" x14ac:dyDescent="0.25">
      <c r="A18" s="32"/>
      <c r="B18" s="33"/>
      <c r="C18" s="33"/>
      <c r="D18" s="33"/>
      <c r="E18" s="33"/>
      <c r="F18" s="33"/>
      <c r="G18" s="33"/>
      <c r="H18" s="33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x14ac:dyDescent="0.25">
      <c r="A19" s="23" t="s">
        <v>22</v>
      </c>
      <c r="B19" s="27">
        <f>425701.71-D19</f>
        <v>414225.72000000003</v>
      </c>
      <c r="C19" s="27">
        <v>0</v>
      </c>
      <c r="D19" s="27">
        <v>11475.99</v>
      </c>
      <c r="E19" s="27">
        <v>0</v>
      </c>
      <c r="F19" s="27">
        <v>1830.6</v>
      </c>
      <c r="G19" s="27">
        <v>0</v>
      </c>
      <c r="H19" s="27">
        <f t="shared" ref="H19:H21" si="16">SUM(B19:G19)</f>
        <v>427532.31</v>
      </c>
      <c r="I19" s="25">
        <v>46202.3</v>
      </c>
      <c r="J19" s="25">
        <v>23312.58</v>
      </c>
      <c r="K19" s="25">
        <v>1032.99</v>
      </c>
      <c r="L19" s="25">
        <v>1032.96</v>
      </c>
      <c r="M19" s="25">
        <v>0</v>
      </c>
      <c r="N19" s="25">
        <v>433.92</v>
      </c>
      <c r="O19" s="25">
        <v>2484.67</v>
      </c>
      <c r="P19" s="25">
        <v>0</v>
      </c>
      <c r="Q19" s="25">
        <v>1653.09</v>
      </c>
      <c r="R19" s="25">
        <v>0</v>
      </c>
      <c r="S19" s="25">
        <v>1294.6600000000001</v>
      </c>
      <c r="T19" s="25">
        <v>0</v>
      </c>
      <c r="U19" s="25">
        <v>6650</v>
      </c>
      <c r="V19" s="25">
        <v>61370.2</v>
      </c>
      <c r="W19" s="25">
        <v>0</v>
      </c>
      <c r="X19" s="25">
        <v>7198.55</v>
      </c>
      <c r="Y19" s="25">
        <v>0</v>
      </c>
      <c r="Z19" s="25">
        <f t="shared" ref="Z19:Z21" si="17">H19+I19+K19+M19+O19+Q19+S19+U19+V19+X19</f>
        <v>555418.77</v>
      </c>
      <c r="AA19" s="25">
        <f t="shared" ref="AA19:AA21" si="18">J19+L19+N19+P19+R19+T19+W19</f>
        <v>24779.46</v>
      </c>
    </row>
    <row r="20" spans="1:27" x14ac:dyDescent="0.25">
      <c r="A20" s="23" t="s">
        <v>23</v>
      </c>
      <c r="B20" s="24">
        <f>1261152.26-D20</f>
        <v>1162006.24</v>
      </c>
      <c r="C20" s="24">
        <v>0</v>
      </c>
      <c r="D20" s="24">
        <v>99146.02</v>
      </c>
      <c r="E20" s="24">
        <v>0</v>
      </c>
      <c r="F20" s="24">
        <v>954</v>
      </c>
      <c r="G20" s="24">
        <v>0</v>
      </c>
      <c r="H20" s="27">
        <f t="shared" si="16"/>
        <v>1262106.26</v>
      </c>
      <c r="I20" s="25">
        <v>114842.51</v>
      </c>
      <c r="J20" s="25">
        <v>45477.68</v>
      </c>
      <c r="K20" s="25">
        <v>3696.03</v>
      </c>
      <c r="L20" s="25">
        <v>3696.34</v>
      </c>
      <c r="M20" s="25">
        <v>0</v>
      </c>
      <c r="N20" s="25">
        <v>1033.58</v>
      </c>
      <c r="O20" s="25">
        <v>6903.1</v>
      </c>
      <c r="P20" s="25">
        <v>0</v>
      </c>
      <c r="Q20" s="25">
        <v>5268.84</v>
      </c>
      <c r="R20" s="25">
        <v>0</v>
      </c>
      <c r="S20" s="25">
        <v>3590.54</v>
      </c>
      <c r="T20" s="25">
        <v>0</v>
      </c>
      <c r="U20" s="25">
        <v>12800</v>
      </c>
      <c r="V20" s="25">
        <v>253387.38</v>
      </c>
      <c r="W20" s="25">
        <v>0</v>
      </c>
      <c r="X20" s="25">
        <v>22057.95</v>
      </c>
      <c r="Y20" s="25">
        <v>0</v>
      </c>
      <c r="Z20" s="25">
        <f t="shared" si="17"/>
        <v>1684652.61</v>
      </c>
      <c r="AA20" s="25">
        <f t="shared" si="18"/>
        <v>50207.600000000006</v>
      </c>
    </row>
    <row r="21" spans="1:27" x14ac:dyDescent="0.25">
      <c r="A21" s="23" t="s">
        <v>24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7">
        <f t="shared" si="16"/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 t="shared" si="17"/>
        <v>0</v>
      </c>
      <c r="AA21" s="25">
        <f t="shared" si="18"/>
        <v>0</v>
      </c>
    </row>
    <row r="22" spans="1:27" x14ac:dyDescent="0.25">
      <c r="A22" s="31" t="s">
        <v>7</v>
      </c>
      <c r="B22" s="30">
        <f>SUM(B19:B21)</f>
        <v>1576231.96</v>
      </c>
      <c r="C22" s="30">
        <f>SUM(C19:C21)</f>
        <v>0</v>
      </c>
      <c r="D22" s="30">
        <f t="shared" ref="D22:AA22" si="19">SUM(D19:D21)</f>
        <v>110622.01000000001</v>
      </c>
      <c r="E22" s="30">
        <f t="shared" si="19"/>
        <v>0</v>
      </c>
      <c r="F22" s="30">
        <f t="shared" si="19"/>
        <v>2784.6</v>
      </c>
      <c r="G22" s="30">
        <f t="shared" si="19"/>
        <v>0</v>
      </c>
      <c r="H22" s="29">
        <f t="shared" si="19"/>
        <v>1689638.57</v>
      </c>
      <c r="I22" s="30">
        <f>SUM(I19:I21)</f>
        <v>161044.81</v>
      </c>
      <c r="J22" s="30">
        <f t="shared" si="19"/>
        <v>68790.260000000009</v>
      </c>
      <c r="K22" s="30">
        <f t="shared" si="19"/>
        <v>4729.0200000000004</v>
      </c>
      <c r="L22" s="30">
        <f t="shared" si="19"/>
        <v>4729.3</v>
      </c>
      <c r="M22" s="30">
        <f t="shared" si="19"/>
        <v>0</v>
      </c>
      <c r="N22" s="30">
        <f t="shared" si="19"/>
        <v>1467.5</v>
      </c>
      <c r="O22" s="30">
        <f t="shared" si="19"/>
        <v>9387.77</v>
      </c>
      <c r="P22" s="30">
        <f t="shared" si="19"/>
        <v>0</v>
      </c>
      <c r="Q22" s="30">
        <f t="shared" si="19"/>
        <v>6921.93</v>
      </c>
      <c r="R22" s="30">
        <f t="shared" si="19"/>
        <v>0</v>
      </c>
      <c r="S22" s="30">
        <f t="shared" si="19"/>
        <v>4885.2</v>
      </c>
      <c r="T22" s="30">
        <f t="shared" si="19"/>
        <v>0</v>
      </c>
      <c r="U22" s="30">
        <f t="shared" si="19"/>
        <v>19450</v>
      </c>
      <c r="V22" s="30">
        <f t="shared" si="19"/>
        <v>314757.58</v>
      </c>
      <c r="W22" s="30">
        <f t="shared" si="19"/>
        <v>0</v>
      </c>
      <c r="X22" s="30">
        <f t="shared" si="19"/>
        <v>29256.5</v>
      </c>
      <c r="Y22" s="30">
        <f t="shared" si="19"/>
        <v>0</v>
      </c>
      <c r="Z22" s="30">
        <f t="shared" si="19"/>
        <v>2240071.38</v>
      </c>
      <c r="AA22" s="30">
        <f t="shared" si="19"/>
        <v>74987.06</v>
      </c>
    </row>
    <row r="23" spans="1:27" x14ac:dyDescent="0.25">
      <c r="A23" s="31" t="s">
        <v>8</v>
      </c>
      <c r="B23" s="30">
        <f>B22</f>
        <v>1576231.96</v>
      </c>
      <c r="C23" s="30">
        <f t="shared" ref="C23:AA23" si="20">C22</f>
        <v>0</v>
      </c>
      <c r="D23" s="30">
        <f t="shared" si="20"/>
        <v>110622.01000000001</v>
      </c>
      <c r="E23" s="30">
        <f t="shared" si="20"/>
        <v>0</v>
      </c>
      <c r="F23" s="30">
        <f t="shared" si="20"/>
        <v>2784.6</v>
      </c>
      <c r="G23" s="30">
        <f t="shared" si="20"/>
        <v>0</v>
      </c>
      <c r="H23" s="29">
        <f t="shared" si="20"/>
        <v>1689638.57</v>
      </c>
      <c r="I23" s="30">
        <f t="shared" si="20"/>
        <v>161044.81</v>
      </c>
      <c r="J23" s="30">
        <f t="shared" si="20"/>
        <v>68790.260000000009</v>
      </c>
      <c r="K23" s="30">
        <f t="shared" si="20"/>
        <v>4729.0200000000004</v>
      </c>
      <c r="L23" s="30">
        <f t="shared" si="20"/>
        <v>4729.3</v>
      </c>
      <c r="M23" s="30">
        <f t="shared" si="20"/>
        <v>0</v>
      </c>
      <c r="N23" s="30">
        <f t="shared" si="20"/>
        <v>1467.5</v>
      </c>
      <c r="O23" s="30">
        <f t="shared" si="20"/>
        <v>9387.77</v>
      </c>
      <c r="P23" s="30">
        <f t="shared" si="20"/>
        <v>0</v>
      </c>
      <c r="Q23" s="30">
        <f t="shared" ref="Q23" si="21">Q22</f>
        <v>6921.93</v>
      </c>
      <c r="R23" s="30">
        <f t="shared" ref="R23" si="22">R22</f>
        <v>0</v>
      </c>
      <c r="S23" s="30">
        <f t="shared" ref="S23" si="23">S22</f>
        <v>4885.2</v>
      </c>
      <c r="T23" s="30">
        <f t="shared" ref="T23" si="24">T22</f>
        <v>0</v>
      </c>
      <c r="U23" s="30">
        <f t="shared" si="20"/>
        <v>19450</v>
      </c>
      <c r="V23" s="30">
        <f t="shared" si="20"/>
        <v>314757.58</v>
      </c>
      <c r="W23" s="30">
        <f t="shared" si="20"/>
        <v>0</v>
      </c>
      <c r="X23" s="30">
        <f t="shared" si="20"/>
        <v>29256.5</v>
      </c>
      <c r="Y23" s="30">
        <f t="shared" si="20"/>
        <v>0</v>
      </c>
      <c r="Z23" s="30">
        <f t="shared" si="20"/>
        <v>2240071.38</v>
      </c>
      <c r="AA23" s="30">
        <f t="shared" si="20"/>
        <v>74987.06</v>
      </c>
    </row>
    <row r="24" spans="1:27" x14ac:dyDescent="0.25">
      <c r="A24" s="32"/>
      <c r="B24" s="24"/>
      <c r="C24" s="24"/>
      <c r="D24" s="24"/>
      <c r="E24" s="24"/>
      <c r="F24" s="24"/>
      <c r="G24" s="24"/>
      <c r="H24" s="27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x14ac:dyDescent="0.25">
      <c r="A25" s="23" t="s">
        <v>35</v>
      </c>
      <c r="B25" s="24">
        <f>B16+B22</f>
        <v>2460827.8099999996</v>
      </c>
      <c r="C25" s="24">
        <f t="shared" ref="C25:AA25" si="25">C16+C22</f>
        <v>0</v>
      </c>
      <c r="D25" s="24">
        <f t="shared" si="25"/>
        <v>208579.22999999998</v>
      </c>
      <c r="E25" s="24">
        <f t="shared" si="25"/>
        <v>0</v>
      </c>
      <c r="F25" s="24">
        <f t="shared" si="25"/>
        <v>27784.6</v>
      </c>
      <c r="G25" s="24">
        <f t="shared" si="25"/>
        <v>0</v>
      </c>
      <c r="H25" s="27">
        <f t="shared" si="25"/>
        <v>2697191.6399999997</v>
      </c>
      <c r="I25" s="24">
        <f t="shared" si="25"/>
        <v>207514.23</v>
      </c>
      <c r="J25" s="24">
        <f t="shared" si="25"/>
        <v>87484.38</v>
      </c>
      <c r="K25" s="24">
        <f t="shared" si="25"/>
        <v>6256.67</v>
      </c>
      <c r="L25" s="24">
        <f t="shared" si="25"/>
        <v>6308.7000000000007</v>
      </c>
      <c r="M25" s="24">
        <f t="shared" si="25"/>
        <v>0</v>
      </c>
      <c r="N25" s="24">
        <f t="shared" si="25"/>
        <v>1852.54</v>
      </c>
      <c r="O25" s="24">
        <f t="shared" si="25"/>
        <v>13865.53</v>
      </c>
      <c r="P25" s="24">
        <f t="shared" si="25"/>
        <v>0</v>
      </c>
      <c r="Q25" s="24">
        <f t="shared" ref="Q25:R25" si="26">Q16+Q22</f>
        <v>9066.4700000000012</v>
      </c>
      <c r="R25" s="24">
        <f t="shared" si="26"/>
        <v>0</v>
      </c>
      <c r="S25" s="24">
        <f t="shared" ref="S25:U25" si="27">S16+S22</f>
        <v>7264.02</v>
      </c>
      <c r="T25" s="24">
        <f t="shared" si="27"/>
        <v>0</v>
      </c>
      <c r="U25" s="24">
        <f t="shared" si="27"/>
        <v>27450</v>
      </c>
      <c r="V25" s="24">
        <f t="shared" si="25"/>
        <v>482685.37</v>
      </c>
      <c r="W25" s="24">
        <f t="shared" si="25"/>
        <v>0</v>
      </c>
      <c r="X25" s="24">
        <f t="shared" si="25"/>
        <v>46336.37</v>
      </c>
      <c r="Y25" s="24">
        <f t="shared" si="25"/>
        <v>0</v>
      </c>
      <c r="Z25" s="24">
        <f>Z16+Z22</f>
        <v>3497630.3</v>
      </c>
      <c r="AA25" s="24">
        <f t="shared" si="25"/>
        <v>95645.62</v>
      </c>
    </row>
    <row r="26" spans="1:27" x14ac:dyDescent="0.25">
      <c r="A26" s="23"/>
      <c r="B26" s="24"/>
      <c r="C26" s="24"/>
      <c r="D26" s="24"/>
      <c r="E26" s="24"/>
      <c r="F26" s="24"/>
      <c r="G26" s="24"/>
      <c r="H26" s="33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30" x14ac:dyDescent="0.25">
      <c r="A27" s="23" t="s">
        <v>34</v>
      </c>
      <c r="B27" s="24">
        <f>243302.48-D27</f>
        <v>191708.22</v>
      </c>
      <c r="C27" s="24">
        <v>39745.46</v>
      </c>
      <c r="D27" s="24">
        <v>51594.26</v>
      </c>
      <c r="E27" s="24">
        <v>0</v>
      </c>
      <c r="F27" s="24">
        <v>0</v>
      </c>
      <c r="G27" s="24">
        <v>0</v>
      </c>
      <c r="H27" s="27">
        <f>SUM(B27:G27)</f>
        <v>283047.94</v>
      </c>
      <c r="I27" s="25">
        <v>19806.72</v>
      </c>
      <c r="J27" s="25">
        <v>5981.58</v>
      </c>
      <c r="K27" s="25">
        <v>729.44</v>
      </c>
      <c r="L27" s="25">
        <v>729.74</v>
      </c>
      <c r="M27" s="25">
        <v>0</v>
      </c>
      <c r="N27" s="25">
        <v>241.26</v>
      </c>
      <c r="O27" s="25">
        <v>1713.71</v>
      </c>
      <c r="P27" s="25">
        <v>0</v>
      </c>
      <c r="Q27" s="25">
        <v>1326.92</v>
      </c>
      <c r="R27" s="25">
        <v>0</v>
      </c>
      <c r="S27" s="25">
        <v>898.32</v>
      </c>
      <c r="T27" s="25">
        <v>0</v>
      </c>
      <c r="U27" s="25">
        <v>1600</v>
      </c>
      <c r="V27" s="25">
        <v>50570.29</v>
      </c>
      <c r="W27" s="25">
        <v>0</v>
      </c>
      <c r="X27" s="25">
        <v>5930.68</v>
      </c>
      <c r="Y27" s="25">
        <v>0</v>
      </c>
      <c r="Z27" s="25">
        <f t="shared" ref="Z27:Z29" si="28">H27+I27+K27+M27+O27+Q27+S27+U27+V27+X27</f>
        <v>365624.02</v>
      </c>
      <c r="AA27" s="25">
        <f t="shared" ref="AA27:AA28" si="29">J27+L27+N27+P27+R27+T27+W27</f>
        <v>6952.58</v>
      </c>
    </row>
    <row r="28" spans="1:27" ht="30" x14ac:dyDescent="0.25">
      <c r="A28" s="23" t="s">
        <v>21</v>
      </c>
      <c r="B28" s="24">
        <f>432070.29-D28</f>
        <v>431557.55</v>
      </c>
      <c r="C28" s="24">
        <v>1044.75</v>
      </c>
      <c r="D28" s="24">
        <v>512.74</v>
      </c>
      <c r="E28" s="24">
        <v>0</v>
      </c>
      <c r="F28" s="24">
        <v>0</v>
      </c>
      <c r="G28" s="24">
        <v>0</v>
      </c>
      <c r="H28" s="27">
        <f>SUM(B28:G28)</f>
        <v>433115.04</v>
      </c>
      <c r="I28" s="25">
        <v>63017.68</v>
      </c>
      <c r="J28" s="25">
        <v>23887.18</v>
      </c>
      <c r="K28" s="25">
        <v>1812.29</v>
      </c>
      <c r="L28" s="25">
        <v>1812.78</v>
      </c>
      <c r="M28" s="25">
        <v>0</v>
      </c>
      <c r="N28" s="25">
        <v>519.33000000000004</v>
      </c>
      <c r="O28" s="25">
        <v>2562.0500000000002</v>
      </c>
      <c r="P28" s="25">
        <v>0</v>
      </c>
      <c r="Q28" s="25">
        <v>1983.76</v>
      </c>
      <c r="R28" s="25">
        <v>0</v>
      </c>
      <c r="S28" s="25">
        <v>1331.53</v>
      </c>
      <c r="T28" s="25">
        <v>0</v>
      </c>
      <c r="U28" s="25">
        <v>8000</v>
      </c>
      <c r="V28" s="25">
        <v>125038.2</v>
      </c>
      <c r="W28" s="25">
        <v>0</v>
      </c>
      <c r="X28" s="25">
        <v>8630.7199999999993</v>
      </c>
      <c r="Y28" s="25">
        <v>0</v>
      </c>
      <c r="Z28" s="25">
        <f t="shared" si="28"/>
        <v>645491.2699999999</v>
      </c>
      <c r="AA28" s="25">
        <f t="shared" si="29"/>
        <v>26219.29</v>
      </c>
    </row>
    <row r="29" spans="1:27" x14ac:dyDescent="0.25">
      <c r="A29" s="23" t="s">
        <v>37</v>
      </c>
      <c r="B29" s="24">
        <v>7685722</v>
      </c>
      <c r="C29" s="24">
        <v>1436131.37</v>
      </c>
      <c r="D29" s="24">
        <v>0</v>
      </c>
      <c r="E29" s="24">
        <v>0</v>
      </c>
      <c r="F29" s="24">
        <v>0</v>
      </c>
      <c r="G29" s="24">
        <v>0</v>
      </c>
      <c r="H29" s="27">
        <f>SUM(B29:G29)</f>
        <v>9121853.370000001</v>
      </c>
      <c r="I29" s="25">
        <v>1069928.3999999999</v>
      </c>
      <c r="J29" s="25">
        <v>434274.58</v>
      </c>
      <c r="K29" s="25">
        <v>31843</v>
      </c>
      <c r="L29" s="25">
        <v>31326.98</v>
      </c>
      <c r="M29" s="25">
        <v>0</v>
      </c>
      <c r="N29" s="25">
        <v>9536.2000000000007</v>
      </c>
      <c r="O29" s="25">
        <v>42394.14</v>
      </c>
      <c r="P29" s="25">
        <v>0</v>
      </c>
      <c r="Q29" s="25">
        <v>32748.04</v>
      </c>
      <c r="R29" s="25">
        <v>0</v>
      </c>
      <c r="S29" s="25">
        <v>22066.69</v>
      </c>
      <c r="T29" s="25">
        <v>0</v>
      </c>
      <c r="U29" s="25">
        <v>75433.33</v>
      </c>
      <c r="V29" s="25">
        <v>1685554.68</v>
      </c>
      <c r="W29" s="25">
        <v>0</v>
      </c>
      <c r="X29" s="25">
        <v>119958.37</v>
      </c>
      <c r="Y29" s="25">
        <v>0</v>
      </c>
      <c r="Z29" s="25">
        <f t="shared" si="28"/>
        <v>12201780.02</v>
      </c>
      <c r="AA29" s="25">
        <f>J29+L29+N29+P29+W29</f>
        <v>475137.76</v>
      </c>
    </row>
    <row r="30" spans="1:27" x14ac:dyDescent="0.25">
      <c r="A30" s="31" t="s">
        <v>7</v>
      </c>
      <c r="B30" s="30">
        <f>SUM(B27:B29)</f>
        <v>8308987.7699999996</v>
      </c>
      <c r="C30" s="30">
        <f t="shared" ref="C30:Y30" si="30">SUM(C27:C29)</f>
        <v>1476921.58</v>
      </c>
      <c r="D30" s="30">
        <f t="shared" si="30"/>
        <v>52107</v>
      </c>
      <c r="E30" s="30">
        <f t="shared" si="30"/>
        <v>0</v>
      </c>
      <c r="F30" s="30">
        <f t="shared" si="30"/>
        <v>0</v>
      </c>
      <c r="G30" s="30">
        <f t="shared" si="30"/>
        <v>0</v>
      </c>
      <c r="H30" s="29">
        <f t="shared" si="30"/>
        <v>9838016.3500000015</v>
      </c>
      <c r="I30" s="30">
        <f t="shared" si="30"/>
        <v>1152752.7999999998</v>
      </c>
      <c r="J30" s="30">
        <f t="shared" si="30"/>
        <v>464143.34</v>
      </c>
      <c r="K30" s="30">
        <f t="shared" si="30"/>
        <v>34384.730000000003</v>
      </c>
      <c r="L30" s="30">
        <f t="shared" si="30"/>
        <v>33869.5</v>
      </c>
      <c r="M30" s="30">
        <f t="shared" si="30"/>
        <v>0</v>
      </c>
      <c r="N30" s="30">
        <f t="shared" si="30"/>
        <v>10296.790000000001</v>
      </c>
      <c r="O30" s="30">
        <f t="shared" si="30"/>
        <v>46669.9</v>
      </c>
      <c r="P30" s="30">
        <f t="shared" si="30"/>
        <v>0</v>
      </c>
      <c r="Q30" s="30">
        <f t="shared" ref="Q30" si="31">SUM(Q27:Q29)</f>
        <v>36058.720000000001</v>
      </c>
      <c r="R30" s="30">
        <f t="shared" ref="R30" si="32">SUM(R27:R29)</f>
        <v>0</v>
      </c>
      <c r="S30" s="30">
        <f t="shared" ref="S30" si="33">SUM(S27:S29)</f>
        <v>24296.539999999997</v>
      </c>
      <c r="T30" s="30">
        <f t="shared" ref="T30" si="34">SUM(T27:T29)</f>
        <v>0</v>
      </c>
      <c r="U30" s="30">
        <f t="shared" si="30"/>
        <v>85033.33</v>
      </c>
      <c r="V30" s="30">
        <f t="shared" si="30"/>
        <v>1861163.17</v>
      </c>
      <c r="W30" s="30">
        <f t="shared" si="30"/>
        <v>0</v>
      </c>
      <c r="X30" s="30">
        <f t="shared" si="30"/>
        <v>134519.76999999999</v>
      </c>
      <c r="Y30" s="30">
        <f t="shared" si="30"/>
        <v>0</v>
      </c>
      <c r="Z30" s="30">
        <f>SUM(Z27:Z29)</f>
        <v>13212895.309999999</v>
      </c>
      <c r="AA30" s="30">
        <f>SUM(AA27:AA29)</f>
        <v>508309.63</v>
      </c>
    </row>
    <row r="31" spans="1:27" x14ac:dyDescent="0.25">
      <c r="A31" s="31" t="s">
        <v>8</v>
      </c>
      <c r="B31" s="30">
        <f>B30</f>
        <v>8308987.7699999996</v>
      </c>
      <c r="C31" s="30">
        <f t="shared" ref="C31:AA31" si="35">C30</f>
        <v>1476921.58</v>
      </c>
      <c r="D31" s="30">
        <f t="shared" si="35"/>
        <v>52107</v>
      </c>
      <c r="E31" s="30">
        <f t="shared" si="35"/>
        <v>0</v>
      </c>
      <c r="F31" s="30">
        <f t="shared" si="35"/>
        <v>0</v>
      </c>
      <c r="G31" s="30">
        <f t="shared" si="35"/>
        <v>0</v>
      </c>
      <c r="H31" s="29">
        <f t="shared" si="35"/>
        <v>9838016.3500000015</v>
      </c>
      <c r="I31" s="30">
        <f t="shared" si="35"/>
        <v>1152752.7999999998</v>
      </c>
      <c r="J31" s="30">
        <f t="shared" si="35"/>
        <v>464143.34</v>
      </c>
      <c r="K31" s="30">
        <f t="shared" si="35"/>
        <v>34384.730000000003</v>
      </c>
      <c r="L31" s="30">
        <f t="shared" si="35"/>
        <v>33869.5</v>
      </c>
      <c r="M31" s="30">
        <f t="shared" si="35"/>
        <v>0</v>
      </c>
      <c r="N31" s="30">
        <f t="shared" si="35"/>
        <v>10296.790000000001</v>
      </c>
      <c r="O31" s="30">
        <f t="shared" si="35"/>
        <v>46669.9</v>
      </c>
      <c r="P31" s="30">
        <f t="shared" si="35"/>
        <v>0</v>
      </c>
      <c r="Q31" s="30">
        <f t="shared" ref="Q31" si="36">Q30</f>
        <v>36058.720000000001</v>
      </c>
      <c r="R31" s="30">
        <f t="shared" ref="R31" si="37">R30</f>
        <v>0</v>
      </c>
      <c r="S31" s="30">
        <f t="shared" ref="S31" si="38">S30</f>
        <v>24296.539999999997</v>
      </c>
      <c r="T31" s="30">
        <f t="shared" ref="T31" si="39">T30</f>
        <v>0</v>
      </c>
      <c r="U31" s="30">
        <f t="shared" si="35"/>
        <v>85033.33</v>
      </c>
      <c r="V31" s="30">
        <f t="shared" si="35"/>
        <v>1861163.17</v>
      </c>
      <c r="W31" s="30">
        <f t="shared" si="35"/>
        <v>0</v>
      </c>
      <c r="X31" s="30">
        <f t="shared" si="35"/>
        <v>134519.76999999999</v>
      </c>
      <c r="Y31" s="30">
        <f t="shared" si="35"/>
        <v>0</v>
      </c>
      <c r="Z31" s="30">
        <f t="shared" si="35"/>
        <v>13212895.309999999</v>
      </c>
      <c r="AA31" s="30">
        <f t="shared" si="35"/>
        <v>508309.63</v>
      </c>
    </row>
    <row r="32" spans="1:27" x14ac:dyDescent="0.25">
      <c r="A32" s="32"/>
      <c r="B32" s="27"/>
      <c r="C32" s="27"/>
      <c r="D32" s="27"/>
      <c r="E32" s="27"/>
      <c r="F32" s="27"/>
      <c r="G32" s="27"/>
      <c r="H32" s="27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x14ac:dyDescent="0.25">
      <c r="A33" s="34" t="s">
        <v>36</v>
      </c>
      <c r="B33" s="27">
        <f>B30</f>
        <v>8308987.7699999996</v>
      </c>
      <c r="C33" s="27">
        <f t="shared" ref="C33:AA33" si="40">C30</f>
        <v>1476921.58</v>
      </c>
      <c r="D33" s="27">
        <f t="shared" si="40"/>
        <v>52107</v>
      </c>
      <c r="E33" s="27">
        <f t="shared" si="40"/>
        <v>0</v>
      </c>
      <c r="F33" s="27">
        <f t="shared" si="40"/>
        <v>0</v>
      </c>
      <c r="G33" s="27">
        <f t="shared" si="40"/>
        <v>0</v>
      </c>
      <c r="H33" s="27">
        <f t="shared" si="40"/>
        <v>9838016.3500000015</v>
      </c>
      <c r="I33" s="24">
        <f t="shared" si="40"/>
        <v>1152752.7999999998</v>
      </c>
      <c r="J33" s="24">
        <f t="shared" si="40"/>
        <v>464143.34</v>
      </c>
      <c r="K33" s="24">
        <f t="shared" si="40"/>
        <v>34384.730000000003</v>
      </c>
      <c r="L33" s="24">
        <f t="shared" si="40"/>
        <v>33869.5</v>
      </c>
      <c r="M33" s="24">
        <f t="shared" si="40"/>
        <v>0</v>
      </c>
      <c r="N33" s="24">
        <f t="shared" si="40"/>
        <v>10296.790000000001</v>
      </c>
      <c r="O33" s="24">
        <f t="shared" si="40"/>
        <v>46669.9</v>
      </c>
      <c r="P33" s="24">
        <f t="shared" si="40"/>
        <v>0</v>
      </c>
      <c r="Q33" s="24">
        <f t="shared" ref="Q33:R33" si="41">Q30</f>
        <v>36058.720000000001</v>
      </c>
      <c r="R33" s="24">
        <f t="shared" si="41"/>
        <v>0</v>
      </c>
      <c r="S33" s="24">
        <f t="shared" ref="S33:U33" si="42">S30</f>
        <v>24296.539999999997</v>
      </c>
      <c r="T33" s="24">
        <f t="shared" si="42"/>
        <v>0</v>
      </c>
      <c r="U33" s="24">
        <f t="shared" si="42"/>
        <v>85033.33</v>
      </c>
      <c r="V33" s="24">
        <f t="shared" si="40"/>
        <v>1861163.17</v>
      </c>
      <c r="W33" s="24">
        <f t="shared" si="40"/>
        <v>0</v>
      </c>
      <c r="X33" s="24">
        <f t="shared" si="40"/>
        <v>134519.76999999999</v>
      </c>
      <c r="Y33" s="24">
        <f t="shared" si="40"/>
        <v>0</v>
      </c>
      <c r="Z33" s="24">
        <f>Z30</f>
        <v>13212895.309999999</v>
      </c>
      <c r="AA33" s="24">
        <f t="shared" si="40"/>
        <v>508309.63</v>
      </c>
    </row>
    <row r="34" spans="1:27" x14ac:dyDescent="0.25">
      <c r="A34" s="32"/>
      <c r="B34" s="27"/>
      <c r="C34" s="27"/>
      <c r="D34" s="27"/>
      <c r="E34" s="27"/>
      <c r="F34" s="27"/>
      <c r="G34" s="27"/>
      <c r="H34" s="27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ht="30" x14ac:dyDescent="0.25">
      <c r="A35" s="23" t="s">
        <v>10</v>
      </c>
      <c r="B35" s="27"/>
      <c r="C35" s="27"/>
      <c r="D35" s="27"/>
      <c r="E35" s="27"/>
      <c r="F35" s="27"/>
      <c r="G35" s="27"/>
      <c r="H35" s="27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x14ac:dyDescent="0.25">
      <c r="A36" s="31" t="s">
        <v>11</v>
      </c>
      <c r="B36" s="29">
        <f>B25+B33</f>
        <v>10769815.579999998</v>
      </c>
      <c r="C36" s="29">
        <f t="shared" ref="C36:Y36" si="43">C25+C33</f>
        <v>1476921.58</v>
      </c>
      <c r="D36" s="29">
        <f t="shared" si="43"/>
        <v>260686.22999999998</v>
      </c>
      <c r="E36" s="29">
        <f t="shared" si="43"/>
        <v>0</v>
      </c>
      <c r="F36" s="29">
        <f t="shared" si="43"/>
        <v>27784.6</v>
      </c>
      <c r="G36" s="29">
        <f t="shared" si="43"/>
        <v>0</v>
      </c>
      <c r="H36" s="29">
        <f t="shared" si="43"/>
        <v>12535207.990000002</v>
      </c>
      <c r="I36" s="30">
        <f t="shared" si="43"/>
        <v>1360267.0299999998</v>
      </c>
      <c r="J36" s="30">
        <f t="shared" si="43"/>
        <v>551627.72</v>
      </c>
      <c r="K36" s="30">
        <f t="shared" si="43"/>
        <v>40641.4</v>
      </c>
      <c r="L36" s="30">
        <f t="shared" si="43"/>
        <v>40178.199999999997</v>
      </c>
      <c r="M36" s="30">
        <f t="shared" si="43"/>
        <v>0</v>
      </c>
      <c r="N36" s="30">
        <f t="shared" si="43"/>
        <v>12149.330000000002</v>
      </c>
      <c r="O36" s="30">
        <f t="shared" si="43"/>
        <v>60535.43</v>
      </c>
      <c r="P36" s="30">
        <f t="shared" si="43"/>
        <v>0</v>
      </c>
      <c r="Q36" s="30">
        <f t="shared" ref="Q36:R36" si="44">Q25+Q33</f>
        <v>45125.19</v>
      </c>
      <c r="R36" s="30">
        <f t="shared" si="44"/>
        <v>0</v>
      </c>
      <c r="S36" s="30">
        <f t="shared" ref="S36:U36" si="45">S25+S33</f>
        <v>31560.559999999998</v>
      </c>
      <c r="T36" s="30">
        <f>T25+T33</f>
        <v>0</v>
      </c>
      <c r="U36" s="30">
        <f t="shared" si="45"/>
        <v>112483.33</v>
      </c>
      <c r="V36" s="30">
        <f t="shared" si="43"/>
        <v>2343848.54</v>
      </c>
      <c r="W36" s="30">
        <f t="shared" si="43"/>
        <v>0</v>
      </c>
      <c r="X36" s="30">
        <f t="shared" si="43"/>
        <v>180856.13999999998</v>
      </c>
      <c r="Y36" s="30">
        <f t="shared" si="43"/>
        <v>0</v>
      </c>
      <c r="Z36" s="30">
        <f>Z25+Z33</f>
        <v>16710525.609999999</v>
      </c>
      <c r="AA36" s="30">
        <f>AA25+AA33</f>
        <v>603955.25</v>
      </c>
    </row>
    <row r="37" spans="1:27" x14ac:dyDescent="0.25">
      <c r="A37" s="31" t="s">
        <v>8</v>
      </c>
      <c r="B37" s="29">
        <f>B36</f>
        <v>10769815.579999998</v>
      </c>
      <c r="C37" s="29">
        <f t="shared" ref="C37:AA37" si="46">C36</f>
        <v>1476921.58</v>
      </c>
      <c r="D37" s="29">
        <f t="shared" si="46"/>
        <v>260686.22999999998</v>
      </c>
      <c r="E37" s="29">
        <f t="shared" si="46"/>
        <v>0</v>
      </c>
      <c r="F37" s="29">
        <f t="shared" si="46"/>
        <v>27784.6</v>
      </c>
      <c r="G37" s="29">
        <f t="shared" si="46"/>
        <v>0</v>
      </c>
      <c r="H37" s="29">
        <f t="shared" si="46"/>
        <v>12535207.990000002</v>
      </c>
      <c r="I37" s="30">
        <f t="shared" si="46"/>
        <v>1360267.0299999998</v>
      </c>
      <c r="J37" s="30">
        <f t="shared" si="46"/>
        <v>551627.72</v>
      </c>
      <c r="K37" s="30">
        <f t="shared" si="46"/>
        <v>40641.4</v>
      </c>
      <c r="L37" s="30">
        <f t="shared" si="46"/>
        <v>40178.199999999997</v>
      </c>
      <c r="M37" s="30">
        <f t="shared" si="46"/>
        <v>0</v>
      </c>
      <c r="N37" s="30">
        <f t="shared" si="46"/>
        <v>12149.330000000002</v>
      </c>
      <c r="O37" s="30">
        <f t="shared" si="46"/>
        <v>60535.43</v>
      </c>
      <c r="P37" s="30">
        <f t="shared" si="46"/>
        <v>0</v>
      </c>
      <c r="Q37" s="30">
        <f t="shared" ref="Q37" si="47">Q36</f>
        <v>45125.19</v>
      </c>
      <c r="R37" s="30">
        <f t="shared" ref="R37" si="48">R36</f>
        <v>0</v>
      </c>
      <c r="S37" s="30">
        <f t="shared" ref="S37" si="49">S36</f>
        <v>31560.559999999998</v>
      </c>
      <c r="T37" s="30">
        <f t="shared" ref="T37" si="50">T36</f>
        <v>0</v>
      </c>
      <c r="U37" s="30">
        <f t="shared" si="46"/>
        <v>112483.33</v>
      </c>
      <c r="V37" s="30">
        <f t="shared" si="46"/>
        <v>2343848.54</v>
      </c>
      <c r="W37" s="30">
        <f t="shared" si="46"/>
        <v>0</v>
      </c>
      <c r="X37" s="30">
        <f t="shared" si="46"/>
        <v>180856.13999999998</v>
      </c>
      <c r="Y37" s="30">
        <f t="shared" si="46"/>
        <v>0</v>
      </c>
      <c r="Z37" s="30">
        <f t="shared" si="46"/>
        <v>16710525.609999999</v>
      </c>
      <c r="AA37" s="30">
        <f t="shared" si="46"/>
        <v>603955.25</v>
      </c>
    </row>
    <row r="38" spans="1:27" x14ac:dyDescent="0.25">
      <c r="A38" s="7"/>
    </row>
    <row r="39" spans="1:27" x14ac:dyDescent="0.25">
      <c r="A39" s="7" t="s">
        <v>54</v>
      </c>
    </row>
    <row r="40" spans="1:27" x14ac:dyDescent="0.25">
      <c r="A40" s="7" t="s">
        <v>55</v>
      </c>
    </row>
    <row r="41" spans="1:27" x14ac:dyDescent="0.25">
      <c r="A41" s="7" t="s">
        <v>56</v>
      </c>
    </row>
    <row r="42" spans="1:27" x14ac:dyDescent="0.25">
      <c r="A42" s="7" t="s">
        <v>57</v>
      </c>
    </row>
  </sheetData>
  <mergeCells count="8">
    <mergeCell ref="Z6:AA6"/>
    <mergeCell ref="I6:J6"/>
    <mergeCell ref="K6:L6"/>
    <mergeCell ref="M6:N6"/>
    <mergeCell ref="O6:P6"/>
    <mergeCell ref="V6:W6"/>
    <mergeCell ref="Q6:R6"/>
    <mergeCell ref="S6:T6"/>
  </mergeCells>
  <pageMargins left="0" right="0" top="0" bottom="0" header="0.3" footer="0.3"/>
  <pageSetup paperSize="5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0FC4-B6E4-4B40-8679-FD6602D36D15}">
  <sheetPr>
    <pageSetUpPr fitToPage="1"/>
  </sheetPr>
  <dimension ref="A1:AA4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1.42578125" customWidth="1"/>
    <col min="2" max="7" width="18.7109375" customWidth="1"/>
    <col min="8" max="8" width="15.42578125" bestFit="1" customWidth="1"/>
    <col min="9" max="21" width="14.28515625" bestFit="1" customWidth="1"/>
    <col min="22" max="22" width="15.42578125" bestFit="1" customWidth="1"/>
    <col min="23" max="25" width="14.28515625" bestFit="1" customWidth="1"/>
    <col min="26" max="26" width="15.42578125" bestFit="1" customWidth="1"/>
    <col min="27" max="27" width="12.42578125" bestFit="1" customWidth="1"/>
  </cols>
  <sheetData>
    <row r="1" spans="1:27" s="5" customFormat="1" x14ac:dyDescent="0.25">
      <c r="A1" s="35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37" t="s">
        <v>0</v>
      </c>
    </row>
    <row r="2" spans="1:27" s="5" customFormat="1" x14ac:dyDescent="0.25">
      <c r="A2" s="11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27" s="5" customFormat="1" x14ac:dyDescent="0.25">
      <c r="A3" s="11" t="s">
        <v>53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1:27" s="5" customFormat="1" x14ac:dyDescent="0.25">
      <c r="A4" s="11" t="s">
        <v>51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</row>
    <row r="5" spans="1:27" s="5" customFormat="1" x14ac:dyDescent="0.25">
      <c r="A5" s="3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</row>
    <row r="6" spans="1:27" s="3" customFormat="1" ht="45.75" customHeight="1" x14ac:dyDescent="0.2">
      <c r="A6" s="38"/>
      <c r="B6" s="38" t="s">
        <v>38</v>
      </c>
      <c r="C6" s="38" t="s">
        <v>38</v>
      </c>
      <c r="D6" s="38" t="s">
        <v>38</v>
      </c>
      <c r="E6" s="38" t="s">
        <v>38</v>
      </c>
      <c r="F6" s="38" t="s">
        <v>38</v>
      </c>
      <c r="G6" s="38" t="s">
        <v>38</v>
      </c>
      <c r="H6" s="38" t="s">
        <v>13</v>
      </c>
      <c r="I6" s="39" t="s">
        <v>39</v>
      </c>
      <c r="J6" s="39"/>
      <c r="K6" s="39" t="s">
        <v>40</v>
      </c>
      <c r="L6" s="39"/>
      <c r="M6" s="39" t="s">
        <v>41</v>
      </c>
      <c r="N6" s="39"/>
      <c r="O6" s="39" t="s">
        <v>42</v>
      </c>
      <c r="P6" s="39"/>
      <c r="Q6" s="39" t="s">
        <v>43</v>
      </c>
      <c r="R6" s="39"/>
      <c r="S6" s="39" t="s">
        <v>44</v>
      </c>
      <c r="T6" s="39"/>
      <c r="U6" s="38" t="s">
        <v>45</v>
      </c>
      <c r="V6" s="39" t="s">
        <v>46</v>
      </c>
      <c r="W6" s="39"/>
      <c r="X6" s="38" t="s">
        <v>2</v>
      </c>
      <c r="Y6" s="38" t="s">
        <v>47</v>
      </c>
      <c r="Z6" s="39" t="s">
        <v>3</v>
      </c>
      <c r="AA6" s="39"/>
    </row>
    <row r="7" spans="1:27" s="4" customFormat="1" ht="12" x14ac:dyDescent="0.2">
      <c r="A7" s="40" t="s">
        <v>1</v>
      </c>
      <c r="B7" s="41" t="s">
        <v>20</v>
      </c>
      <c r="C7" s="41" t="s">
        <v>15</v>
      </c>
      <c r="D7" s="41" t="s">
        <v>16</v>
      </c>
      <c r="E7" s="41" t="s">
        <v>17</v>
      </c>
      <c r="F7" s="41" t="s">
        <v>18</v>
      </c>
      <c r="G7" s="41" t="s">
        <v>19</v>
      </c>
      <c r="H7" s="42"/>
      <c r="I7" s="40" t="s">
        <v>4</v>
      </c>
      <c r="J7" s="43" t="s">
        <v>5</v>
      </c>
      <c r="K7" s="40" t="s">
        <v>4</v>
      </c>
      <c r="L7" s="43" t="s">
        <v>5</v>
      </c>
      <c r="M7" s="40" t="s">
        <v>4</v>
      </c>
      <c r="N7" s="43" t="s">
        <v>5</v>
      </c>
      <c r="O7" s="40" t="s">
        <v>4</v>
      </c>
      <c r="P7" s="43" t="s">
        <v>5</v>
      </c>
      <c r="Q7" s="40" t="s">
        <v>4</v>
      </c>
      <c r="R7" s="43" t="s">
        <v>5</v>
      </c>
      <c r="S7" s="40" t="s">
        <v>4</v>
      </c>
      <c r="T7" s="43" t="s">
        <v>5</v>
      </c>
      <c r="U7" s="44" t="s">
        <v>4</v>
      </c>
      <c r="V7" s="40" t="s">
        <v>4</v>
      </c>
      <c r="W7" s="43" t="s">
        <v>5</v>
      </c>
      <c r="X7" s="42"/>
      <c r="Y7" s="42"/>
      <c r="Z7" s="40" t="s">
        <v>4</v>
      </c>
      <c r="AA7" s="43" t="s">
        <v>5</v>
      </c>
    </row>
    <row r="8" spans="1:27" ht="24" x14ac:dyDescent="0.25">
      <c r="A8" s="45" t="s">
        <v>6</v>
      </c>
      <c r="B8" s="46"/>
      <c r="C8" s="46"/>
      <c r="D8" s="46"/>
      <c r="E8" s="46"/>
      <c r="F8" s="46"/>
      <c r="G8" s="46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x14ac:dyDescent="0.25">
      <c r="A9" s="48" t="s">
        <v>14</v>
      </c>
      <c r="B9" s="49">
        <f>305722.24-D9</f>
        <v>235585.62</v>
      </c>
      <c r="C9" s="49">
        <v>0</v>
      </c>
      <c r="D9" s="49">
        <v>70136.62</v>
      </c>
      <c r="E9" s="49">
        <v>0</v>
      </c>
      <c r="F9" s="49">
        <v>0</v>
      </c>
      <c r="G9" s="49">
        <v>0</v>
      </c>
      <c r="H9" s="49">
        <f>SUM(B9:G9)</f>
        <v>305722.23999999999</v>
      </c>
      <c r="I9" s="50">
        <v>9972.6</v>
      </c>
      <c r="J9" s="50">
        <v>4501.0600000000004</v>
      </c>
      <c r="K9" s="50">
        <v>258</v>
      </c>
      <c r="L9" s="50">
        <v>284</v>
      </c>
      <c r="M9" s="50">
        <v>0</v>
      </c>
      <c r="N9" s="50">
        <v>91</v>
      </c>
      <c r="O9" s="50">
        <v>984</v>
      </c>
      <c r="P9" s="50">
        <v>0</v>
      </c>
      <c r="Q9" s="50">
        <v>401.4</v>
      </c>
      <c r="R9" s="50">
        <v>0</v>
      </c>
      <c r="S9" s="50">
        <v>0</v>
      </c>
      <c r="T9" s="50">
        <v>0</v>
      </c>
      <c r="U9" s="50">
        <v>3000</v>
      </c>
      <c r="V9" s="50">
        <v>71425</v>
      </c>
      <c r="W9" s="50">
        <v>0</v>
      </c>
      <c r="X9" s="50">
        <v>4711.6899999999996</v>
      </c>
      <c r="Y9" s="50">
        <v>0</v>
      </c>
      <c r="Z9" s="50">
        <f>H9+I9+K9+M9+O9+Q9+S9+U9+V9+X9</f>
        <v>396474.93</v>
      </c>
      <c r="AA9" s="50">
        <f>J9+L9+N9+P9+R9+T9+W9</f>
        <v>4876.0600000000004</v>
      </c>
    </row>
    <row r="10" spans="1:27" x14ac:dyDescent="0.25">
      <c r="A10" s="48" t="s">
        <v>29</v>
      </c>
      <c r="B10" s="49">
        <f>229970.76-D10</f>
        <v>225219.20000000001</v>
      </c>
      <c r="C10" s="49">
        <v>0</v>
      </c>
      <c r="D10" s="49">
        <v>4751.5600000000004</v>
      </c>
      <c r="E10" s="49">
        <v>0</v>
      </c>
      <c r="F10" s="49">
        <v>0</v>
      </c>
      <c r="G10" s="49">
        <v>0</v>
      </c>
      <c r="H10" s="49">
        <f t="shared" ref="H10:H13" si="0">SUM(B10:G10)</f>
        <v>229970.76</v>
      </c>
      <c r="I10" s="50">
        <v>11975.46</v>
      </c>
      <c r="J10" s="50">
        <v>4204.5600000000004</v>
      </c>
      <c r="K10" s="50">
        <v>538.55999999999995</v>
      </c>
      <c r="L10" s="50">
        <v>538.79999999999995</v>
      </c>
      <c r="M10" s="50">
        <v>0</v>
      </c>
      <c r="N10" s="50">
        <v>109.2</v>
      </c>
      <c r="O10" s="50">
        <v>1152</v>
      </c>
      <c r="P10" s="50">
        <v>0</v>
      </c>
      <c r="Q10" s="50">
        <v>535.20000000000005</v>
      </c>
      <c r="R10" s="50">
        <v>0</v>
      </c>
      <c r="S10" s="50">
        <v>0</v>
      </c>
      <c r="T10" s="50">
        <v>0</v>
      </c>
      <c r="U10" s="50">
        <v>3000</v>
      </c>
      <c r="V10" s="50">
        <v>61362.96</v>
      </c>
      <c r="W10" s="50">
        <v>0</v>
      </c>
      <c r="X10" s="50">
        <v>4492.28</v>
      </c>
      <c r="Y10" s="50">
        <v>0</v>
      </c>
      <c r="Z10" s="50">
        <f>H10+I10+K10+M10+O10+Q10+S10+U10+V10+X10</f>
        <v>313027.22000000003</v>
      </c>
      <c r="AA10" s="50">
        <f t="shared" ref="AA10:AA13" si="1">J10+L10+N10+P10+R10+T10+W10</f>
        <v>4852.5600000000004</v>
      </c>
    </row>
    <row r="11" spans="1:27" x14ac:dyDescent="0.25">
      <c r="A11" s="48" t="s">
        <v>30</v>
      </c>
      <c r="B11" s="49">
        <f>266236.16-D11</f>
        <v>190629.18</v>
      </c>
      <c r="C11" s="49">
        <v>0</v>
      </c>
      <c r="D11" s="49">
        <v>75606.98</v>
      </c>
      <c r="E11" s="49">
        <v>0</v>
      </c>
      <c r="F11" s="49">
        <v>0</v>
      </c>
      <c r="G11" s="49">
        <v>0</v>
      </c>
      <c r="H11" s="49">
        <f t="shared" si="0"/>
        <v>266236.15999999997</v>
      </c>
      <c r="I11" s="50">
        <f>14376.28+510.66</f>
        <v>14886.94</v>
      </c>
      <c r="J11" s="50">
        <f>4960+144.02</f>
        <v>5104.0200000000004</v>
      </c>
      <c r="K11" s="50">
        <f>335.4+14.57</f>
        <v>349.96999999999997</v>
      </c>
      <c r="L11" s="50">
        <f>335.66+14.58</f>
        <v>350.24</v>
      </c>
      <c r="M11" s="50">
        <v>0</v>
      </c>
      <c r="N11" s="50">
        <v>118.3</v>
      </c>
      <c r="O11" s="50">
        <f>1043.9+90.75</f>
        <v>1134.6500000000001</v>
      </c>
      <c r="P11" s="50">
        <v>0</v>
      </c>
      <c r="Q11" s="50">
        <f>535.22+44.6</f>
        <v>579.82000000000005</v>
      </c>
      <c r="R11" s="50">
        <v>0</v>
      </c>
      <c r="S11" s="50">
        <v>0</v>
      </c>
      <c r="T11" s="50">
        <v>0</v>
      </c>
      <c r="U11" s="50">
        <v>0</v>
      </c>
      <c r="V11" s="50">
        <f>49997.52+4501.49</f>
        <v>54499.009999999995</v>
      </c>
      <c r="W11" s="50">
        <v>0</v>
      </c>
      <c r="X11" s="50">
        <f>3638.12+160.53</f>
        <v>3798.65</v>
      </c>
      <c r="Y11" s="50">
        <v>0</v>
      </c>
      <c r="Z11" s="50">
        <f t="shared" ref="Z11:Z13" si="2">H11+I11+K11+M11+O11+Q11+S11+U11+V11+X11</f>
        <v>341485.2</v>
      </c>
      <c r="AA11" s="50">
        <f t="shared" si="1"/>
        <v>5572.56</v>
      </c>
    </row>
    <row r="12" spans="1:27" x14ac:dyDescent="0.25">
      <c r="A12" s="48" t="s">
        <v>31</v>
      </c>
      <c r="B12" s="49">
        <v>49962.53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f t="shared" si="0"/>
        <v>49962.53</v>
      </c>
      <c r="I12" s="50">
        <v>4838.3500000000004</v>
      </c>
      <c r="J12" s="50">
        <v>2491</v>
      </c>
      <c r="K12" s="50">
        <v>177.72</v>
      </c>
      <c r="L12" s="50">
        <v>177.8</v>
      </c>
      <c r="M12" s="50">
        <v>0</v>
      </c>
      <c r="N12" s="50">
        <v>58.17</v>
      </c>
      <c r="O12" s="50">
        <v>251.33</v>
      </c>
      <c r="P12" s="50">
        <v>0</v>
      </c>
      <c r="Q12" s="50">
        <v>176.62</v>
      </c>
      <c r="R12" s="50">
        <v>0</v>
      </c>
      <c r="S12" s="50">
        <v>0</v>
      </c>
      <c r="T12" s="50">
        <v>0</v>
      </c>
      <c r="U12" s="50">
        <v>0</v>
      </c>
      <c r="V12" s="50">
        <v>14492.35</v>
      </c>
      <c r="W12" s="50">
        <v>0</v>
      </c>
      <c r="X12" s="50">
        <v>999.27</v>
      </c>
      <c r="Y12" s="50">
        <v>0</v>
      </c>
      <c r="Z12" s="50">
        <f t="shared" si="2"/>
        <v>70898.170000000013</v>
      </c>
      <c r="AA12" s="50">
        <f t="shared" si="1"/>
        <v>2726.9700000000003</v>
      </c>
    </row>
    <row r="13" spans="1:27" x14ac:dyDescent="0.25">
      <c r="A13" s="48" t="s">
        <v>33</v>
      </c>
      <c r="B13" s="49">
        <v>214230.8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f t="shared" si="0"/>
        <v>214230.8</v>
      </c>
      <c r="I13" s="50">
        <v>5461.62</v>
      </c>
      <c r="J13" s="50">
        <v>1538.16</v>
      </c>
      <c r="K13" s="50">
        <v>174.84</v>
      </c>
      <c r="L13" s="50">
        <v>174.96</v>
      </c>
      <c r="M13" s="50">
        <v>0</v>
      </c>
      <c r="N13" s="50">
        <v>0</v>
      </c>
      <c r="O13" s="50">
        <v>1130.4000000000001</v>
      </c>
      <c r="P13" s="50">
        <v>0</v>
      </c>
      <c r="Q13" s="50">
        <v>535.20000000000005</v>
      </c>
      <c r="R13" s="50">
        <v>0</v>
      </c>
      <c r="S13" s="50">
        <v>0</v>
      </c>
      <c r="T13" s="50">
        <v>0</v>
      </c>
      <c r="U13" s="50">
        <v>1500</v>
      </c>
      <c r="V13" s="50">
        <v>0</v>
      </c>
      <c r="W13" s="50">
        <v>0</v>
      </c>
      <c r="X13" s="50">
        <v>2034.6</v>
      </c>
      <c r="Y13" s="50">
        <v>0</v>
      </c>
      <c r="Z13" s="50">
        <f t="shared" si="2"/>
        <v>225067.46</v>
      </c>
      <c r="AA13" s="50">
        <f t="shared" si="1"/>
        <v>1713.1200000000001</v>
      </c>
    </row>
    <row r="14" spans="1:27" ht="24" x14ac:dyDescent="0.25">
      <c r="A14" s="51" t="s">
        <v>9</v>
      </c>
      <c r="B14" s="52">
        <f t="shared" ref="B14:AA14" si="3">SUM(B9:B13)</f>
        <v>915627.33000000007</v>
      </c>
      <c r="C14" s="52">
        <f t="shared" si="3"/>
        <v>0</v>
      </c>
      <c r="D14" s="52">
        <f t="shared" si="3"/>
        <v>150495.15999999997</v>
      </c>
      <c r="E14" s="52">
        <f t="shared" si="3"/>
        <v>0</v>
      </c>
      <c r="F14" s="52">
        <f t="shared" si="3"/>
        <v>0</v>
      </c>
      <c r="G14" s="52">
        <f t="shared" si="3"/>
        <v>0</v>
      </c>
      <c r="H14" s="52">
        <f t="shared" si="3"/>
        <v>1066122.49</v>
      </c>
      <c r="I14" s="53">
        <f t="shared" si="3"/>
        <v>47134.97</v>
      </c>
      <c r="J14" s="53">
        <f t="shared" si="3"/>
        <v>17838.800000000003</v>
      </c>
      <c r="K14" s="53">
        <f t="shared" si="3"/>
        <v>1499.09</v>
      </c>
      <c r="L14" s="53">
        <f t="shared" si="3"/>
        <v>1525.8</v>
      </c>
      <c r="M14" s="53">
        <f t="shared" si="3"/>
        <v>0</v>
      </c>
      <c r="N14" s="53">
        <f t="shared" si="3"/>
        <v>376.67</v>
      </c>
      <c r="O14" s="53">
        <f t="shared" si="3"/>
        <v>4652.38</v>
      </c>
      <c r="P14" s="53">
        <f t="shared" si="3"/>
        <v>0</v>
      </c>
      <c r="Q14" s="53">
        <f t="shared" si="3"/>
        <v>2228.2399999999998</v>
      </c>
      <c r="R14" s="53">
        <f t="shared" si="3"/>
        <v>0</v>
      </c>
      <c r="S14" s="53">
        <f t="shared" si="3"/>
        <v>0</v>
      </c>
      <c r="T14" s="53">
        <f t="shared" si="3"/>
        <v>0</v>
      </c>
      <c r="U14" s="53">
        <f t="shared" si="3"/>
        <v>7500</v>
      </c>
      <c r="V14" s="53">
        <f t="shared" si="3"/>
        <v>201779.31999999998</v>
      </c>
      <c r="W14" s="53">
        <f t="shared" si="3"/>
        <v>0</v>
      </c>
      <c r="X14" s="53">
        <f t="shared" si="3"/>
        <v>16036.49</v>
      </c>
      <c r="Y14" s="53">
        <f t="shared" si="3"/>
        <v>0</v>
      </c>
      <c r="Z14" s="53">
        <f t="shared" si="3"/>
        <v>1346952.98</v>
      </c>
      <c r="AA14" s="53">
        <f t="shared" si="3"/>
        <v>19741.27</v>
      </c>
    </row>
    <row r="15" spans="1:27" x14ac:dyDescent="0.25">
      <c r="A15" s="54" t="s">
        <v>7</v>
      </c>
      <c r="B15" s="52">
        <f>B14</f>
        <v>915627.33000000007</v>
      </c>
      <c r="C15" s="52">
        <f t="shared" ref="C15:Z15" si="4">C14</f>
        <v>0</v>
      </c>
      <c r="D15" s="52">
        <f t="shared" si="4"/>
        <v>150495.15999999997</v>
      </c>
      <c r="E15" s="52">
        <f t="shared" si="4"/>
        <v>0</v>
      </c>
      <c r="F15" s="52">
        <f t="shared" si="4"/>
        <v>0</v>
      </c>
      <c r="G15" s="52">
        <f t="shared" si="4"/>
        <v>0</v>
      </c>
      <c r="H15" s="52">
        <f t="shared" si="4"/>
        <v>1066122.49</v>
      </c>
      <c r="I15" s="53">
        <f t="shared" si="4"/>
        <v>47134.97</v>
      </c>
      <c r="J15" s="53">
        <f t="shared" si="4"/>
        <v>17838.800000000003</v>
      </c>
      <c r="K15" s="53">
        <f t="shared" si="4"/>
        <v>1499.09</v>
      </c>
      <c r="L15" s="53">
        <f t="shared" si="4"/>
        <v>1525.8</v>
      </c>
      <c r="M15" s="53">
        <f t="shared" si="4"/>
        <v>0</v>
      </c>
      <c r="N15" s="53">
        <f t="shared" si="4"/>
        <v>376.67</v>
      </c>
      <c r="O15" s="53">
        <f t="shared" si="4"/>
        <v>4652.38</v>
      </c>
      <c r="P15" s="53">
        <f t="shared" si="4"/>
        <v>0</v>
      </c>
      <c r="Q15" s="53">
        <f t="shared" si="4"/>
        <v>2228.2399999999998</v>
      </c>
      <c r="R15" s="53">
        <f t="shared" si="4"/>
        <v>0</v>
      </c>
      <c r="S15" s="53">
        <f t="shared" si="4"/>
        <v>0</v>
      </c>
      <c r="T15" s="53">
        <f t="shared" si="4"/>
        <v>0</v>
      </c>
      <c r="U15" s="53">
        <f t="shared" si="4"/>
        <v>7500</v>
      </c>
      <c r="V15" s="53">
        <f t="shared" si="4"/>
        <v>201779.31999999998</v>
      </c>
      <c r="W15" s="53">
        <f t="shared" si="4"/>
        <v>0</v>
      </c>
      <c r="X15" s="53">
        <f t="shared" si="4"/>
        <v>16036.49</v>
      </c>
      <c r="Y15" s="53">
        <f t="shared" si="4"/>
        <v>0</v>
      </c>
      <c r="Z15" s="53">
        <f t="shared" si="4"/>
        <v>1346952.98</v>
      </c>
      <c r="AA15" s="53">
        <f>AA14</f>
        <v>19741.27</v>
      </c>
    </row>
    <row r="16" spans="1:27" x14ac:dyDescent="0.25">
      <c r="A16" s="54" t="s">
        <v>8</v>
      </c>
      <c r="B16" s="52">
        <f>B14</f>
        <v>915627.33000000007</v>
      </c>
      <c r="C16" s="52">
        <f t="shared" ref="C16:Z16" si="5">C14</f>
        <v>0</v>
      </c>
      <c r="D16" s="52">
        <f t="shared" si="5"/>
        <v>150495.15999999997</v>
      </c>
      <c r="E16" s="52">
        <f t="shared" si="5"/>
        <v>0</v>
      </c>
      <c r="F16" s="52">
        <f t="shared" si="5"/>
        <v>0</v>
      </c>
      <c r="G16" s="52">
        <f t="shared" si="5"/>
        <v>0</v>
      </c>
      <c r="H16" s="52">
        <f t="shared" si="5"/>
        <v>1066122.49</v>
      </c>
      <c r="I16" s="53">
        <f t="shared" si="5"/>
        <v>47134.97</v>
      </c>
      <c r="J16" s="53">
        <f t="shared" si="5"/>
        <v>17838.800000000003</v>
      </c>
      <c r="K16" s="53">
        <f t="shared" si="5"/>
        <v>1499.09</v>
      </c>
      <c r="L16" s="53">
        <f t="shared" si="5"/>
        <v>1525.8</v>
      </c>
      <c r="M16" s="53">
        <f t="shared" si="5"/>
        <v>0</v>
      </c>
      <c r="N16" s="53">
        <f t="shared" si="5"/>
        <v>376.67</v>
      </c>
      <c r="O16" s="53">
        <f t="shared" si="5"/>
        <v>4652.38</v>
      </c>
      <c r="P16" s="53">
        <f t="shared" si="5"/>
        <v>0</v>
      </c>
      <c r="Q16" s="53">
        <f t="shared" si="5"/>
        <v>2228.2399999999998</v>
      </c>
      <c r="R16" s="53">
        <f t="shared" si="5"/>
        <v>0</v>
      </c>
      <c r="S16" s="53">
        <f t="shared" si="5"/>
        <v>0</v>
      </c>
      <c r="T16" s="53">
        <f t="shared" si="5"/>
        <v>0</v>
      </c>
      <c r="U16" s="53">
        <f t="shared" si="5"/>
        <v>7500</v>
      </c>
      <c r="V16" s="53">
        <f t="shared" si="5"/>
        <v>201779.31999999998</v>
      </c>
      <c r="W16" s="53">
        <f t="shared" si="5"/>
        <v>0</v>
      </c>
      <c r="X16" s="53">
        <f t="shared" si="5"/>
        <v>16036.49</v>
      </c>
      <c r="Y16" s="53">
        <f t="shared" si="5"/>
        <v>0</v>
      </c>
      <c r="Z16" s="53">
        <f t="shared" si="5"/>
        <v>1346952.98</v>
      </c>
      <c r="AA16" s="53">
        <f>AA14</f>
        <v>19741.27</v>
      </c>
    </row>
    <row r="17" spans="1:27" x14ac:dyDescent="0.25">
      <c r="A17" s="55"/>
      <c r="B17" s="56"/>
      <c r="C17" s="56"/>
      <c r="D17" s="56"/>
      <c r="E17" s="56"/>
      <c r="F17" s="56"/>
      <c r="G17" s="56"/>
      <c r="H17" s="56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spans="1:27" x14ac:dyDescent="0.25">
      <c r="A18" s="45" t="s">
        <v>22</v>
      </c>
      <c r="B18" s="49">
        <f>462874.21-D18</f>
        <v>456984.94</v>
      </c>
      <c r="C18" s="49">
        <v>0</v>
      </c>
      <c r="D18" s="49">
        <v>5889.27</v>
      </c>
      <c r="E18" s="49">
        <v>0</v>
      </c>
      <c r="F18" s="49">
        <v>14090.64</v>
      </c>
      <c r="G18" s="49">
        <v>0</v>
      </c>
      <c r="H18" s="49">
        <f t="shared" ref="H18:H20" si="6">SUM(B18:G18)</f>
        <v>476964.85000000003</v>
      </c>
      <c r="I18" s="50">
        <v>46026.01</v>
      </c>
      <c r="J18" s="50">
        <v>22851.48</v>
      </c>
      <c r="K18" s="50">
        <v>1015.96</v>
      </c>
      <c r="L18" s="50">
        <v>1016.44</v>
      </c>
      <c r="M18" s="50">
        <v>0</v>
      </c>
      <c r="N18" s="50">
        <v>446.87</v>
      </c>
      <c r="O18" s="50">
        <v>2849.95</v>
      </c>
      <c r="P18" s="50">
        <v>0</v>
      </c>
      <c r="Q18" s="50">
        <v>1834.85</v>
      </c>
      <c r="R18" s="50">
        <v>0</v>
      </c>
      <c r="S18" s="50">
        <v>0</v>
      </c>
      <c r="T18" s="50">
        <v>0</v>
      </c>
      <c r="U18" s="50">
        <v>6250</v>
      </c>
      <c r="V18" s="50">
        <v>68930.570000000007</v>
      </c>
      <c r="W18" s="50">
        <v>0</v>
      </c>
      <c r="X18" s="50">
        <v>7859.03</v>
      </c>
      <c r="Y18" s="50">
        <v>0</v>
      </c>
      <c r="Z18" s="50">
        <f t="shared" ref="Z18:Z20" si="7">H18+I18+K18+M18+O18+Q18+S18+U18+V18+X18</f>
        <v>611731.22</v>
      </c>
      <c r="AA18" s="50">
        <f t="shared" ref="AA18:AA20" si="8">J18+L18+N18+P18+R18+T18+W18</f>
        <v>24314.789999999997</v>
      </c>
    </row>
    <row r="19" spans="1:27" x14ac:dyDescent="0.25">
      <c r="A19" s="45" t="s">
        <v>23</v>
      </c>
      <c r="B19" s="49">
        <f>1246228.4-D19</f>
        <v>1125589.93</v>
      </c>
      <c r="C19" s="49">
        <v>0</v>
      </c>
      <c r="D19" s="49">
        <v>120638.47</v>
      </c>
      <c r="E19" s="49">
        <v>0</v>
      </c>
      <c r="F19" s="49">
        <v>27884.55</v>
      </c>
      <c r="G19" s="49">
        <v>0</v>
      </c>
      <c r="H19" s="49">
        <f t="shared" si="6"/>
        <v>1274112.95</v>
      </c>
      <c r="I19" s="50">
        <v>101028.72</v>
      </c>
      <c r="J19" s="50">
        <v>38405.949999999997</v>
      </c>
      <c r="K19" s="50">
        <v>3266.52</v>
      </c>
      <c r="L19" s="50">
        <v>3268.28</v>
      </c>
      <c r="M19" s="50">
        <v>0</v>
      </c>
      <c r="N19" s="50">
        <v>853.93</v>
      </c>
      <c r="O19" s="50">
        <v>6264.62</v>
      </c>
      <c r="P19" s="50">
        <v>0</v>
      </c>
      <c r="Q19" s="50">
        <v>4755.49</v>
      </c>
      <c r="R19" s="50">
        <v>0</v>
      </c>
      <c r="S19" s="50">
        <v>0</v>
      </c>
      <c r="T19" s="50">
        <v>0</v>
      </c>
      <c r="U19" s="50">
        <v>6000</v>
      </c>
      <c r="V19" s="50">
        <v>202527.62</v>
      </c>
      <c r="W19" s="50">
        <v>0</v>
      </c>
      <c r="X19" s="50">
        <v>20838.86</v>
      </c>
      <c r="Y19" s="50">
        <v>0</v>
      </c>
      <c r="Z19" s="50">
        <f t="shared" si="7"/>
        <v>1618794.78</v>
      </c>
      <c r="AA19" s="50">
        <f t="shared" si="8"/>
        <v>42528.159999999996</v>
      </c>
    </row>
    <row r="20" spans="1:27" x14ac:dyDescent="0.25">
      <c r="A20" s="45" t="s">
        <v>24</v>
      </c>
      <c r="B20" s="56"/>
      <c r="C20" s="49">
        <v>0</v>
      </c>
      <c r="D20" s="56"/>
      <c r="E20" s="56"/>
      <c r="F20" s="56"/>
      <c r="G20" s="56"/>
      <c r="H20" s="49">
        <f t="shared" si="6"/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f t="shared" si="7"/>
        <v>0</v>
      </c>
      <c r="AA20" s="50">
        <f t="shared" si="8"/>
        <v>0</v>
      </c>
    </row>
    <row r="21" spans="1:27" x14ac:dyDescent="0.25">
      <c r="A21" s="54" t="s">
        <v>7</v>
      </c>
      <c r="B21" s="52">
        <f>SUM(B18:B20)</f>
        <v>1582574.8699999999</v>
      </c>
      <c r="C21" s="52">
        <f t="shared" ref="C21:H21" si="9">SUM(C18:C20)</f>
        <v>0</v>
      </c>
      <c r="D21" s="52">
        <f t="shared" si="9"/>
        <v>126527.74</v>
      </c>
      <c r="E21" s="52">
        <f t="shared" si="9"/>
        <v>0</v>
      </c>
      <c r="F21" s="52">
        <f t="shared" si="9"/>
        <v>41975.19</v>
      </c>
      <c r="G21" s="52">
        <f t="shared" si="9"/>
        <v>0</v>
      </c>
      <c r="H21" s="52">
        <f t="shared" si="9"/>
        <v>1751077.8</v>
      </c>
      <c r="I21" s="53">
        <f>SUM(I18:I20)</f>
        <v>147054.73000000001</v>
      </c>
      <c r="J21" s="53">
        <f t="shared" ref="J21:AA21" si="10">SUM(J18:J20)</f>
        <v>61257.429999999993</v>
      </c>
      <c r="K21" s="53">
        <f t="shared" si="10"/>
        <v>4282.4799999999996</v>
      </c>
      <c r="L21" s="53">
        <f t="shared" si="10"/>
        <v>4284.72</v>
      </c>
      <c r="M21" s="53">
        <f t="shared" si="10"/>
        <v>0</v>
      </c>
      <c r="N21" s="53">
        <f t="shared" si="10"/>
        <v>1300.8</v>
      </c>
      <c r="O21" s="53">
        <f t="shared" si="10"/>
        <v>9114.57</v>
      </c>
      <c r="P21" s="53">
        <f t="shared" si="10"/>
        <v>0</v>
      </c>
      <c r="Q21" s="53">
        <f t="shared" si="10"/>
        <v>6590.34</v>
      </c>
      <c r="R21" s="53">
        <f t="shared" si="10"/>
        <v>0</v>
      </c>
      <c r="S21" s="53">
        <f t="shared" si="10"/>
        <v>0</v>
      </c>
      <c r="T21" s="53">
        <f t="shared" si="10"/>
        <v>0</v>
      </c>
      <c r="U21" s="53">
        <f t="shared" si="10"/>
        <v>12250</v>
      </c>
      <c r="V21" s="53">
        <f t="shared" si="10"/>
        <v>271458.19</v>
      </c>
      <c r="W21" s="53">
        <f t="shared" si="10"/>
        <v>0</v>
      </c>
      <c r="X21" s="53">
        <f t="shared" si="10"/>
        <v>28697.89</v>
      </c>
      <c r="Y21" s="53">
        <f t="shared" si="10"/>
        <v>0</v>
      </c>
      <c r="Z21" s="53">
        <f t="shared" si="10"/>
        <v>2230526</v>
      </c>
      <c r="AA21" s="53">
        <f t="shared" si="10"/>
        <v>66842.95</v>
      </c>
    </row>
    <row r="22" spans="1:27" x14ac:dyDescent="0.25">
      <c r="A22" s="54" t="s">
        <v>8</v>
      </c>
      <c r="B22" s="52">
        <f>B21</f>
        <v>1582574.8699999999</v>
      </c>
      <c r="C22" s="52">
        <f t="shared" ref="C22:AA22" si="11">C21</f>
        <v>0</v>
      </c>
      <c r="D22" s="52">
        <f t="shared" si="11"/>
        <v>126527.74</v>
      </c>
      <c r="E22" s="52">
        <f t="shared" si="11"/>
        <v>0</v>
      </c>
      <c r="F22" s="52">
        <f t="shared" si="11"/>
        <v>41975.19</v>
      </c>
      <c r="G22" s="52">
        <f t="shared" si="11"/>
        <v>0</v>
      </c>
      <c r="H22" s="52">
        <f t="shared" si="11"/>
        <v>1751077.8</v>
      </c>
      <c r="I22" s="53">
        <f t="shared" si="11"/>
        <v>147054.73000000001</v>
      </c>
      <c r="J22" s="53">
        <f t="shared" si="11"/>
        <v>61257.429999999993</v>
      </c>
      <c r="K22" s="53">
        <f t="shared" si="11"/>
        <v>4282.4799999999996</v>
      </c>
      <c r="L22" s="53">
        <f t="shared" si="11"/>
        <v>4284.72</v>
      </c>
      <c r="M22" s="53">
        <f t="shared" si="11"/>
        <v>0</v>
      </c>
      <c r="N22" s="53">
        <f t="shared" si="11"/>
        <v>1300.8</v>
      </c>
      <c r="O22" s="53">
        <f t="shared" si="11"/>
        <v>9114.57</v>
      </c>
      <c r="P22" s="53">
        <f t="shared" si="11"/>
        <v>0</v>
      </c>
      <c r="Q22" s="53">
        <f t="shared" si="11"/>
        <v>6590.34</v>
      </c>
      <c r="R22" s="53">
        <f t="shared" si="11"/>
        <v>0</v>
      </c>
      <c r="S22" s="53">
        <f t="shared" si="11"/>
        <v>0</v>
      </c>
      <c r="T22" s="53">
        <f t="shared" si="11"/>
        <v>0</v>
      </c>
      <c r="U22" s="53">
        <f t="shared" si="11"/>
        <v>12250</v>
      </c>
      <c r="V22" s="53">
        <f t="shared" si="11"/>
        <v>271458.19</v>
      </c>
      <c r="W22" s="53">
        <f t="shared" si="11"/>
        <v>0</v>
      </c>
      <c r="X22" s="53">
        <f t="shared" si="11"/>
        <v>28697.89</v>
      </c>
      <c r="Y22" s="53">
        <f t="shared" si="11"/>
        <v>0</v>
      </c>
      <c r="Z22" s="53">
        <f t="shared" si="11"/>
        <v>2230526</v>
      </c>
      <c r="AA22" s="53">
        <f t="shared" si="11"/>
        <v>66842.95</v>
      </c>
    </row>
    <row r="23" spans="1:27" x14ac:dyDescent="0.25">
      <c r="A23" s="55"/>
      <c r="B23" s="56"/>
      <c r="C23" s="56"/>
      <c r="D23" s="56"/>
      <c r="E23" s="56"/>
      <c r="F23" s="56"/>
      <c r="G23" s="56"/>
      <c r="H23" s="56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spans="1:27" x14ac:dyDescent="0.25">
      <c r="A24" s="45" t="s">
        <v>35</v>
      </c>
      <c r="B24" s="49">
        <f>B15+B21</f>
        <v>2498202.2000000002</v>
      </c>
      <c r="C24" s="49">
        <f t="shared" ref="C24:AA24" si="12">C15+C21</f>
        <v>0</v>
      </c>
      <c r="D24" s="49">
        <f t="shared" si="12"/>
        <v>277022.89999999997</v>
      </c>
      <c r="E24" s="49">
        <f t="shared" si="12"/>
        <v>0</v>
      </c>
      <c r="F24" s="49">
        <f t="shared" si="12"/>
        <v>41975.19</v>
      </c>
      <c r="G24" s="49">
        <f t="shared" si="12"/>
        <v>0</v>
      </c>
      <c r="H24" s="49">
        <f t="shared" si="12"/>
        <v>2817200.29</v>
      </c>
      <c r="I24" s="46">
        <f t="shared" si="12"/>
        <v>194189.7</v>
      </c>
      <c r="J24" s="46">
        <f t="shared" si="12"/>
        <v>79096.23</v>
      </c>
      <c r="K24" s="46">
        <f t="shared" si="12"/>
        <v>5781.57</v>
      </c>
      <c r="L24" s="46">
        <f t="shared" si="12"/>
        <v>5810.52</v>
      </c>
      <c r="M24" s="46">
        <f t="shared" si="12"/>
        <v>0</v>
      </c>
      <c r="N24" s="46">
        <f t="shared" si="12"/>
        <v>1677.47</v>
      </c>
      <c r="O24" s="46">
        <f t="shared" si="12"/>
        <v>13766.95</v>
      </c>
      <c r="P24" s="46">
        <f t="shared" si="12"/>
        <v>0</v>
      </c>
      <c r="Q24" s="46">
        <f t="shared" si="12"/>
        <v>8818.58</v>
      </c>
      <c r="R24" s="46">
        <f t="shared" si="12"/>
        <v>0</v>
      </c>
      <c r="S24" s="46">
        <f t="shared" si="12"/>
        <v>0</v>
      </c>
      <c r="T24" s="46">
        <f t="shared" si="12"/>
        <v>0</v>
      </c>
      <c r="U24" s="46">
        <f t="shared" si="12"/>
        <v>19750</v>
      </c>
      <c r="V24" s="46">
        <f t="shared" si="12"/>
        <v>473237.51</v>
      </c>
      <c r="W24" s="46">
        <f t="shared" si="12"/>
        <v>0</v>
      </c>
      <c r="X24" s="46">
        <f t="shared" si="12"/>
        <v>44734.38</v>
      </c>
      <c r="Y24" s="46">
        <f t="shared" si="12"/>
        <v>0</v>
      </c>
      <c r="Z24" s="46">
        <f>Z15+Z21</f>
        <v>3577478.98</v>
      </c>
      <c r="AA24" s="46">
        <f t="shared" si="12"/>
        <v>86584.22</v>
      </c>
    </row>
    <row r="25" spans="1:27" x14ac:dyDescent="0.25">
      <c r="A25" s="45"/>
      <c r="B25" s="56"/>
      <c r="C25" s="56"/>
      <c r="D25" s="56"/>
      <c r="E25" s="56"/>
      <c r="F25" s="56"/>
      <c r="G25" s="56"/>
      <c r="H25" s="56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1:27" x14ac:dyDescent="0.25">
      <c r="A26" s="45" t="s">
        <v>34</v>
      </c>
      <c r="B26" s="49">
        <f>379214.18-D26</f>
        <v>352653.01</v>
      </c>
      <c r="C26" s="49">
        <v>89219.199999999997</v>
      </c>
      <c r="D26" s="49">
        <v>26561.17</v>
      </c>
      <c r="E26" s="49">
        <v>0</v>
      </c>
      <c r="F26" s="49">
        <v>0</v>
      </c>
      <c r="G26" s="49">
        <v>0</v>
      </c>
      <c r="H26" s="49">
        <f>SUM(B26:G26)</f>
        <v>468433.38</v>
      </c>
      <c r="I26" s="50">
        <v>24018.560000000001</v>
      </c>
      <c r="J26" s="50">
        <v>7474.39</v>
      </c>
      <c r="K26" s="50">
        <v>909.76</v>
      </c>
      <c r="L26" s="50">
        <v>910.36</v>
      </c>
      <c r="M26" s="50">
        <v>0</v>
      </c>
      <c r="N26" s="50">
        <v>296.83</v>
      </c>
      <c r="O26" s="50">
        <v>2119.4299999999998</v>
      </c>
      <c r="P26" s="50">
        <v>0</v>
      </c>
      <c r="Q26" s="50">
        <v>1641.04</v>
      </c>
      <c r="R26" s="50">
        <v>0</v>
      </c>
      <c r="S26" s="50">
        <v>0</v>
      </c>
      <c r="T26" s="50">
        <v>0</v>
      </c>
      <c r="U26" s="50">
        <v>4500</v>
      </c>
      <c r="V26" s="50">
        <v>65695.240000000005</v>
      </c>
      <c r="W26" s="50">
        <v>0</v>
      </c>
      <c r="X26" s="50">
        <v>7260.19</v>
      </c>
      <c r="Y26" s="50">
        <v>0</v>
      </c>
      <c r="Z26" s="50">
        <f t="shared" ref="Z26:Z28" si="13">H26+I26+K26+M26+O26+Q26+S26+U26+V26+X26</f>
        <v>574577.6</v>
      </c>
      <c r="AA26" s="50">
        <f t="shared" ref="AA26:AA27" si="14">J26+L26+N26+P26+R26+T26+W26</f>
        <v>8681.58</v>
      </c>
    </row>
    <row r="27" spans="1:27" ht="15.75" customHeight="1" x14ac:dyDescent="0.25">
      <c r="A27" s="45" t="s">
        <v>21</v>
      </c>
      <c r="B27" s="49">
        <f>444421.04-D27</f>
        <v>441396.33999999997</v>
      </c>
      <c r="C27" s="49">
        <v>8522.6</v>
      </c>
      <c r="D27" s="49">
        <v>3024.7</v>
      </c>
      <c r="E27" s="49">
        <v>0</v>
      </c>
      <c r="F27" s="49">
        <v>0</v>
      </c>
      <c r="G27" s="49">
        <v>0</v>
      </c>
      <c r="H27" s="49">
        <f>SUM(B27:G27)</f>
        <v>452943.63999999996</v>
      </c>
      <c r="I27" s="50">
        <v>60393.15</v>
      </c>
      <c r="J27" s="50">
        <v>22884.400000000001</v>
      </c>
      <c r="K27" s="50">
        <v>1775.43</v>
      </c>
      <c r="L27" s="50">
        <v>1776.72</v>
      </c>
      <c r="M27" s="50"/>
      <c r="N27" s="50">
        <v>519.70000000000005</v>
      </c>
      <c r="O27" s="50">
        <v>2585.98</v>
      </c>
      <c r="P27" s="50">
        <v>0</v>
      </c>
      <c r="Q27" s="50">
        <v>2002.27</v>
      </c>
      <c r="R27" s="50">
        <v>0</v>
      </c>
      <c r="S27" s="50">
        <v>0</v>
      </c>
      <c r="T27" s="50">
        <v>0</v>
      </c>
      <c r="U27" s="50">
        <v>10500</v>
      </c>
      <c r="V27" s="50">
        <v>125642.81</v>
      </c>
      <c r="W27" s="50">
        <v>0</v>
      </c>
      <c r="X27" s="50">
        <v>8840.3799999999992</v>
      </c>
      <c r="Y27" s="50">
        <v>0</v>
      </c>
      <c r="Z27" s="50">
        <f t="shared" si="13"/>
        <v>664683.66</v>
      </c>
      <c r="AA27" s="50">
        <f t="shared" si="14"/>
        <v>25180.820000000003</v>
      </c>
    </row>
    <row r="28" spans="1:27" x14ac:dyDescent="0.25">
      <c r="A28" s="45" t="s">
        <v>37</v>
      </c>
      <c r="B28" s="49">
        <v>7283870.5700000003</v>
      </c>
      <c r="C28" s="49">
        <v>1645646.91</v>
      </c>
      <c r="D28" s="49">
        <v>0</v>
      </c>
      <c r="E28" s="49">
        <v>0</v>
      </c>
      <c r="F28" s="49">
        <v>0</v>
      </c>
      <c r="G28" s="49">
        <v>0</v>
      </c>
      <c r="H28" s="49">
        <f>SUM(B28:G28)</f>
        <v>8929517.4800000004</v>
      </c>
      <c r="I28" s="50">
        <v>1070796.48</v>
      </c>
      <c r="J28" s="50">
        <v>445360.74</v>
      </c>
      <c r="K28" s="50">
        <v>31996.31</v>
      </c>
      <c r="L28" s="50">
        <v>31480.18</v>
      </c>
      <c r="M28" s="50">
        <v>0</v>
      </c>
      <c r="N28" s="50">
        <v>9360.18</v>
      </c>
      <c r="O28" s="50">
        <v>41253.17</v>
      </c>
      <c r="P28" s="50">
        <v>0</v>
      </c>
      <c r="Q28" s="50">
        <v>32053.79</v>
      </c>
      <c r="R28" s="50">
        <v>0</v>
      </c>
      <c r="S28" s="50">
        <v>0</v>
      </c>
      <c r="T28" s="50">
        <v>0</v>
      </c>
      <c r="U28" s="50">
        <v>70125</v>
      </c>
      <c r="V28" s="50">
        <v>1706374.42</v>
      </c>
      <c r="W28" s="50">
        <v>0</v>
      </c>
      <c r="X28" s="50">
        <v>121728.08</v>
      </c>
      <c r="Y28" s="50"/>
      <c r="Z28" s="50">
        <f t="shared" si="13"/>
        <v>12003844.73</v>
      </c>
      <c r="AA28" s="50">
        <f>J28+L28+N28+P28+W28</f>
        <v>486201.1</v>
      </c>
    </row>
    <row r="29" spans="1:27" x14ac:dyDescent="0.25">
      <c r="A29" s="54" t="s">
        <v>7</v>
      </c>
      <c r="B29" s="52">
        <f>SUM(B26:B28)</f>
        <v>8077919.9199999999</v>
      </c>
      <c r="C29" s="52">
        <f t="shared" ref="C29:Y29" si="15">SUM(C26:C28)</f>
        <v>1743388.71</v>
      </c>
      <c r="D29" s="52">
        <f t="shared" si="15"/>
        <v>29585.87</v>
      </c>
      <c r="E29" s="52">
        <f t="shared" si="15"/>
        <v>0</v>
      </c>
      <c r="F29" s="52">
        <f t="shared" si="15"/>
        <v>0</v>
      </c>
      <c r="G29" s="52">
        <f t="shared" si="15"/>
        <v>0</v>
      </c>
      <c r="H29" s="52">
        <f t="shared" si="15"/>
        <v>9850894.5</v>
      </c>
      <c r="I29" s="53">
        <f t="shared" si="15"/>
        <v>1155208.19</v>
      </c>
      <c r="J29" s="53">
        <f t="shared" si="15"/>
        <v>475719.52999999997</v>
      </c>
      <c r="K29" s="53">
        <f t="shared" si="15"/>
        <v>34681.5</v>
      </c>
      <c r="L29" s="53">
        <f t="shared" si="15"/>
        <v>34167.26</v>
      </c>
      <c r="M29" s="53">
        <f t="shared" si="15"/>
        <v>0</v>
      </c>
      <c r="N29" s="53">
        <f t="shared" si="15"/>
        <v>10176.710000000001</v>
      </c>
      <c r="O29" s="53">
        <f t="shared" si="15"/>
        <v>45958.58</v>
      </c>
      <c r="P29" s="53">
        <f t="shared" si="15"/>
        <v>0</v>
      </c>
      <c r="Q29" s="53">
        <f t="shared" si="15"/>
        <v>35697.1</v>
      </c>
      <c r="R29" s="53">
        <f t="shared" si="15"/>
        <v>0</v>
      </c>
      <c r="S29" s="53">
        <f t="shared" si="15"/>
        <v>0</v>
      </c>
      <c r="T29" s="53">
        <f t="shared" si="15"/>
        <v>0</v>
      </c>
      <c r="U29" s="53">
        <f t="shared" si="15"/>
        <v>85125</v>
      </c>
      <c r="V29" s="53">
        <f t="shared" si="15"/>
        <v>1897712.47</v>
      </c>
      <c r="W29" s="53">
        <f t="shared" si="15"/>
        <v>0</v>
      </c>
      <c r="X29" s="53">
        <f t="shared" si="15"/>
        <v>137828.65</v>
      </c>
      <c r="Y29" s="53">
        <f t="shared" si="15"/>
        <v>0</v>
      </c>
      <c r="Z29" s="53">
        <f>SUM(Z26:Z28)</f>
        <v>13243105.99</v>
      </c>
      <c r="AA29" s="53">
        <f>SUM(AA26:AA28)</f>
        <v>520063.5</v>
      </c>
    </row>
    <row r="30" spans="1:27" x14ac:dyDescent="0.25">
      <c r="A30" s="54" t="s">
        <v>8</v>
      </c>
      <c r="B30" s="52">
        <f>B29</f>
        <v>8077919.9199999999</v>
      </c>
      <c r="C30" s="52">
        <f t="shared" ref="C30:AA30" si="16">C29</f>
        <v>1743388.71</v>
      </c>
      <c r="D30" s="52">
        <f t="shared" si="16"/>
        <v>29585.87</v>
      </c>
      <c r="E30" s="52">
        <f t="shared" si="16"/>
        <v>0</v>
      </c>
      <c r="F30" s="52">
        <f t="shared" si="16"/>
        <v>0</v>
      </c>
      <c r="G30" s="52">
        <f t="shared" si="16"/>
        <v>0</v>
      </c>
      <c r="H30" s="52">
        <f t="shared" si="16"/>
        <v>9850894.5</v>
      </c>
      <c r="I30" s="53">
        <f t="shared" si="16"/>
        <v>1155208.19</v>
      </c>
      <c r="J30" s="53">
        <f t="shared" si="16"/>
        <v>475719.52999999997</v>
      </c>
      <c r="K30" s="53">
        <f t="shared" si="16"/>
        <v>34681.5</v>
      </c>
      <c r="L30" s="53">
        <f t="shared" si="16"/>
        <v>34167.26</v>
      </c>
      <c r="M30" s="53">
        <f t="shared" si="16"/>
        <v>0</v>
      </c>
      <c r="N30" s="53">
        <f t="shared" si="16"/>
        <v>10176.710000000001</v>
      </c>
      <c r="O30" s="53">
        <f t="shared" si="16"/>
        <v>45958.58</v>
      </c>
      <c r="P30" s="53">
        <f t="shared" si="16"/>
        <v>0</v>
      </c>
      <c r="Q30" s="53">
        <f t="shared" si="16"/>
        <v>35697.1</v>
      </c>
      <c r="R30" s="53">
        <f t="shared" si="16"/>
        <v>0</v>
      </c>
      <c r="S30" s="53">
        <f t="shared" si="16"/>
        <v>0</v>
      </c>
      <c r="T30" s="53">
        <f t="shared" si="16"/>
        <v>0</v>
      </c>
      <c r="U30" s="53">
        <f t="shared" si="16"/>
        <v>85125</v>
      </c>
      <c r="V30" s="53">
        <f t="shared" si="16"/>
        <v>1897712.47</v>
      </c>
      <c r="W30" s="53">
        <f t="shared" si="16"/>
        <v>0</v>
      </c>
      <c r="X30" s="53">
        <f t="shared" si="16"/>
        <v>137828.65</v>
      </c>
      <c r="Y30" s="53">
        <f t="shared" si="16"/>
        <v>0</v>
      </c>
      <c r="Z30" s="53">
        <f t="shared" si="16"/>
        <v>13243105.99</v>
      </c>
      <c r="AA30" s="53">
        <f t="shared" si="16"/>
        <v>520063.5</v>
      </c>
    </row>
    <row r="31" spans="1:27" x14ac:dyDescent="0.25">
      <c r="A31" s="55"/>
      <c r="B31" s="49"/>
      <c r="C31" s="49"/>
      <c r="D31" s="49"/>
      <c r="E31" s="49"/>
      <c r="F31" s="49"/>
      <c r="G31" s="49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1:27" x14ac:dyDescent="0.25">
      <c r="A32" s="57" t="s">
        <v>36</v>
      </c>
      <c r="B32" s="49">
        <f>B29</f>
        <v>8077919.9199999999</v>
      </c>
      <c r="C32" s="49">
        <f t="shared" ref="C32:AA32" si="17">C29</f>
        <v>1743388.71</v>
      </c>
      <c r="D32" s="49">
        <f t="shared" si="17"/>
        <v>29585.87</v>
      </c>
      <c r="E32" s="49">
        <f t="shared" si="17"/>
        <v>0</v>
      </c>
      <c r="F32" s="49">
        <f t="shared" si="17"/>
        <v>0</v>
      </c>
      <c r="G32" s="49">
        <f t="shared" si="17"/>
        <v>0</v>
      </c>
      <c r="H32" s="49">
        <f t="shared" si="17"/>
        <v>9850894.5</v>
      </c>
      <c r="I32" s="46">
        <f t="shared" si="17"/>
        <v>1155208.19</v>
      </c>
      <c r="J32" s="46">
        <f t="shared" si="17"/>
        <v>475719.52999999997</v>
      </c>
      <c r="K32" s="46">
        <f t="shared" si="17"/>
        <v>34681.5</v>
      </c>
      <c r="L32" s="46">
        <f t="shared" si="17"/>
        <v>34167.26</v>
      </c>
      <c r="M32" s="46">
        <f t="shared" si="17"/>
        <v>0</v>
      </c>
      <c r="N32" s="46">
        <f t="shared" si="17"/>
        <v>10176.710000000001</v>
      </c>
      <c r="O32" s="46">
        <f t="shared" si="17"/>
        <v>45958.58</v>
      </c>
      <c r="P32" s="46">
        <f t="shared" si="17"/>
        <v>0</v>
      </c>
      <c r="Q32" s="46">
        <f t="shared" si="17"/>
        <v>35697.1</v>
      </c>
      <c r="R32" s="46">
        <f t="shared" si="17"/>
        <v>0</v>
      </c>
      <c r="S32" s="46">
        <f t="shared" si="17"/>
        <v>0</v>
      </c>
      <c r="T32" s="46">
        <f t="shared" si="17"/>
        <v>0</v>
      </c>
      <c r="U32" s="46">
        <f t="shared" si="17"/>
        <v>85125</v>
      </c>
      <c r="V32" s="46">
        <f t="shared" si="17"/>
        <v>1897712.47</v>
      </c>
      <c r="W32" s="46">
        <f t="shared" si="17"/>
        <v>0</v>
      </c>
      <c r="X32" s="46">
        <f t="shared" si="17"/>
        <v>137828.65</v>
      </c>
      <c r="Y32" s="46">
        <f t="shared" si="17"/>
        <v>0</v>
      </c>
      <c r="Z32" s="46">
        <f>Z29</f>
        <v>13243105.99</v>
      </c>
      <c r="AA32" s="46">
        <f t="shared" si="17"/>
        <v>520063.5</v>
      </c>
    </row>
    <row r="33" spans="1:27" x14ac:dyDescent="0.25">
      <c r="A33" s="55"/>
      <c r="B33" s="49"/>
      <c r="C33" s="49"/>
      <c r="D33" s="49"/>
      <c r="E33" s="49"/>
      <c r="F33" s="49"/>
      <c r="G33" s="49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27" x14ac:dyDescent="0.25">
      <c r="A34" s="45" t="s">
        <v>10</v>
      </c>
      <c r="B34" s="49"/>
      <c r="C34" s="49"/>
      <c r="D34" s="49"/>
      <c r="E34" s="49"/>
      <c r="F34" s="49"/>
      <c r="G34" s="49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:27" x14ac:dyDescent="0.25">
      <c r="A35" s="54" t="s">
        <v>11</v>
      </c>
      <c r="B35" s="52">
        <f>B24+B32</f>
        <v>10576122.120000001</v>
      </c>
      <c r="C35" s="52">
        <f t="shared" ref="C35:AA35" si="18">C24+C32</f>
        <v>1743388.71</v>
      </c>
      <c r="D35" s="52">
        <f t="shared" si="18"/>
        <v>306608.76999999996</v>
      </c>
      <c r="E35" s="52">
        <f t="shared" si="18"/>
        <v>0</v>
      </c>
      <c r="F35" s="52">
        <f t="shared" si="18"/>
        <v>41975.19</v>
      </c>
      <c r="G35" s="52">
        <f t="shared" si="18"/>
        <v>0</v>
      </c>
      <c r="H35" s="52">
        <f t="shared" si="18"/>
        <v>12668094.789999999</v>
      </c>
      <c r="I35" s="53">
        <f t="shared" si="18"/>
        <v>1349397.89</v>
      </c>
      <c r="J35" s="53">
        <f t="shared" si="18"/>
        <v>554815.76</v>
      </c>
      <c r="K35" s="53">
        <f t="shared" si="18"/>
        <v>40463.07</v>
      </c>
      <c r="L35" s="53">
        <f t="shared" si="18"/>
        <v>39977.78</v>
      </c>
      <c r="M35" s="53">
        <f t="shared" si="18"/>
        <v>0</v>
      </c>
      <c r="N35" s="53">
        <f t="shared" si="18"/>
        <v>11854.18</v>
      </c>
      <c r="O35" s="53">
        <f t="shared" si="18"/>
        <v>59725.53</v>
      </c>
      <c r="P35" s="53">
        <f t="shared" si="18"/>
        <v>0</v>
      </c>
      <c r="Q35" s="53">
        <f t="shared" si="18"/>
        <v>44515.68</v>
      </c>
      <c r="R35" s="53">
        <f t="shared" si="18"/>
        <v>0</v>
      </c>
      <c r="S35" s="53">
        <f t="shared" si="18"/>
        <v>0</v>
      </c>
      <c r="T35" s="53">
        <f>T24+T32</f>
        <v>0</v>
      </c>
      <c r="U35" s="53">
        <f t="shared" si="18"/>
        <v>104875</v>
      </c>
      <c r="V35" s="53">
        <f t="shared" si="18"/>
        <v>2370949.98</v>
      </c>
      <c r="W35" s="53">
        <f t="shared" si="18"/>
        <v>0</v>
      </c>
      <c r="X35" s="53">
        <f t="shared" si="18"/>
        <v>182563.03</v>
      </c>
      <c r="Y35" s="53">
        <f t="shared" si="18"/>
        <v>0</v>
      </c>
      <c r="Z35" s="53">
        <f>Z24+Z32</f>
        <v>16820584.969999999</v>
      </c>
      <c r="AA35" s="53">
        <f t="shared" si="18"/>
        <v>606647.72</v>
      </c>
    </row>
    <row r="36" spans="1:27" x14ac:dyDescent="0.25">
      <c r="A36" s="54" t="s">
        <v>8</v>
      </c>
      <c r="B36" s="52">
        <f>B35</f>
        <v>10576122.120000001</v>
      </c>
      <c r="C36" s="52">
        <f t="shared" ref="C36:AA36" si="19">C35</f>
        <v>1743388.71</v>
      </c>
      <c r="D36" s="52">
        <f t="shared" si="19"/>
        <v>306608.76999999996</v>
      </c>
      <c r="E36" s="52">
        <f t="shared" si="19"/>
        <v>0</v>
      </c>
      <c r="F36" s="52">
        <f t="shared" si="19"/>
        <v>41975.19</v>
      </c>
      <c r="G36" s="52">
        <f t="shared" si="19"/>
        <v>0</v>
      </c>
      <c r="H36" s="52">
        <f t="shared" si="19"/>
        <v>12668094.789999999</v>
      </c>
      <c r="I36" s="53">
        <f t="shared" si="19"/>
        <v>1349397.89</v>
      </c>
      <c r="J36" s="53">
        <f t="shared" si="19"/>
        <v>554815.76</v>
      </c>
      <c r="K36" s="53">
        <f t="shared" si="19"/>
        <v>40463.07</v>
      </c>
      <c r="L36" s="53">
        <f t="shared" si="19"/>
        <v>39977.78</v>
      </c>
      <c r="M36" s="53">
        <f t="shared" si="19"/>
        <v>0</v>
      </c>
      <c r="N36" s="53">
        <f t="shared" si="19"/>
        <v>11854.18</v>
      </c>
      <c r="O36" s="53">
        <f t="shared" si="19"/>
        <v>59725.53</v>
      </c>
      <c r="P36" s="53">
        <f t="shared" si="19"/>
        <v>0</v>
      </c>
      <c r="Q36" s="53">
        <f t="shared" si="19"/>
        <v>44515.68</v>
      </c>
      <c r="R36" s="53">
        <f t="shared" si="19"/>
        <v>0</v>
      </c>
      <c r="S36" s="53">
        <f t="shared" si="19"/>
        <v>0</v>
      </c>
      <c r="T36" s="53">
        <f t="shared" si="19"/>
        <v>0</v>
      </c>
      <c r="U36" s="53">
        <f t="shared" si="19"/>
        <v>104875</v>
      </c>
      <c r="V36" s="53">
        <f t="shared" si="19"/>
        <v>2370949.98</v>
      </c>
      <c r="W36" s="53">
        <f t="shared" si="19"/>
        <v>0</v>
      </c>
      <c r="X36" s="53">
        <f t="shared" si="19"/>
        <v>182563.03</v>
      </c>
      <c r="Y36" s="53">
        <f t="shared" si="19"/>
        <v>0</v>
      </c>
      <c r="Z36" s="53">
        <f t="shared" si="19"/>
        <v>16820584.969999999</v>
      </c>
      <c r="AA36" s="53">
        <f t="shared" si="19"/>
        <v>606647.72</v>
      </c>
    </row>
    <row r="37" spans="1:27" ht="18" x14ac:dyDescent="0.25">
      <c r="A37" s="1"/>
    </row>
    <row r="38" spans="1:27" x14ac:dyDescent="0.25">
      <c r="A38" s="2" t="s">
        <v>26</v>
      </c>
    </row>
    <row r="39" spans="1:27" x14ac:dyDescent="0.25">
      <c r="A39" s="2" t="s">
        <v>27</v>
      </c>
    </row>
    <row r="40" spans="1:27" x14ac:dyDescent="0.25">
      <c r="A40" s="2" t="s">
        <v>12</v>
      </c>
    </row>
    <row r="41" spans="1:27" x14ac:dyDescent="0.25">
      <c r="A41" s="2" t="s">
        <v>28</v>
      </c>
    </row>
  </sheetData>
  <mergeCells count="8">
    <mergeCell ref="Z6:AA6"/>
    <mergeCell ref="I6:J6"/>
    <mergeCell ref="K6:L6"/>
    <mergeCell ref="M6:N6"/>
    <mergeCell ref="O6:P6"/>
    <mergeCell ref="Q6:R6"/>
    <mergeCell ref="S6:T6"/>
    <mergeCell ref="V6:W6"/>
  </mergeCells>
  <pageMargins left="0" right="0" top="0" bottom="0" header="0.3" footer="0.3"/>
  <pageSetup paperSize="5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B238-985F-4CF1-BC07-4DB35F9E9B55}">
  <sheetPr>
    <pageSetUpPr fitToPage="1"/>
  </sheetPr>
  <dimension ref="A1:AA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1.42578125" customWidth="1"/>
    <col min="2" max="7" width="18.7109375" customWidth="1"/>
    <col min="8" max="8" width="15.42578125" bestFit="1" customWidth="1"/>
    <col min="9" max="21" width="14.28515625" bestFit="1" customWidth="1"/>
    <col min="22" max="22" width="15.42578125" bestFit="1" customWidth="1"/>
    <col min="23" max="25" width="14.28515625" bestFit="1" customWidth="1"/>
    <col min="26" max="26" width="15.42578125" bestFit="1" customWidth="1"/>
    <col min="27" max="27" width="12.42578125" bestFit="1" customWidth="1"/>
  </cols>
  <sheetData>
    <row r="1" spans="1:27" s="5" customFormat="1" x14ac:dyDescent="0.25">
      <c r="A1" s="35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37" t="s">
        <v>0</v>
      </c>
    </row>
    <row r="2" spans="1:27" s="5" customFormat="1" x14ac:dyDescent="0.25">
      <c r="A2" s="11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27" s="5" customFormat="1" x14ac:dyDescent="0.25">
      <c r="A3" s="11" t="s">
        <v>53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1:27" s="5" customFormat="1" x14ac:dyDescent="0.25">
      <c r="A4" s="11" t="s">
        <v>50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</row>
    <row r="5" spans="1:27" s="5" customFormat="1" x14ac:dyDescent="0.25">
      <c r="A5" s="3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</row>
    <row r="6" spans="1:27" s="3" customFormat="1" ht="45.75" customHeight="1" x14ac:dyDescent="0.2">
      <c r="A6" s="38"/>
      <c r="B6" s="38" t="s">
        <v>38</v>
      </c>
      <c r="C6" s="38" t="s">
        <v>38</v>
      </c>
      <c r="D6" s="38" t="s">
        <v>38</v>
      </c>
      <c r="E6" s="38" t="s">
        <v>38</v>
      </c>
      <c r="F6" s="38" t="s">
        <v>38</v>
      </c>
      <c r="G6" s="38" t="s">
        <v>38</v>
      </c>
      <c r="H6" s="38" t="s">
        <v>13</v>
      </c>
      <c r="I6" s="39" t="s">
        <v>39</v>
      </c>
      <c r="J6" s="39"/>
      <c r="K6" s="39" t="s">
        <v>40</v>
      </c>
      <c r="L6" s="39"/>
      <c r="M6" s="39" t="s">
        <v>41</v>
      </c>
      <c r="N6" s="39"/>
      <c r="O6" s="39" t="s">
        <v>42</v>
      </c>
      <c r="P6" s="39"/>
      <c r="Q6" s="39" t="s">
        <v>43</v>
      </c>
      <c r="R6" s="39"/>
      <c r="S6" s="39" t="s">
        <v>44</v>
      </c>
      <c r="T6" s="39"/>
      <c r="U6" s="38" t="s">
        <v>45</v>
      </c>
      <c r="V6" s="39" t="s">
        <v>46</v>
      </c>
      <c r="W6" s="39"/>
      <c r="X6" s="38" t="s">
        <v>2</v>
      </c>
      <c r="Y6" s="38" t="s">
        <v>47</v>
      </c>
      <c r="Z6" s="39" t="s">
        <v>3</v>
      </c>
      <c r="AA6" s="39"/>
    </row>
    <row r="7" spans="1:27" s="4" customFormat="1" ht="12" x14ac:dyDescent="0.2">
      <c r="A7" s="40" t="s">
        <v>1</v>
      </c>
      <c r="B7" s="41" t="s">
        <v>20</v>
      </c>
      <c r="C7" s="41" t="s">
        <v>15</v>
      </c>
      <c r="D7" s="41" t="s">
        <v>16</v>
      </c>
      <c r="E7" s="41" t="s">
        <v>17</v>
      </c>
      <c r="F7" s="41" t="s">
        <v>18</v>
      </c>
      <c r="G7" s="41" t="s">
        <v>19</v>
      </c>
      <c r="H7" s="42"/>
      <c r="I7" s="40" t="s">
        <v>4</v>
      </c>
      <c r="J7" s="43" t="s">
        <v>5</v>
      </c>
      <c r="K7" s="40" t="s">
        <v>4</v>
      </c>
      <c r="L7" s="43" t="s">
        <v>5</v>
      </c>
      <c r="M7" s="40" t="s">
        <v>4</v>
      </c>
      <c r="N7" s="43" t="s">
        <v>5</v>
      </c>
      <c r="O7" s="40" t="s">
        <v>4</v>
      </c>
      <c r="P7" s="43" t="s">
        <v>5</v>
      </c>
      <c r="Q7" s="40" t="s">
        <v>4</v>
      </c>
      <c r="R7" s="43" t="s">
        <v>5</v>
      </c>
      <c r="S7" s="40" t="s">
        <v>4</v>
      </c>
      <c r="T7" s="43" t="s">
        <v>5</v>
      </c>
      <c r="U7" s="44" t="s">
        <v>4</v>
      </c>
      <c r="V7" s="40" t="s">
        <v>4</v>
      </c>
      <c r="W7" s="43" t="s">
        <v>5</v>
      </c>
      <c r="X7" s="42"/>
      <c r="Y7" s="42"/>
      <c r="Z7" s="40" t="s">
        <v>4</v>
      </c>
      <c r="AA7" s="43" t="s">
        <v>5</v>
      </c>
    </row>
    <row r="8" spans="1:27" ht="24" x14ac:dyDescent="0.25">
      <c r="A8" s="45" t="s">
        <v>6</v>
      </c>
      <c r="B8" s="46"/>
      <c r="C8" s="46"/>
      <c r="D8" s="46"/>
      <c r="E8" s="46"/>
      <c r="F8" s="46"/>
      <c r="G8" s="46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x14ac:dyDescent="0.25">
      <c r="A9" s="48" t="s">
        <v>14</v>
      </c>
      <c r="B9" s="49">
        <v>273092.96000000002</v>
      </c>
      <c r="C9" s="49">
        <v>0</v>
      </c>
      <c r="D9" s="49">
        <v>0</v>
      </c>
      <c r="E9" s="49">
        <v>0</v>
      </c>
      <c r="F9" s="49">
        <v>750</v>
      </c>
      <c r="G9" s="49">
        <v>0</v>
      </c>
      <c r="H9" s="49">
        <f>SUM(B9:G9)</f>
        <v>273842.96000000002</v>
      </c>
      <c r="I9" s="50">
        <v>12779.64</v>
      </c>
      <c r="J9" s="50">
        <v>2668.8</v>
      </c>
      <c r="K9" s="50">
        <v>309.60000000000002</v>
      </c>
      <c r="L9" s="50">
        <v>309.83999999999997</v>
      </c>
      <c r="M9" s="50">
        <v>0</v>
      </c>
      <c r="N9" s="50">
        <v>109.2</v>
      </c>
      <c r="O9" s="50">
        <v>1326</v>
      </c>
      <c r="P9" s="50">
        <v>0</v>
      </c>
      <c r="Q9" s="50">
        <v>1072.8</v>
      </c>
      <c r="R9" s="50">
        <v>0</v>
      </c>
      <c r="S9" s="50">
        <v>0</v>
      </c>
      <c r="T9" s="50">
        <v>0</v>
      </c>
      <c r="U9" s="50">
        <v>0</v>
      </c>
      <c r="V9" s="50">
        <v>69354.36</v>
      </c>
      <c r="W9" s="50">
        <v>0</v>
      </c>
      <c r="X9" s="50">
        <v>5461.86</v>
      </c>
      <c r="Y9" s="50">
        <v>0</v>
      </c>
      <c r="Z9" s="50">
        <f>H9+I9+K9+M9+O9+Q9+S9++U9+V9+X9</f>
        <v>364147.22</v>
      </c>
      <c r="AA9" s="50">
        <f>J9+L9+N9+P9+R9+T9+W9</f>
        <v>3087.84</v>
      </c>
    </row>
    <row r="10" spans="1:27" x14ac:dyDescent="0.25">
      <c r="A10" s="48" t="s">
        <v>48</v>
      </c>
      <c r="B10" s="49">
        <v>209484.51</v>
      </c>
      <c r="C10" s="49">
        <v>0</v>
      </c>
      <c r="D10" s="49">
        <v>0</v>
      </c>
      <c r="E10" s="49">
        <v>0</v>
      </c>
      <c r="F10" s="49">
        <v>750</v>
      </c>
      <c r="G10" s="49">
        <v>0</v>
      </c>
      <c r="H10" s="49">
        <f t="shared" ref="H10:H12" si="0">SUM(B10:G10)</f>
        <v>210234.51</v>
      </c>
      <c r="I10" s="50">
        <v>12779.64</v>
      </c>
      <c r="J10" s="50">
        <v>2668.8</v>
      </c>
      <c r="K10" s="50">
        <v>500.4</v>
      </c>
      <c r="L10" s="50">
        <v>500.64</v>
      </c>
      <c r="M10" s="50">
        <v>0</v>
      </c>
      <c r="N10" s="50">
        <v>109.2</v>
      </c>
      <c r="O10" s="50">
        <v>946.8</v>
      </c>
      <c r="P10" s="50">
        <v>0</v>
      </c>
      <c r="Q10" s="50">
        <v>1061.1600000000001</v>
      </c>
      <c r="R10" s="50">
        <v>0</v>
      </c>
      <c r="S10" s="50">
        <v>0</v>
      </c>
      <c r="T10" s="50">
        <v>0</v>
      </c>
      <c r="U10" s="50">
        <v>0</v>
      </c>
      <c r="V10" s="50">
        <v>53175.72</v>
      </c>
      <c r="W10" s="50">
        <v>0</v>
      </c>
      <c r="X10" s="50">
        <v>4189.74</v>
      </c>
      <c r="Y10" s="50">
        <v>0</v>
      </c>
      <c r="Z10" s="50">
        <f t="shared" ref="Z10:Z12" si="1">H10+I10+K10+M10+O10+Q10+S10++U10+V10+X10</f>
        <v>282887.96999999997</v>
      </c>
      <c r="AA10" s="50">
        <f t="shared" ref="AA10:AA12" si="2">J10+L10+N10+P10+R10+T10+W10</f>
        <v>3278.64</v>
      </c>
    </row>
    <row r="11" spans="1:27" x14ac:dyDescent="0.25">
      <c r="A11" s="48" t="s">
        <v>30</v>
      </c>
      <c r="B11" s="49">
        <v>199621.77</v>
      </c>
      <c r="C11" s="49">
        <v>0</v>
      </c>
      <c r="D11" s="49">
        <v>0</v>
      </c>
      <c r="E11" s="49">
        <v>0</v>
      </c>
      <c r="F11" s="49">
        <v>750</v>
      </c>
      <c r="G11" s="49">
        <v>0</v>
      </c>
      <c r="H11" s="49">
        <f t="shared" si="0"/>
        <v>200371.77</v>
      </c>
      <c r="I11" s="50">
        <v>6723.24</v>
      </c>
      <c r="J11" s="50">
        <v>0</v>
      </c>
      <c r="K11" s="50">
        <v>174.84</v>
      </c>
      <c r="L11" s="50">
        <v>174.96</v>
      </c>
      <c r="M11" s="50">
        <v>0</v>
      </c>
      <c r="N11" s="50">
        <v>0</v>
      </c>
      <c r="O11" s="50">
        <v>936.12</v>
      </c>
      <c r="P11" s="50">
        <v>0</v>
      </c>
      <c r="Q11" s="50">
        <v>1049.4000000000001</v>
      </c>
      <c r="R11" s="50">
        <v>0</v>
      </c>
      <c r="S11" s="50">
        <v>0</v>
      </c>
      <c r="T11" s="50">
        <v>0</v>
      </c>
      <c r="U11" s="50">
        <v>0</v>
      </c>
      <c r="V11" s="50">
        <v>51167.519999999997</v>
      </c>
      <c r="W11" s="50">
        <v>0</v>
      </c>
      <c r="X11" s="50">
        <f>201.93+3731.76</f>
        <v>3933.69</v>
      </c>
      <c r="Y11" s="50">
        <v>0</v>
      </c>
      <c r="Z11" s="50">
        <f t="shared" si="1"/>
        <v>264356.57999999996</v>
      </c>
      <c r="AA11" s="50">
        <f t="shared" si="2"/>
        <v>174.96</v>
      </c>
    </row>
    <row r="12" spans="1:27" x14ac:dyDescent="0.25">
      <c r="A12" s="48" t="s">
        <v>33</v>
      </c>
      <c r="B12" s="49">
        <v>78000</v>
      </c>
      <c r="C12" s="49">
        <v>0</v>
      </c>
      <c r="D12" s="49">
        <v>0</v>
      </c>
      <c r="E12" s="49">
        <v>0</v>
      </c>
      <c r="F12" s="49">
        <v>200</v>
      </c>
      <c r="G12" s="49">
        <v>0</v>
      </c>
      <c r="H12" s="49">
        <f t="shared" si="0"/>
        <v>78200</v>
      </c>
      <c r="I12" s="50">
        <v>2810.15</v>
      </c>
      <c r="J12" s="50">
        <v>0</v>
      </c>
      <c r="K12" s="50">
        <v>72.849999999999994</v>
      </c>
      <c r="L12" s="50">
        <v>72.09</v>
      </c>
      <c r="M12" s="50">
        <v>0</v>
      </c>
      <c r="N12" s="50">
        <v>0</v>
      </c>
      <c r="O12" s="50">
        <v>172.38</v>
      </c>
      <c r="P12" s="50">
        <v>0</v>
      </c>
      <c r="Q12" s="50">
        <v>178.8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f t="shared" si="1"/>
        <v>81434.180000000008</v>
      </c>
      <c r="AA12" s="50">
        <f t="shared" si="2"/>
        <v>72.09</v>
      </c>
    </row>
    <row r="13" spans="1:27" ht="24" x14ac:dyDescent="0.25">
      <c r="A13" s="51" t="s">
        <v>9</v>
      </c>
      <c r="B13" s="52">
        <f t="shared" ref="B13:AA13" si="3">SUM(B9:B12)</f>
        <v>760199.24</v>
      </c>
      <c r="C13" s="52">
        <f t="shared" si="3"/>
        <v>0</v>
      </c>
      <c r="D13" s="52">
        <f t="shared" si="3"/>
        <v>0</v>
      </c>
      <c r="E13" s="52">
        <f t="shared" si="3"/>
        <v>0</v>
      </c>
      <c r="F13" s="52">
        <f t="shared" si="3"/>
        <v>2450</v>
      </c>
      <c r="G13" s="52">
        <f t="shared" si="3"/>
        <v>0</v>
      </c>
      <c r="H13" s="52">
        <f t="shared" si="3"/>
        <v>762649.24</v>
      </c>
      <c r="I13" s="53">
        <f t="shared" si="3"/>
        <v>35092.67</v>
      </c>
      <c r="J13" s="53">
        <f t="shared" si="3"/>
        <v>5337.6</v>
      </c>
      <c r="K13" s="53">
        <f t="shared" si="3"/>
        <v>1057.69</v>
      </c>
      <c r="L13" s="53">
        <f t="shared" si="3"/>
        <v>1057.53</v>
      </c>
      <c r="M13" s="53">
        <f t="shared" si="3"/>
        <v>0</v>
      </c>
      <c r="N13" s="53">
        <f t="shared" si="3"/>
        <v>218.4</v>
      </c>
      <c r="O13" s="53">
        <f t="shared" si="3"/>
        <v>3381.3</v>
      </c>
      <c r="P13" s="53">
        <f t="shared" si="3"/>
        <v>0</v>
      </c>
      <c r="Q13" s="53">
        <f t="shared" si="3"/>
        <v>3362.1600000000003</v>
      </c>
      <c r="R13" s="53">
        <f t="shared" si="3"/>
        <v>0</v>
      </c>
      <c r="S13" s="53">
        <f t="shared" si="3"/>
        <v>0</v>
      </c>
      <c r="T13" s="53">
        <f t="shared" si="3"/>
        <v>0</v>
      </c>
      <c r="U13" s="53">
        <f t="shared" si="3"/>
        <v>0</v>
      </c>
      <c r="V13" s="53">
        <f t="shared" si="3"/>
        <v>173697.6</v>
      </c>
      <c r="W13" s="53">
        <f t="shared" si="3"/>
        <v>0</v>
      </c>
      <c r="X13" s="53">
        <f t="shared" si="3"/>
        <v>13585.289999999999</v>
      </c>
      <c r="Y13" s="53">
        <f t="shared" si="3"/>
        <v>0</v>
      </c>
      <c r="Z13" s="53">
        <f t="shared" si="3"/>
        <v>992825.95</v>
      </c>
      <c r="AA13" s="53">
        <f t="shared" si="3"/>
        <v>6613.53</v>
      </c>
    </row>
    <row r="14" spans="1:27" x14ac:dyDescent="0.25">
      <c r="A14" s="54" t="s">
        <v>7</v>
      </c>
      <c r="B14" s="52">
        <f>B13</f>
        <v>760199.24</v>
      </c>
      <c r="C14" s="52">
        <f t="shared" ref="C14:Z14" si="4">C13</f>
        <v>0</v>
      </c>
      <c r="D14" s="52">
        <f t="shared" si="4"/>
        <v>0</v>
      </c>
      <c r="E14" s="52">
        <f t="shared" si="4"/>
        <v>0</v>
      </c>
      <c r="F14" s="52">
        <f t="shared" si="4"/>
        <v>2450</v>
      </c>
      <c r="G14" s="52">
        <f t="shared" si="4"/>
        <v>0</v>
      </c>
      <c r="H14" s="52">
        <f t="shared" si="4"/>
        <v>762649.24</v>
      </c>
      <c r="I14" s="53">
        <f t="shared" si="4"/>
        <v>35092.67</v>
      </c>
      <c r="J14" s="53">
        <f t="shared" si="4"/>
        <v>5337.6</v>
      </c>
      <c r="K14" s="53">
        <f t="shared" si="4"/>
        <v>1057.69</v>
      </c>
      <c r="L14" s="53">
        <f t="shared" si="4"/>
        <v>1057.53</v>
      </c>
      <c r="M14" s="53">
        <f t="shared" si="4"/>
        <v>0</v>
      </c>
      <c r="N14" s="53">
        <f t="shared" si="4"/>
        <v>218.4</v>
      </c>
      <c r="O14" s="53">
        <f t="shared" si="4"/>
        <v>3381.3</v>
      </c>
      <c r="P14" s="53">
        <f t="shared" si="4"/>
        <v>0</v>
      </c>
      <c r="Q14" s="53">
        <f t="shared" si="4"/>
        <v>3362.1600000000003</v>
      </c>
      <c r="R14" s="53">
        <f t="shared" si="4"/>
        <v>0</v>
      </c>
      <c r="S14" s="53">
        <f t="shared" si="4"/>
        <v>0</v>
      </c>
      <c r="T14" s="53">
        <f t="shared" si="4"/>
        <v>0</v>
      </c>
      <c r="U14" s="53">
        <f t="shared" si="4"/>
        <v>0</v>
      </c>
      <c r="V14" s="53">
        <f t="shared" si="4"/>
        <v>173697.6</v>
      </c>
      <c r="W14" s="53">
        <f t="shared" si="4"/>
        <v>0</v>
      </c>
      <c r="X14" s="53">
        <f t="shared" si="4"/>
        <v>13585.289999999999</v>
      </c>
      <c r="Y14" s="53">
        <f t="shared" si="4"/>
        <v>0</v>
      </c>
      <c r="Z14" s="53">
        <f t="shared" si="4"/>
        <v>992825.95</v>
      </c>
      <c r="AA14" s="53">
        <f>AA13</f>
        <v>6613.53</v>
      </c>
    </row>
    <row r="15" spans="1:27" x14ac:dyDescent="0.25">
      <c r="A15" s="54" t="s">
        <v>8</v>
      </c>
      <c r="B15" s="52">
        <f>B13</f>
        <v>760199.24</v>
      </c>
      <c r="C15" s="52">
        <f t="shared" ref="C15:Z15" si="5">C13</f>
        <v>0</v>
      </c>
      <c r="D15" s="52">
        <f t="shared" si="5"/>
        <v>0</v>
      </c>
      <c r="E15" s="52">
        <f t="shared" si="5"/>
        <v>0</v>
      </c>
      <c r="F15" s="52">
        <f t="shared" si="5"/>
        <v>2450</v>
      </c>
      <c r="G15" s="52">
        <f t="shared" si="5"/>
        <v>0</v>
      </c>
      <c r="H15" s="52">
        <f t="shared" si="5"/>
        <v>762649.24</v>
      </c>
      <c r="I15" s="53">
        <f t="shared" si="5"/>
        <v>35092.67</v>
      </c>
      <c r="J15" s="53">
        <f t="shared" si="5"/>
        <v>5337.6</v>
      </c>
      <c r="K15" s="53">
        <f t="shared" si="5"/>
        <v>1057.69</v>
      </c>
      <c r="L15" s="53">
        <f t="shared" si="5"/>
        <v>1057.53</v>
      </c>
      <c r="M15" s="53">
        <f t="shared" si="5"/>
        <v>0</v>
      </c>
      <c r="N15" s="53">
        <f t="shared" si="5"/>
        <v>218.4</v>
      </c>
      <c r="O15" s="53">
        <f t="shared" si="5"/>
        <v>3381.3</v>
      </c>
      <c r="P15" s="53">
        <f t="shared" si="5"/>
        <v>0</v>
      </c>
      <c r="Q15" s="53">
        <f t="shared" si="5"/>
        <v>3362.1600000000003</v>
      </c>
      <c r="R15" s="53">
        <f t="shared" si="5"/>
        <v>0</v>
      </c>
      <c r="S15" s="53">
        <f t="shared" si="5"/>
        <v>0</v>
      </c>
      <c r="T15" s="53">
        <f t="shared" si="5"/>
        <v>0</v>
      </c>
      <c r="U15" s="53">
        <f t="shared" si="5"/>
        <v>0</v>
      </c>
      <c r="V15" s="53">
        <f t="shared" si="5"/>
        <v>173697.6</v>
      </c>
      <c r="W15" s="53">
        <f t="shared" si="5"/>
        <v>0</v>
      </c>
      <c r="X15" s="53">
        <f t="shared" si="5"/>
        <v>13585.289999999999</v>
      </c>
      <c r="Y15" s="53">
        <f t="shared" si="5"/>
        <v>0</v>
      </c>
      <c r="Z15" s="53">
        <f t="shared" si="5"/>
        <v>992825.95</v>
      </c>
      <c r="AA15" s="53">
        <f>AA13</f>
        <v>6613.53</v>
      </c>
    </row>
    <row r="16" spans="1:27" x14ac:dyDescent="0.25">
      <c r="A16" s="55"/>
      <c r="B16" s="46"/>
      <c r="C16" s="46"/>
      <c r="D16" s="46"/>
      <c r="E16" s="46"/>
      <c r="F16" s="46"/>
      <c r="G16" s="46"/>
      <c r="H16" s="56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spans="1:27" x14ac:dyDescent="0.25">
      <c r="A17" s="45" t="s">
        <v>22</v>
      </c>
      <c r="B17" s="46">
        <v>461208.47</v>
      </c>
      <c r="C17" s="46">
        <v>0</v>
      </c>
      <c r="D17" s="46">
        <v>0</v>
      </c>
      <c r="E17" s="46">
        <v>0</v>
      </c>
      <c r="F17" s="46">
        <v>2250</v>
      </c>
      <c r="G17" s="46">
        <v>0</v>
      </c>
      <c r="H17" s="49">
        <f t="shared" ref="H17:H19" si="6">SUM(B17:G17)</f>
        <v>463458.47</v>
      </c>
      <c r="I17" s="50">
        <v>50383.82</v>
      </c>
      <c r="J17" s="50">
        <v>15337.02</v>
      </c>
      <c r="K17" s="50">
        <v>1179.1099999999999</v>
      </c>
      <c r="L17" s="50">
        <v>1179.6600000000001</v>
      </c>
      <c r="M17" s="50">
        <v>0</v>
      </c>
      <c r="N17" s="50">
        <v>499.63</v>
      </c>
      <c r="O17" s="50">
        <v>1966.4</v>
      </c>
      <c r="P17" s="50">
        <v>0</v>
      </c>
      <c r="Q17" s="50">
        <v>2207.37</v>
      </c>
      <c r="R17" s="50">
        <v>0</v>
      </c>
      <c r="S17" s="50">
        <v>0</v>
      </c>
      <c r="T17" s="50">
        <v>0</v>
      </c>
      <c r="U17" s="50">
        <v>0</v>
      </c>
      <c r="V17" s="50">
        <v>69100.320000000007</v>
      </c>
      <c r="W17" s="50">
        <v>0</v>
      </c>
      <c r="X17" s="50">
        <v>7829.96</v>
      </c>
      <c r="Y17" s="50">
        <v>0</v>
      </c>
      <c r="Z17" s="50">
        <f t="shared" ref="Z17:Z19" si="7">H17+I17+K17+M17+O17+Q17+S17++U17+V17+X17</f>
        <v>596125.44999999995</v>
      </c>
      <c r="AA17" s="50">
        <f t="shared" ref="AA17:AA19" si="8">J17+L17+N17+P17+R17+T17+W17</f>
        <v>17016.310000000001</v>
      </c>
    </row>
    <row r="18" spans="1:27" x14ac:dyDescent="0.25">
      <c r="A18" s="45" t="s">
        <v>23</v>
      </c>
      <c r="B18" s="46">
        <f>1055304.35-D18</f>
        <v>1046184.79</v>
      </c>
      <c r="C18" s="46">
        <v>0</v>
      </c>
      <c r="D18" s="46">
        <v>9119.56</v>
      </c>
      <c r="E18" s="46">
        <v>0</v>
      </c>
      <c r="F18" s="46">
        <v>7500</v>
      </c>
      <c r="G18" s="46">
        <v>0</v>
      </c>
      <c r="H18" s="49">
        <f t="shared" si="6"/>
        <v>1062804.3500000001</v>
      </c>
      <c r="I18" s="50">
        <v>133352.65</v>
      </c>
      <c r="J18" s="50">
        <v>18587.84</v>
      </c>
      <c r="K18" s="50">
        <v>4264.32</v>
      </c>
      <c r="L18" s="50">
        <v>4266.92</v>
      </c>
      <c r="M18" s="50">
        <v>0</v>
      </c>
      <c r="N18" s="50">
        <v>1293.4100000000001</v>
      </c>
      <c r="O18" s="50">
        <v>6543.36</v>
      </c>
      <c r="P18" s="50">
        <v>0</v>
      </c>
      <c r="Q18" s="50">
        <v>7335.35</v>
      </c>
      <c r="R18" s="50">
        <v>0</v>
      </c>
      <c r="S18" s="50">
        <v>0</v>
      </c>
      <c r="T18" s="50">
        <v>0</v>
      </c>
      <c r="U18" s="50">
        <v>0</v>
      </c>
      <c r="V18" s="50">
        <v>214376.32000000001</v>
      </c>
      <c r="W18" s="50">
        <v>0</v>
      </c>
      <c r="X18" s="50">
        <v>27986.62</v>
      </c>
      <c r="Y18" s="50">
        <v>0</v>
      </c>
      <c r="Z18" s="50">
        <f t="shared" si="7"/>
        <v>1456662.9700000004</v>
      </c>
      <c r="AA18" s="50">
        <f t="shared" si="8"/>
        <v>24148.170000000002</v>
      </c>
    </row>
    <row r="19" spans="1:27" x14ac:dyDescent="0.25">
      <c r="A19" s="45" t="s">
        <v>24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9">
        <f t="shared" si="6"/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f t="shared" si="7"/>
        <v>0</v>
      </c>
      <c r="AA19" s="50">
        <f t="shared" si="8"/>
        <v>0</v>
      </c>
    </row>
    <row r="20" spans="1:27" x14ac:dyDescent="0.25">
      <c r="A20" s="54" t="s">
        <v>7</v>
      </c>
      <c r="B20" s="53">
        <f>SUM(B17:B19)</f>
        <v>1507393.26</v>
      </c>
      <c r="C20" s="53">
        <f t="shared" ref="C20:H20" si="9">SUM(C17:C19)</f>
        <v>0</v>
      </c>
      <c r="D20" s="53">
        <f t="shared" si="9"/>
        <v>9119.56</v>
      </c>
      <c r="E20" s="53">
        <f t="shared" si="9"/>
        <v>0</v>
      </c>
      <c r="F20" s="53">
        <f t="shared" si="9"/>
        <v>9750</v>
      </c>
      <c r="G20" s="53">
        <f t="shared" si="9"/>
        <v>0</v>
      </c>
      <c r="H20" s="52">
        <f t="shared" si="9"/>
        <v>1526262.82</v>
      </c>
      <c r="I20" s="53">
        <f>SUM(I17:I19)</f>
        <v>183736.47</v>
      </c>
      <c r="J20" s="53">
        <f t="shared" ref="J20:AA20" si="10">SUM(J17:J19)</f>
        <v>33924.86</v>
      </c>
      <c r="K20" s="53">
        <f t="shared" si="10"/>
        <v>5443.4299999999994</v>
      </c>
      <c r="L20" s="53">
        <f t="shared" si="10"/>
        <v>5446.58</v>
      </c>
      <c r="M20" s="53">
        <f t="shared" si="10"/>
        <v>0</v>
      </c>
      <c r="N20" s="53">
        <f t="shared" si="10"/>
        <v>1793.04</v>
      </c>
      <c r="O20" s="53">
        <f t="shared" si="10"/>
        <v>8509.76</v>
      </c>
      <c r="P20" s="53">
        <f t="shared" si="10"/>
        <v>0</v>
      </c>
      <c r="Q20" s="53">
        <f t="shared" si="10"/>
        <v>9542.7200000000012</v>
      </c>
      <c r="R20" s="53">
        <f t="shared" si="10"/>
        <v>0</v>
      </c>
      <c r="S20" s="53">
        <f t="shared" si="10"/>
        <v>0</v>
      </c>
      <c r="T20" s="53">
        <f t="shared" si="10"/>
        <v>0</v>
      </c>
      <c r="U20" s="53">
        <f t="shared" si="10"/>
        <v>0</v>
      </c>
      <c r="V20" s="53">
        <f t="shared" si="10"/>
        <v>283476.64</v>
      </c>
      <c r="W20" s="53">
        <f t="shared" si="10"/>
        <v>0</v>
      </c>
      <c r="X20" s="53">
        <f t="shared" si="10"/>
        <v>35816.58</v>
      </c>
      <c r="Y20" s="53">
        <f t="shared" si="10"/>
        <v>0</v>
      </c>
      <c r="Z20" s="53">
        <f t="shared" si="10"/>
        <v>2052788.4200000004</v>
      </c>
      <c r="AA20" s="53">
        <f t="shared" si="10"/>
        <v>41164.480000000003</v>
      </c>
    </row>
    <row r="21" spans="1:27" x14ac:dyDescent="0.25">
      <c r="A21" s="54" t="s">
        <v>8</v>
      </c>
      <c r="B21" s="53">
        <f>B20</f>
        <v>1507393.26</v>
      </c>
      <c r="C21" s="53">
        <f t="shared" ref="C21:AA21" si="11">C20</f>
        <v>0</v>
      </c>
      <c r="D21" s="53">
        <f t="shared" si="11"/>
        <v>9119.56</v>
      </c>
      <c r="E21" s="53">
        <f t="shared" si="11"/>
        <v>0</v>
      </c>
      <c r="F21" s="53">
        <f t="shared" si="11"/>
        <v>9750</v>
      </c>
      <c r="G21" s="53">
        <f t="shared" si="11"/>
        <v>0</v>
      </c>
      <c r="H21" s="52">
        <f t="shared" si="11"/>
        <v>1526262.82</v>
      </c>
      <c r="I21" s="53">
        <f t="shared" si="11"/>
        <v>183736.47</v>
      </c>
      <c r="J21" s="53">
        <f t="shared" si="11"/>
        <v>33924.86</v>
      </c>
      <c r="K21" s="53">
        <f t="shared" si="11"/>
        <v>5443.4299999999994</v>
      </c>
      <c r="L21" s="53">
        <f t="shared" si="11"/>
        <v>5446.58</v>
      </c>
      <c r="M21" s="53">
        <f t="shared" si="11"/>
        <v>0</v>
      </c>
      <c r="N21" s="53">
        <f t="shared" si="11"/>
        <v>1793.04</v>
      </c>
      <c r="O21" s="53">
        <f t="shared" si="11"/>
        <v>8509.76</v>
      </c>
      <c r="P21" s="53">
        <f t="shared" si="11"/>
        <v>0</v>
      </c>
      <c r="Q21" s="53">
        <f t="shared" si="11"/>
        <v>9542.7200000000012</v>
      </c>
      <c r="R21" s="53">
        <f t="shared" si="11"/>
        <v>0</v>
      </c>
      <c r="S21" s="53">
        <f t="shared" si="11"/>
        <v>0</v>
      </c>
      <c r="T21" s="53">
        <f t="shared" si="11"/>
        <v>0</v>
      </c>
      <c r="U21" s="53">
        <f t="shared" si="11"/>
        <v>0</v>
      </c>
      <c r="V21" s="53">
        <f t="shared" si="11"/>
        <v>283476.64</v>
      </c>
      <c r="W21" s="53">
        <f t="shared" si="11"/>
        <v>0</v>
      </c>
      <c r="X21" s="53">
        <f t="shared" si="11"/>
        <v>35816.58</v>
      </c>
      <c r="Y21" s="53">
        <f t="shared" si="11"/>
        <v>0</v>
      </c>
      <c r="Z21" s="53">
        <f t="shared" si="11"/>
        <v>2052788.4200000004</v>
      </c>
      <c r="AA21" s="53">
        <f t="shared" si="11"/>
        <v>41164.480000000003</v>
      </c>
    </row>
    <row r="22" spans="1:27" x14ac:dyDescent="0.25">
      <c r="A22" s="55"/>
      <c r="B22" s="46"/>
      <c r="C22" s="46"/>
      <c r="D22" s="46"/>
      <c r="E22" s="46"/>
      <c r="F22" s="46"/>
      <c r="G22" s="46"/>
      <c r="H22" s="56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spans="1:27" x14ac:dyDescent="0.25">
      <c r="A23" s="45" t="s">
        <v>35</v>
      </c>
      <c r="B23" s="49">
        <f>B14+B20</f>
        <v>2267592.5</v>
      </c>
      <c r="C23" s="49">
        <f t="shared" ref="C23:AA23" si="12">C14+C20</f>
        <v>0</v>
      </c>
      <c r="D23" s="49">
        <f t="shared" si="12"/>
        <v>9119.56</v>
      </c>
      <c r="E23" s="49">
        <f t="shared" si="12"/>
        <v>0</v>
      </c>
      <c r="F23" s="49">
        <f t="shared" si="12"/>
        <v>12200</v>
      </c>
      <c r="G23" s="49">
        <f t="shared" si="12"/>
        <v>0</v>
      </c>
      <c r="H23" s="49">
        <f t="shared" si="12"/>
        <v>2288912.06</v>
      </c>
      <c r="I23" s="46">
        <f t="shared" si="12"/>
        <v>218829.14</v>
      </c>
      <c r="J23" s="46">
        <f t="shared" si="12"/>
        <v>39262.46</v>
      </c>
      <c r="K23" s="46">
        <f t="shared" si="12"/>
        <v>6501.119999999999</v>
      </c>
      <c r="L23" s="46">
        <f t="shared" si="12"/>
        <v>6504.11</v>
      </c>
      <c r="M23" s="46">
        <f t="shared" si="12"/>
        <v>0</v>
      </c>
      <c r="N23" s="46">
        <f t="shared" si="12"/>
        <v>2011.44</v>
      </c>
      <c r="O23" s="46">
        <f t="shared" si="12"/>
        <v>11891.060000000001</v>
      </c>
      <c r="P23" s="46">
        <f t="shared" si="12"/>
        <v>0</v>
      </c>
      <c r="Q23" s="46">
        <f t="shared" si="12"/>
        <v>12904.880000000001</v>
      </c>
      <c r="R23" s="46">
        <f t="shared" si="12"/>
        <v>0</v>
      </c>
      <c r="S23" s="46">
        <f t="shared" si="12"/>
        <v>0</v>
      </c>
      <c r="T23" s="46">
        <f t="shared" si="12"/>
        <v>0</v>
      </c>
      <c r="U23" s="46">
        <f t="shared" si="12"/>
        <v>0</v>
      </c>
      <c r="V23" s="46">
        <f t="shared" si="12"/>
        <v>457174.24</v>
      </c>
      <c r="W23" s="46">
        <f t="shared" si="12"/>
        <v>0</v>
      </c>
      <c r="X23" s="46">
        <f t="shared" si="12"/>
        <v>49401.87</v>
      </c>
      <c r="Y23" s="46">
        <f t="shared" si="12"/>
        <v>0</v>
      </c>
      <c r="Z23" s="46">
        <f t="shared" si="12"/>
        <v>3045614.37</v>
      </c>
      <c r="AA23" s="46">
        <f t="shared" si="12"/>
        <v>47778.01</v>
      </c>
    </row>
    <row r="24" spans="1:27" x14ac:dyDescent="0.25">
      <c r="A24" s="45"/>
      <c r="B24" s="56"/>
      <c r="C24" s="56"/>
      <c r="D24" s="56"/>
      <c r="E24" s="56"/>
      <c r="F24" s="56"/>
      <c r="G24" s="56"/>
      <c r="H24" s="56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27" x14ac:dyDescent="0.25">
      <c r="A25" s="45" t="s">
        <v>34</v>
      </c>
      <c r="B25" s="49">
        <v>474455.9</v>
      </c>
      <c r="C25" s="49">
        <v>96550.74</v>
      </c>
      <c r="D25" s="49">
        <v>0</v>
      </c>
      <c r="E25" s="49">
        <v>0</v>
      </c>
      <c r="F25" s="49">
        <v>3000</v>
      </c>
      <c r="G25" s="49">
        <v>0</v>
      </c>
      <c r="H25" s="49">
        <f>SUM(B25:G25)</f>
        <v>574006.64</v>
      </c>
      <c r="I25" s="50">
        <v>5995.44</v>
      </c>
      <c r="J25" s="50">
        <v>0</v>
      </c>
      <c r="K25" s="50">
        <v>174.84</v>
      </c>
      <c r="L25" s="50">
        <v>174.96</v>
      </c>
      <c r="M25" s="50">
        <v>0</v>
      </c>
      <c r="N25" s="50">
        <v>64.92</v>
      </c>
      <c r="O25" s="50">
        <v>442.92</v>
      </c>
      <c r="P25" s="50">
        <v>0</v>
      </c>
      <c r="Q25" s="50">
        <v>497.4</v>
      </c>
      <c r="R25" s="50">
        <v>0</v>
      </c>
      <c r="S25" s="50">
        <v>0</v>
      </c>
      <c r="T25" s="50">
        <v>0</v>
      </c>
      <c r="U25" s="50">
        <v>1000</v>
      </c>
      <c r="V25" s="50">
        <v>26034</v>
      </c>
      <c r="W25" s="50">
        <v>0</v>
      </c>
      <c r="X25" s="50">
        <v>1966.38</v>
      </c>
      <c r="Y25" s="50">
        <v>0</v>
      </c>
      <c r="Z25" s="50">
        <f t="shared" ref="Z25:Z27" si="13">H25+I25+K25+M25+O25+Q25+S25++U25+V25+X25</f>
        <v>610117.62</v>
      </c>
      <c r="AA25" s="50">
        <f t="shared" ref="AA25:AA26" si="14">J25+L25+N25+P25+R25+T25+W25</f>
        <v>239.88</v>
      </c>
    </row>
    <row r="26" spans="1:27" ht="15.75" customHeight="1" x14ac:dyDescent="0.25">
      <c r="A26" s="45" t="s">
        <v>21</v>
      </c>
      <c r="B26" s="49">
        <f>512360.89-D26</f>
        <v>487247.76</v>
      </c>
      <c r="C26" s="49">
        <v>2561.27</v>
      </c>
      <c r="D26" s="49">
        <v>25113.13</v>
      </c>
      <c r="E26" s="49">
        <v>0</v>
      </c>
      <c r="F26" s="49">
        <v>5250</v>
      </c>
      <c r="G26" s="49">
        <v>0</v>
      </c>
      <c r="H26" s="49">
        <f>SUM(B26:G26)</f>
        <v>520172.16000000003</v>
      </c>
      <c r="I26" s="50">
        <v>72310.66</v>
      </c>
      <c r="J26" s="50">
        <v>9692.4</v>
      </c>
      <c r="K26" s="50">
        <v>1919.67</v>
      </c>
      <c r="L26" s="50">
        <v>1921.62</v>
      </c>
      <c r="M26" s="50">
        <v>0</v>
      </c>
      <c r="N26" s="50">
        <v>612.03</v>
      </c>
      <c r="O26" s="50">
        <v>2370.81</v>
      </c>
      <c r="P26" s="50">
        <v>0</v>
      </c>
      <c r="Q26" s="50">
        <v>2655.6</v>
      </c>
      <c r="R26" s="50">
        <v>0</v>
      </c>
      <c r="S26" s="50">
        <v>0</v>
      </c>
      <c r="T26" s="50">
        <v>0</v>
      </c>
      <c r="U26" s="50">
        <v>0</v>
      </c>
      <c r="V26" s="50">
        <v>134031.35999999999</v>
      </c>
      <c r="W26" s="50">
        <v>0</v>
      </c>
      <c r="X26" s="50">
        <v>9953.91</v>
      </c>
      <c r="Y26" s="50">
        <v>0</v>
      </c>
      <c r="Z26" s="50">
        <f t="shared" si="13"/>
        <v>743414.17000000016</v>
      </c>
      <c r="AA26" s="50">
        <f t="shared" si="14"/>
        <v>12226.050000000001</v>
      </c>
    </row>
    <row r="27" spans="1:27" x14ac:dyDescent="0.25">
      <c r="A27" s="45" t="s">
        <v>37</v>
      </c>
      <c r="B27" s="49">
        <f>6962992.61-D27</f>
        <v>6851044.0100000007</v>
      </c>
      <c r="C27" s="49">
        <v>1220047.05</v>
      </c>
      <c r="D27" s="49">
        <v>111948.6</v>
      </c>
      <c r="E27" s="49">
        <v>0</v>
      </c>
      <c r="F27" s="49">
        <v>131320</v>
      </c>
      <c r="G27" s="49">
        <v>0</v>
      </c>
      <c r="H27" s="49">
        <f>SUM(B27:G27)</f>
        <v>8314359.6600000001</v>
      </c>
      <c r="I27" s="50">
        <v>1164568.75</v>
      </c>
      <c r="J27" s="50">
        <v>257170.94</v>
      </c>
      <c r="K27" s="50">
        <v>33388.74</v>
      </c>
      <c r="L27" s="50">
        <v>32873.769999999997</v>
      </c>
      <c r="M27" s="50">
        <v>0</v>
      </c>
      <c r="N27" s="50">
        <v>9411.15</v>
      </c>
      <c r="O27" s="50">
        <v>33632.28</v>
      </c>
      <c r="P27" s="50">
        <v>0</v>
      </c>
      <c r="Q27" s="50">
        <v>37609.33</v>
      </c>
      <c r="R27" s="50">
        <v>0</v>
      </c>
      <c r="S27" s="50">
        <v>0</v>
      </c>
      <c r="T27" s="50">
        <v>0</v>
      </c>
      <c r="U27" s="50">
        <v>4000</v>
      </c>
      <c r="V27" s="50">
        <v>1768179.28</v>
      </c>
      <c r="W27" s="50">
        <v>0</v>
      </c>
      <c r="X27" s="50">
        <v>130020.24</v>
      </c>
      <c r="Y27" s="50">
        <v>0</v>
      </c>
      <c r="Z27" s="50">
        <f t="shared" si="13"/>
        <v>11485758.279999999</v>
      </c>
      <c r="AA27" s="50">
        <f>J27+L27+N27+P27+W27</f>
        <v>299455.86000000004</v>
      </c>
    </row>
    <row r="28" spans="1:27" x14ac:dyDescent="0.25">
      <c r="A28" s="54" t="s">
        <v>7</v>
      </c>
      <c r="B28" s="52">
        <f>SUM(B25:B27)</f>
        <v>7812747.6700000009</v>
      </c>
      <c r="C28" s="52">
        <f t="shared" ref="C28:Y28" si="15">SUM(C25:C27)</f>
        <v>1319159.06</v>
      </c>
      <c r="D28" s="52">
        <f t="shared" si="15"/>
        <v>137061.73000000001</v>
      </c>
      <c r="E28" s="52">
        <f t="shared" si="15"/>
        <v>0</v>
      </c>
      <c r="F28" s="52">
        <f t="shared" si="15"/>
        <v>139570</v>
      </c>
      <c r="G28" s="52">
        <f t="shared" si="15"/>
        <v>0</v>
      </c>
      <c r="H28" s="52">
        <f t="shared" si="15"/>
        <v>9408538.4600000009</v>
      </c>
      <c r="I28" s="53">
        <f t="shared" si="15"/>
        <v>1242874.8500000001</v>
      </c>
      <c r="J28" s="53">
        <f t="shared" si="15"/>
        <v>266863.34000000003</v>
      </c>
      <c r="K28" s="53">
        <f t="shared" si="15"/>
        <v>35483.25</v>
      </c>
      <c r="L28" s="53">
        <f t="shared" si="15"/>
        <v>34970.35</v>
      </c>
      <c r="M28" s="53">
        <f t="shared" si="15"/>
        <v>0</v>
      </c>
      <c r="N28" s="53">
        <f t="shared" si="15"/>
        <v>10088.1</v>
      </c>
      <c r="O28" s="53">
        <f t="shared" si="15"/>
        <v>36446.01</v>
      </c>
      <c r="P28" s="53">
        <f t="shared" si="15"/>
        <v>0</v>
      </c>
      <c r="Q28" s="53">
        <f t="shared" si="15"/>
        <v>40762.33</v>
      </c>
      <c r="R28" s="53">
        <f t="shared" si="15"/>
        <v>0</v>
      </c>
      <c r="S28" s="53">
        <f t="shared" si="15"/>
        <v>0</v>
      </c>
      <c r="T28" s="53">
        <f t="shared" si="15"/>
        <v>0</v>
      </c>
      <c r="U28" s="53">
        <f t="shared" si="15"/>
        <v>5000</v>
      </c>
      <c r="V28" s="53">
        <f t="shared" si="15"/>
        <v>1928244.6400000001</v>
      </c>
      <c r="W28" s="53">
        <f t="shared" si="15"/>
        <v>0</v>
      </c>
      <c r="X28" s="53">
        <f t="shared" si="15"/>
        <v>141940.53</v>
      </c>
      <c r="Y28" s="53">
        <f t="shared" si="15"/>
        <v>0</v>
      </c>
      <c r="Z28" s="53">
        <f>SUM(Z25:Z27)</f>
        <v>12839290.07</v>
      </c>
      <c r="AA28" s="53">
        <f>SUM(AA25:AA27)</f>
        <v>311921.79000000004</v>
      </c>
    </row>
    <row r="29" spans="1:27" x14ac:dyDescent="0.25">
      <c r="A29" s="54" t="s">
        <v>8</v>
      </c>
      <c r="B29" s="52">
        <f>B28</f>
        <v>7812747.6700000009</v>
      </c>
      <c r="C29" s="52">
        <f t="shared" ref="C29:AA29" si="16">C28</f>
        <v>1319159.06</v>
      </c>
      <c r="D29" s="52">
        <f t="shared" si="16"/>
        <v>137061.73000000001</v>
      </c>
      <c r="E29" s="52">
        <f t="shared" si="16"/>
        <v>0</v>
      </c>
      <c r="F29" s="52">
        <f t="shared" si="16"/>
        <v>139570</v>
      </c>
      <c r="G29" s="52">
        <f t="shared" si="16"/>
        <v>0</v>
      </c>
      <c r="H29" s="52">
        <f t="shared" si="16"/>
        <v>9408538.4600000009</v>
      </c>
      <c r="I29" s="53">
        <f t="shared" si="16"/>
        <v>1242874.8500000001</v>
      </c>
      <c r="J29" s="53">
        <f t="shared" si="16"/>
        <v>266863.34000000003</v>
      </c>
      <c r="K29" s="53">
        <f t="shared" si="16"/>
        <v>35483.25</v>
      </c>
      <c r="L29" s="53">
        <f t="shared" si="16"/>
        <v>34970.35</v>
      </c>
      <c r="M29" s="53">
        <f t="shared" si="16"/>
        <v>0</v>
      </c>
      <c r="N29" s="53">
        <f t="shared" si="16"/>
        <v>10088.1</v>
      </c>
      <c r="O29" s="53">
        <f t="shared" si="16"/>
        <v>36446.01</v>
      </c>
      <c r="P29" s="53">
        <f t="shared" si="16"/>
        <v>0</v>
      </c>
      <c r="Q29" s="53">
        <f t="shared" si="16"/>
        <v>40762.33</v>
      </c>
      <c r="R29" s="53">
        <f t="shared" si="16"/>
        <v>0</v>
      </c>
      <c r="S29" s="53">
        <f t="shared" si="16"/>
        <v>0</v>
      </c>
      <c r="T29" s="53">
        <f t="shared" si="16"/>
        <v>0</v>
      </c>
      <c r="U29" s="53">
        <f t="shared" si="16"/>
        <v>5000</v>
      </c>
      <c r="V29" s="53">
        <f t="shared" si="16"/>
        <v>1928244.6400000001</v>
      </c>
      <c r="W29" s="53">
        <f t="shared" si="16"/>
        <v>0</v>
      </c>
      <c r="X29" s="53">
        <f t="shared" si="16"/>
        <v>141940.53</v>
      </c>
      <c r="Y29" s="53">
        <f t="shared" si="16"/>
        <v>0</v>
      </c>
      <c r="Z29" s="53">
        <f t="shared" si="16"/>
        <v>12839290.07</v>
      </c>
      <c r="AA29" s="53">
        <f t="shared" si="16"/>
        <v>311921.79000000004</v>
      </c>
    </row>
    <row r="30" spans="1:27" x14ac:dyDescent="0.25">
      <c r="A30" s="55"/>
      <c r="B30" s="49"/>
      <c r="C30" s="49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1:27" x14ac:dyDescent="0.25">
      <c r="A31" s="57" t="s">
        <v>36</v>
      </c>
      <c r="B31" s="49">
        <f>B28</f>
        <v>7812747.6700000009</v>
      </c>
      <c r="C31" s="49">
        <f t="shared" ref="C31:AA31" si="17">C28</f>
        <v>1319159.06</v>
      </c>
      <c r="D31" s="49">
        <f t="shared" si="17"/>
        <v>137061.73000000001</v>
      </c>
      <c r="E31" s="49">
        <f t="shared" si="17"/>
        <v>0</v>
      </c>
      <c r="F31" s="49">
        <f t="shared" si="17"/>
        <v>139570</v>
      </c>
      <c r="G31" s="49">
        <f t="shared" si="17"/>
        <v>0</v>
      </c>
      <c r="H31" s="49">
        <f t="shared" si="17"/>
        <v>9408538.4600000009</v>
      </c>
      <c r="I31" s="46">
        <f t="shared" si="17"/>
        <v>1242874.8500000001</v>
      </c>
      <c r="J31" s="46">
        <f t="shared" si="17"/>
        <v>266863.34000000003</v>
      </c>
      <c r="K31" s="46">
        <f t="shared" si="17"/>
        <v>35483.25</v>
      </c>
      <c r="L31" s="46">
        <f t="shared" si="17"/>
        <v>34970.35</v>
      </c>
      <c r="M31" s="46">
        <f t="shared" si="17"/>
        <v>0</v>
      </c>
      <c r="N31" s="46">
        <f t="shared" si="17"/>
        <v>10088.1</v>
      </c>
      <c r="O31" s="46">
        <f t="shared" si="17"/>
        <v>36446.01</v>
      </c>
      <c r="P31" s="46">
        <f t="shared" si="17"/>
        <v>0</v>
      </c>
      <c r="Q31" s="46">
        <f t="shared" si="17"/>
        <v>40762.33</v>
      </c>
      <c r="R31" s="46">
        <f t="shared" si="17"/>
        <v>0</v>
      </c>
      <c r="S31" s="46">
        <f t="shared" si="17"/>
        <v>0</v>
      </c>
      <c r="T31" s="46">
        <f t="shared" si="17"/>
        <v>0</v>
      </c>
      <c r="U31" s="46">
        <f t="shared" si="17"/>
        <v>5000</v>
      </c>
      <c r="V31" s="46">
        <f t="shared" si="17"/>
        <v>1928244.6400000001</v>
      </c>
      <c r="W31" s="46">
        <f t="shared" si="17"/>
        <v>0</v>
      </c>
      <c r="X31" s="46">
        <f t="shared" si="17"/>
        <v>141940.53</v>
      </c>
      <c r="Y31" s="46">
        <f t="shared" si="17"/>
        <v>0</v>
      </c>
      <c r="Z31" s="46">
        <f t="shared" si="17"/>
        <v>12839290.07</v>
      </c>
      <c r="AA31" s="46">
        <f t="shared" si="17"/>
        <v>311921.79000000004</v>
      </c>
    </row>
    <row r="32" spans="1:27" x14ac:dyDescent="0.25">
      <c r="A32" s="55"/>
      <c r="B32" s="49"/>
      <c r="C32" s="49"/>
      <c r="D32" s="49"/>
      <c r="E32" s="49"/>
      <c r="F32" s="49"/>
      <c r="G32" s="49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27" x14ac:dyDescent="0.25">
      <c r="A33" s="45" t="s">
        <v>10</v>
      </c>
      <c r="B33" s="49"/>
      <c r="C33" s="49"/>
      <c r="D33" s="49"/>
      <c r="E33" s="49"/>
      <c r="F33" s="49"/>
      <c r="G33" s="49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27" x14ac:dyDescent="0.25">
      <c r="A34" s="54" t="s">
        <v>11</v>
      </c>
      <c r="B34" s="52">
        <f>B23+B31</f>
        <v>10080340.170000002</v>
      </c>
      <c r="C34" s="52">
        <f t="shared" ref="C34:AA34" si="18">C23+C31</f>
        <v>1319159.06</v>
      </c>
      <c r="D34" s="52">
        <f t="shared" si="18"/>
        <v>146181.29</v>
      </c>
      <c r="E34" s="52">
        <f t="shared" si="18"/>
        <v>0</v>
      </c>
      <c r="F34" s="52">
        <f t="shared" si="18"/>
        <v>151770</v>
      </c>
      <c r="G34" s="52">
        <f t="shared" si="18"/>
        <v>0</v>
      </c>
      <c r="H34" s="52">
        <f t="shared" si="18"/>
        <v>11697450.520000001</v>
      </c>
      <c r="I34" s="53">
        <f t="shared" si="18"/>
        <v>1461703.9900000002</v>
      </c>
      <c r="J34" s="53">
        <f t="shared" si="18"/>
        <v>306125.80000000005</v>
      </c>
      <c r="K34" s="53">
        <f t="shared" si="18"/>
        <v>41984.369999999995</v>
      </c>
      <c r="L34" s="53">
        <f t="shared" si="18"/>
        <v>41474.46</v>
      </c>
      <c r="M34" s="53">
        <f t="shared" si="18"/>
        <v>0</v>
      </c>
      <c r="N34" s="53">
        <f t="shared" si="18"/>
        <v>12099.54</v>
      </c>
      <c r="O34" s="53">
        <f t="shared" si="18"/>
        <v>48337.070000000007</v>
      </c>
      <c r="P34" s="53">
        <f t="shared" si="18"/>
        <v>0</v>
      </c>
      <c r="Q34" s="53">
        <f t="shared" si="18"/>
        <v>53667.210000000006</v>
      </c>
      <c r="R34" s="53">
        <f t="shared" si="18"/>
        <v>0</v>
      </c>
      <c r="S34" s="53">
        <f t="shared" si="18"/>
        <v>0</v>
      </c>
      <c r="T34" s="53">
        <f>T23+T31</f>
        <v>0</v>
      </c>
      <c r="U34" s="53">
        <f t="shared" si="18"/>
        <v>5000</v>
      </c>
      <c r="V34" s="53">
        <f t="shared" si="18"/>
        <v>2385418.88</v>
      </c>
      <c r="W34" s="53">
        <f t="shared" si="18"/>
        <v>0</v>
      </c>
      <c r="X34" s="53">
        <f t="shared" si="18"/>
        <v>191342.4</v>
      </c>
      <c r="Y34" s="53">
        <f t="shared" si="18"/>
        <v>0</v>
      </c>
      <c r="Z34" s="53">
        <f t="shared" si="18"/>
        <v>15884904.440000001</v>
      </c>
      <c r="AA34" s="53">
        <f t="shared" si="18"/>
        <v>359699.80000000005</v>
      </c>
    </row>
    <row r="35" spans="1:27" x14ac:dyDescent="0.25">
      <c r="A35" s="54" t="s">
        <v>8</v>
      </c>
      <c r="B35" s="52">
        <f>B34</f>
        <v>10080340.170000002</v>
      </c>
      <c r="C35" s="52">
        <f t="shared" ref="C35:AA35" si="19">C34</f>
        <v>1319159.06</v>
      </c>
      <c r="D35" s="52">
        <f t="shared" si="19"/>
        <v>146181.29</v>
      </c>
      <c r="E35" s="52">
        <f t="shared" si="19"/>
        <v>0</v>
      </c>
      <c r="F35" s="52">
        <f t="shared" si="19"/>
        <v>151770</v>
      </c>
      <c r="G35" s="52">
        <f t="shared" si="19"/>
        <v>0</v>
      </c>
      <c r="H35" s="52">
        <f t="shared" si="19"/>
        <v>11697450.520000001</v>
      </c>
      <c r="I35" s="53">
        <f t="shared" si="19"/>
        <v>1461703.9900000002</v>
      </c>
      <c r="J35" s="53">
        <f t="shared" si="19"/>
        <v>306125.80000000005</v>
      </c>
      <c r="K35" s="53">
        <f t="shared" si="19"/>
        <v>41984.369999999995</v>
      </c>
      <c r="L35" s="53">
        <f t="shared" si="19"/>
        <v>41474.46</v>
      </c>
      <c r="M35" s="53">
        <f t="shared" si="19"/>
        <v>0</v>
      </c>
      <c r="N35" s="53">
        <f t="shared" si="19"/>
        <v>12099.54</v>
      </c>
      <c r="O35" s="53">
        <f t="shared" si="19"/>
        <v>48337.070000000007</v>
      </c>
      <c r="P35" s="53">
        <f t="shared" si="19"/>
        <v>0</v>
      </c>
      <c r="Q35" s="53">
        <f t="shared" si="19"/>
        <v>53667.210000000006</v>
      </c>
      <c r="R35" s="53">
        <f t="shared" si="19"/>
        <v>0</v>
      </c>
      <c r="S35" s="53">
        <f t="shared" si="19"/>
        <v>0</v>
      </c>
      <c r="T35" s="53">
        <f t="shared" si="19"/>
        <v>0</v>
      </c>
      <c r="U35" s="53">
        <f t="shared" si="19"/>
        <v>5000</v>
      </c>
      <c r="V35" s="53">
        <f t="shared" si="19"/>
        <v>2385418.88</v>
      </c>
      <c r="W35" s="53">
        <f t="shared" si="19"/>
        <v>0</v>
      </c>
      <c r="X35" s="53">
        <f t="shared" si="19"/>
        <v>191342.4</v>
      </c>
      <c r="Y35" s="53">
        <f t="shared" si="19"/>
        <v>0</v>
      </c>
      <c r="Z35" s="53">
        <f t="shared" si="19"/>
        <v>15884904.440000001</v>
      </c>
      <c r="AA35" s="53">
        <f t="shared" si="19"/>
        <v>359699.80000000005</v>
      </c>
    </row>
    <row r="36" spans="1:27" ht="18" x14ac:dyDescent="0.25">
      <c r="A36" s="1"/>
    </row>
    <row r="37" spans="1:27" x14ac:dyDescent="0.25">
      <c r="A37" s="2" t="s">
        <v>26</v>
      </c>
    </row>
    <row r="38" spans="1:27" x14ac:dyDescent="0.25">
      <c r="A38" s="2" t="s">
        <v>27</v>
      </c>
    </row>
    <row r="39" spans="1:27" x14ac:dyDescent="0.25">
      <c r="A39" s="2" t="s">
        <v>12</v>
      </c>
    </row>
    <row r="40" spans="1:27" x14ac:dyDescent="0.25">
      <c r="A40" s="2" t="s">
        <v>28</v>
      </c>
    </row>
  </sheetData>
  <mergeCells count="8">
    <mergeCell ref="Z6:AA6"/>
    <mergeCell ref="I6:J6"/>
    <mergeCell ref="K6:L6"/>
    <mergeCell ref="M6:N6"/>
    <mergeCell ref="O6:P6"/>
    <mergeCell ref="Q6:R6"/>
    <mergeCell ref="S6:T6"/>
    <mergeCell ref="V6:W6"/>
  </mergeCells>
  <pageMargins left="0" right="0" top="0" bottom="0" header="0.3" footer="0.3"/>
  <pageSetup paperSize="5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90D6-9BBE-4E6F-88B6-300E0010B851}">
  <sheetPr>
    <pageSetUpPr fitToPage="1"/>
  </sheetPr>
  <dimension ref="A1:AA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1.42578125" customWidth="1"/>
    <col min="2" max="7" width="18.7109375" customWidth="1"/>
    <col min="8" max="8" width="15.42578125" bestFit="1" customWidth="1"/>
    <col min="9" max="21" width="14.28515625" bestFit="1" customWidth="1"/>
    <col min="22" max="22" width="15.42578125" bestFit="1" customWidth="1"/>
    <col min="23" max="25" width="14.28515625" bestFit="1" customWidth="1"/>
    <col min="26" max="26" width="15.42578125" bestFit="1" customWidth="1"/>
    <col min="27" max="27" width="12.42578125" bestFit="1" customWidth="1"/>
  </cols>
  <sheetData>
    <row r="1" spans="1:27" s="5" customFormat="1" x14ac:dyDescent="0.25">
      <c r="A1" s="35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37" t="s">
        <v>0</v>
      </c>
    </row>
    <row r="2" spans="1:27" s="5" customFormat="1" x14ac:dyDescent="0.25">
      <c r="A2" s="11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27" s="5" customFormat="1" x14ac:dyDescent="0.25">
      <c r="A3" s="11" t="s">
        <v>53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1:27" s="5" customFormat="1" x14ac:dyDescent="0.25">
      <c r="A4" s="11" t="s">
        <v>49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</row>
    <row r="5" spans="1:27" s="5" customFormat="1" x14ac:dyDescent="0.25">
      <c r="A5" s="3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</row>
    <row r="6" spans="1:27" s="3" customFormat="1" ht="45.75" customHeight="1" x14ac:dyDescent="0.2">
      <c r="A6" s="38"/>
      <c r="B6" s="38" t="s">
        <v>38</v>
      </c>
      <c r="C6" s="38" t="s">
        <v>38</v>
      </c>
      <c r="D6" s="38" t="s">
        <v>38</v>
      </c>
      <c r="E6" s="38" t="s">
        <v>38</v>
      </c>
      <c r="F6" s="38" t="s">
        <v>38</v>
      </c>
      <c r="G6" s="38" t="s">
        <v>38</v>
      </c>
      <c r="H6" s="38" t="s">
        <v>13</v>
      </c>
      <c r="I6" s="39" t="s">
        <v>39</v>
      </c>
      <c r="J6" s="39"/>
      <c r="K6" s="39" t="s">
        <v>40</v>
      </c>
      <c r="L6" s="39"/>
      <c r="M6" s="39" t="s">
        <v>41</v>
      </c>
      <c r="N6" s="39"/>
      <c r="O6" s="39" t="s">
        <v>42</v>
      </c>
      <c r="P6" s="39"/>
      <c r="Q6" s="39" t="s">
        <v>43</v>
      </c>
      <c r="R6" s="39"/>
      <c r="S6" s="39" t="s">
        <v>44</v>
      </c>
      <c r="T6" s="39"/>
      <c r="U6" s="38" t="s">
        <v>45</v>
      </c>
      <c r="V6" s="39" t="s">
        <v>46</v>
      </c>
      <c r="W6" s="39"/>
      <c r="X6" s="38" t="s">
        <v>2</v>
      </c>
      <c r="Y6" s="38" t="s">
        <v>47</v>
      </c>
      <c r="Z6" s="39" t="s">
        <v>3</v>
      </c>
      <c r="AA6" s="39"/>
    </row>
    <row r="7" spans="1:27" s="4" customFormat="1" ht="12" x14ac:dyDescent="0.2">
      <c r="A7" s="40" t="s">
        <v>1</v>
      </c>
      <c r="B7" s="41" t="s">
        <v>20</v>
      </c>
      <c r="C7" s="41" t="s">
        <v>15</v>
      </c>
      <c r="D7" s="41" t="s">
        <v>16</v>
      </c>
      <c r="E7" s="41" t="s">
        <v>17</v>
      </c>
      <c r="F7" s="41" t="s">
        <v>18</v>
      </c>
      <c r="G7" s="41" t="s">
        <v>19</v>
      </c>
      <c r="H7" s="42"/>
      <c r="I7" s="40" t="s">
        <v>4</v>
      </c>
      <c r="J7" s="43" t="s">
        <v>5</v>
      </c>
      <c r="K7" s="40" t="s">
        <v>4</v>
      </c>
      <c r="L7" s="43" t="s">
        <v>5</v>
      </c>
      <c r="M7" s="40" t="s">
        <v>4</v>
      </c>
      <c r="N7" s="43" t="s">
        <v>5</v>
      </c>
      <c r="O7" s="40" t="s">
        <v>4</v>
      </c>
      <c r="P7" s="43" t="s">
        <v>5</v>
      </c>
      <c r="Q7" s="40" t="s">
        <v>4</v>
      </c>
      <c r="R7" s="43" t="s">
        <v>5</v>
      </c>
      <c r="S7" s="40" t="s">
        <v>4</v>
      </c>
      <c r="T7" s="43" t="s">
        <v>5</v>
      </c>
      <c r="U7" s="44" t="s">
        <v>4</v>
      </c>
      <c r="V7" s="40" t="s">
        <v>4</v>
      </c>
      <c r="W7" s="43" t="s">
        <v>5</v>
      </c>
      <c r="X7" s="42"/>
      <c r="Y7" s="42"/>
      <c r="Z7" s="40" t="s">
        <v>4</v>
      </c>
      <c r="AA7" s="43" t="s">
        <v>5</v>
      </c>
    </row>
    <row r="8" spans="1:27" ht="24" x14ac:dyDescent="0.25">
      <c r="A8" s="45" t="s">
        <v>6</v>
      </c>
      <c r="B8" s="46"/>
      <c r="C8" s="46"/>
      <c r="D8" s="46"/>
      <c r="E8" s="46"/>
      <c r="F8" s="46"/>
      <c r="G8" s="46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x14ac:dyDescent="0.25">
      <c r="A9" s="48" t="s">
        <v>14</v>
      </c>
      <c r="B9" s="49">
        <v>252803.92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f>SUM(B9:G9)</f>
        <v>252803.92</v>
      </c>
      <c r="I9" s="50">
        <v>11587.46</v>
      </c>
      <c r="J9" s="50">
        <v>2668.8</v>
      </c>
      <c r="K9" s="50">
        <v>309.60000000000002</v>
      </c>
      <c r="L9" s="50">
        <v>309.83999999999997</v>
      </c>
      <c r="M9" s="50">
        <v>0</v>
      </c>
      <c r="N9" s="50">
        <v>109.2</v>
      </c>
      <c r="O9" s="50">
        <v>1326</v>
      </c>
      <c r="P9" s="50">
        <v>0</v>
      </c>
      <c r="Q9" s="50">
        <v>1072.8</v>
      </c>
      <c r="R9" s="50">
        <v>0</v>
      </c>
      <c r="S9" s="50">
        <v>0</v>
      </c>
      <c r="T9" s="50">
        <v>0</v>
      </c>
      <c r="U9" s="50">
        <v>0</v>
      </c>
      <c r="V9" s="50">
        <v>69254.399999999994</v>
      </c>
      <c r="W9" s="50">
        <v>0</v>
      </c>
      <c r="X9" s="50">
        <v>5000.32</v>
      </c>
      <c r="Y9" s="50">
        <v>0</v>
      </c>
      <c r="Z9" s="50">
        <f>H9+I9+K9+M9+O9+Q9+S9+U9+V9+X9</f>
        <v>341354.49999999994</v>
      </c>
      <c r="AA9" s="50">
        <f>J9+L9+N9+P9+R9+T9+W9</f>
        <v>3087.84</v>
      </c>
    </row>
    <row r="10" spans="1:27" x14ac:dyDescent="0.25">
      <c r="A10" s="48" t="s">
        <v>48</v>
      </c>
      <c r="B10" s="49">
        <v>192662.44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f t="shared" ref="H10:H11" si="0">SUM(B10:G10)</f>
        <v>192662.44</v>
      </c>
      <c r="I10" s="50">
        <v>14123.06</v>
      </c>
      <c r="J10" s="50">
        <v>5334.48</v>
      </c>
      <c r="K10" s="50">
        <v>538.55999999999995</v>
      </c>
      <c r="L10" s="50">
        <v>538.79999999999995</v>
      </c>
      <c r="M10" s="50">
        <v>0</v>
      </c>
      <c r="N10" s="50">
        <v>176.28</v>
      </c>
      <c r="O10" s="50">
        <v>946.8</v>
      </c>
      <c r="P10" s="50">
        <v>0</v>
      </c>
      <c r="Q10" s="50">
        <v>1061.1600000000001</v>
      </c>
      <c r="R10" s="50">
        <v>0</v>
      </c>
      <c r="S10" s="50">
        <v>0</v>
      </c>
      <c r="T10" s="50">
        <v>0</v>
      </c>
      <c r="U10" s="50">
        <v>0</v>
      </c>
      <c r="V10" s="50">
        <v>49319.28</v>
      </c>
      <c r="W10" s="50">
        <v>0</v>
      </c>
      <c r="X10" s="50">
        <v>3834.91</v>
      </c>
      <c r="Y10" s="50">
        <v>0</v>
      </c>
      <c r="Z10" s="50">
        <f t="shared" ref="Z10:Z11" si="1">H10+I10+K10+M10+O10+Q10+S10+U10+V10+X10</f>
        <v>262486.20999999996</v>
      </c>
      <c r="AA10" s="50">
        <f t="shared" ref="AA10:AA11" si="2">J10+L10+N10+P10+R10+T10+W10</f>
        <v>6049.5599999999995</v>
      </c>
    </row>
    <row r="11" spans="1:27" x14ac:dyDescent="0.25">
      <c r="A11" s="48" t="s">
        <v>30</v>
      </c>
      <c r="B11" s="49">
        <v>181544.48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f t="shared" si="0"/>
        <v>181544.48</v>
      </c>
      <c r="I11" s="50">
        <v>6177.5</v>
      </c>
      <c r="J11" s="50">
        <v>0</v>
      </c>
      <c r="K11" s="50">
        <v>174.84</v>
      </c>
      <c r="L11" s="50">
        <v>174.96</v>
      </c>
      <c r="M11" s="50">
        <v>0</v>
      </c>
      <c r="N11" s="50">
        <v>64.92</v>
      </c>
      <c r="O11" s="50">
        <v>936.12</v>
      </c>
      <c r="P11" s="50">
        <v>0</v>
      </c>
      <c r="Q11" s="50">
        <v>1049.4000000000001</v>
      </c>
      <c r="R11" s="50">
        <v>0</v>
      </c>
      <c r="S11" s="50">
        <v>0</v>
      </c>
      <c r="T11" s="50">
        <v>0</v>
      </c>
      <c r="U11" s="50">
        <v>0</v>
      </c>
      <c r="V11" s="50">
        <v>48771.96</v>
      </c>
      <c r="W11" s="50">
        <v>0</v>
      </c>
      <c r="X11" s="50">
        <v>3598.84</v>
      </c>
      <c r="Y11" s="50">
        <v>0</v>
      </c>
      <c r="Z11" s="50">
        <f t="shared" si="1"/>
        <v>242253.13999999998</v>
      </c>
      <c r="AA11" s="50">
        <f t="shared" si="2"/>
        <v>239.88</v>
      </c>
    </row>
    <row r="12" spans="1:27" ht="24" x14ac:dyDescent="0.25">
      <c r="A12" s="51" t="s">
        <v>9</v>
      </c>
      <c r="B12" s="52">
        <f t="shared" ref="B12:AA12" si="3">SUM(B9:B11)</f>
        <v>627010.84</v>
      </c>
      <c r="C12" s="52">
        <f t="shared" si="3"/>
        <v>0</v>
      </c>
      <c r="D12" s="52">
        <f t="shared" si="3"/>
        <v>0</v>
      </c>
      <c r="E12" s="52">
        <f t="shared" si="3"/>
        <v>0</v>
      </c>
      <c r="F12" s="52">
        <f t="shared" si="3"/>
        <v>0</v>
      </c>
      <c r="G12" s="52">
        <f t="shared" si="3"/>
        <v>0</v>
      </c>
      <c r="H12" s="52">
        <f t="shared" si="3"/>
        <v>627010.84</v>
      </c>
      <c r="I12" s="53">
        <f t="shared" si="3"/>
        <v>31888.019999999997</v>
      </c>
      <c r="J12" s="53">
        <f t="shared" si="3"/>
        <v>8003.28</v>
      </c>
      <c r="K12" s="53">
        <f t="shared" si="3"/>
        <v>1023</v>
      </c>
      <c r="L12" s="53">
        <f t="shared" si="3"/>
        <v>1023.5999999999999</v>
      </c>
      <c r="M12" s="53">
        <f t="shared" si="3"/>
        <v>0</v>
      </c>
      <c r="N12" s="53">
        <f t="shared" si="3"/>
        <v>350.40000000000003</v>
      </c>
      <c r="O12" s="53">
        <f t="shared" si="3"/>
        <v>3208.92</v>
      </c>
      <c r="P12" s="53">
        <f t="shared" si="3"/>
        <v>0</v>
      </c>
      <c r="Q12" s="53">
        <f t="shared" si="3"/>
        <v>3183.36</v>
      </c>
      <c r="R12" s="53">
        <f t="shared" si="3"/>
        <v>0</v>
      </c>
      <c r="S12" s="53">
        <f t="shared" si="3"/>
        <v>0</v>
      </c>
      <c r="T12" s="53">
        <f t="shared" si="3"/>
        <v>0</v>
      </c>
      <c r="U12" s="53">
        <f t="shared" si="3"/>
        <v>0</v>
      </c>
      <c r="V12" s="53">
        <f t="shared" si="3"/>
        <v>167345.63999999998</v>
      </c>
      <c r="W12" s="53">
        <f t="shared" si="3"/>
        <v>0</v>
      </c>
      <c r="X12" s="53">
        <f t="shared" si="3"/>
        <v>12434.07</v>
      </c>
      <c r="Y12" s="53">
        <f t="shared" si="3"/>
        <v>0</v>
      </c>
      <c r="Z12" s="53">
        <f t="shared" si="3"/>
        <v>846093.85</v>
      </c>
      <c r="AA12" s="53">
        <f t="shared" si="3"/>
        <v>9377.2799999999988</v>
      </c>
    </row>
    <row r="13" spans="1:27" x14ac:dyDescent="0.25">
      <c r="A13" s="54" t="s">
        <v>7</v>
      </c>
      <c r="B13" s="52">
        <f>B12</f>
        <v>627010.84</v>
      </c>
      <c r="C13" s="52">
        <f t="shared" ref="C13:Z13" si="4">C12</f>
        <v>0</v>
      </c>
      <c r="D13" s="52">
        <f t="shared" si="4"/>
        <v>0</v>
      </c>
      <c r="E13" s="52">
        <f t="shared" si="4"/>
        <v>0</v>
      </c>
      <c r="F13" s="52">
        <f t="shared" si="4"/>
        <v>0</v>
      </c>
      <c r="G13" s="52">
        <f t="shared" si="4"/>
        <v>0</v>
      </c>
      <c r="H13" s="52">
        <f t="shared" si="4"/>
        <v>627010.84</v>
      </c>
      <c r="I13" s="53">
        <f t="shared" si="4"/>
        <v>31888.019999999997</v>
      </c>
      <c r="J13" s="53">
        <f t="shared" si="4"/>
        <v>8003.28</v>
      </c>
      <c r="K13" s="53">
        <f t="shared" si="4"/>
        <v>1023</v>
      </c>
      <c r="L13" s="53">
        <f t="shared" si="4"/>
        <v>1023.5999999999999</v>
      </c>
      <c r="M13" s="53">
        <f t="shared" si="4"/>
        <v>0</v>
      </c>
      <c r="N13" s="53">
        <f t="shared" si="4"/>
        <v>350.40000000000003</v>
      </c>
      <c r="O13" s="53">
        <f t="shared" si="4"/>
        <v>3208.92</v>
      </c>
      <c r="P13" s="53">
        <f t="shared" si="4"/>
        <v>0</v>
      </c>
      <c r="Q13" s="53">
        <f t="shared" si="4"/>
        <v>3183.36</v>
      </c>
      <c r="R13" s="53">
        <f t="shared" si="4"/>
        <v>0</v>
      </c>
      <c r="S13" s="53">
        <f t="shared" si="4"/>
        <v>0</v>
      </c>
      <c r="T13" s="53">
        <f t="shared" si="4"/>
        <v>0</v>
      </c>
      <c r="U13" s="53">
        <f t="shared" si="4"/>
        <v>0</v>
      </c>
      <c r="V13" s="53">
        <f t="shared" si="4"/>
        <v>167345.63999999998</v>
      </c>
      <c r="W13" s="53">
        <f t="shared" si="4"/>
        <v>0</v>
      </c>
      <c r="X13" s="53">
        <f t="shared" si="4"/>
        <v>12434.07</v>
      </c>
      <c r="Y13" s="53">
        <f t="shared" si="4"/>
        <v>0</v>
      </c>
      <c r="Z13" s="53">
        <f t="shared" si="4"/>
        <v>846093.85</v>
      </c>
      <c r="AA13" s="53">
        <f>AA12</f>
        <v>9377.2799999999988</v>
      </c>
    </row>
    <row r="14" spans="1:27" x14ac:dyDescent="0.25">
      <c r="A14" s="54" t="s">
        <v>8</v>
      </c>
      <c r="B14" s="52">
        <f>B12</f>
        <v>627010.84</v>
      </c>
      <c r="C14" s="52">
        <f t="shared" ref="C14:Z14" si="5">C12</f>
        <v>0</v>
      </c>
      <c r="D14" s="52">
        <f t="shared" si="5"/>
        <v>0</v>
      </c>
      <c r="E14" s="52">
        <f t="shared" si="5"/>
        <v>0</v>
      </c>
      <c r="F14" s="52">
        <f t="shared" si="5"/>
        <v>0</v>
      </c>
      <c r="G14" s="52">
        <f t="shared" si="5"/>
        <v>0</v>
      </c>
      <c r="H14" s="52">
        <f t="shared" si="5"/>
        <v>627010.84</v>
      </c>
      <c r="I14" s="53">
        <f t="shared" si="5"/>
        <v>31888.019999999997</v>
      </c>
      <c r="J14" s="53">
        <f t="shared" si="5"/>
        <v>8003.28</v>
      </c>
      <c r="K14" s="53">
        <f t="shared" si="5"/>
        <v>1023</v>
      </c>
      <c r="L14" s="53">
        <f t="shared" si="5"/>
        <v>1023.5999999999999</v>
      </c>
      <c r="M14" s="53">
        <f t="shared" si="5"/>
        <v>0</v>
      </c>
      <c r="N14" s="53">
        <f t="shared" si="5"/>
        <v>350.40000000000003</v>
      </c>
      <c r="O14" s="53">
        <f t="shared" si="5"/>
        <v>3208.92</v>
      </c>
      <c r="P14" s="53">
        <f t="shared" si="5"/>
        <v>0</v>
      </c>
      <c r="Q14" s="53">
        <f t="shared" si="5"/>
        <v>3183.36</v>
      </c>
      <c r="R14" s="53">
        <f t="shared" si="5"/>
        <v>0</v>
      </c>
      <c r="S14" s="53">
        <f t="shared" si="5"/>
        <v>0</v>
      </c>
      <c r="T14" s="53">
        <f t="shared" si="5"/>
        <v>0</v>
      </c>
      <c r="U14" s="53">
        <f t="shared" si="5"/>
        <v>0</v>
      </c>
      <c r="V14" s="53">
        <f t="shared" si="5"/>
        <v>167345.63999999998</v>
      </c>
      <c r="W14" s="53">
        <f t="shared" si="5"/>
        <v>0</v>
      </c>
      <c r="X14" s="53">
        <f t="shared" si="5"/>
        <v>12434.07</v>
      </c>
      <c r="Y14" s="53">
        <f t="shared" si="5"/>
        <v>0</v>
      </c>
      <c r="Z14" s="53">
        <f t="shared" si="5"/>
        <v>846093.85</v>
      </c>
      <c r="AA14" s="53">
        <f>AA12</f>
        <v>9377.2799999999988</v>
      </c>
    </row>
    <row r="15" spans="1:27" x14ac:dyDescent="0.25">
      <c r="A15" s="55"/>
      <c r="B15" s="46"/>
      <c r="C15" s="46"/>
      <c r="D15" s="46"/>
      <c r="E15" s="46"/>
      <c r="F15" s="46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spans="1:27" x14ac:dyDescent="0.25">
      <c r="A16" s="45" t="s">
        <v>22</v>
      </c>
      <c r="B16" s="46">
        <v>241449.98</v>
      </c>
      <c r="C16" s="46">
        <v>0</v>
      </c>
      <c r="D16" s="46">
        <v>0</v>
      </c>
      <c r="E16" s="46">
        <v>0</v>
      </c>
      <c r="F16" s="46">
        <v>0</v>
      </c>
      <c r="G16" s="49">
        <v>0</v>
      </c>
      <c r="H16" s="49">
        <f t="shared" ref="H16:H18" si="6">SUM(B16:G16)</f>
        <v>241449.98</v>
      </c>
      <c r="I16" s="50">
        <v>25822.41</v>
      </c>
      <c r="J16" s="50">
        <v>8891.58</v>
      </c>
      <c r="K16" s="50">
        <v>762.96</v>
      </c>
      <c r="L16" s="50">
        <v>763.3</v>
      </c>
      <c r="M16" s="50">
        <v>0</v>
      </c>
      <c r="N16" s="50">
        <v>304.33</v>
      </c>
      <c r="O16" s="50">
        <v>1070.04</v>
      </c>
      <c r="P16" s="50">
        <v>0</v>
      </c>
      <c r="Q16" s="50">
        <v>1201.3499999999999</v>
      </c>
      <c r="R16" s="50">
        <v>0</v>
      </c>
      <c r="S16" s="50">
        <v>0</v>
      </c>
      <c r="T16" s="50">
        <v>0</v>
      </c>
      <c r="U16" s="50">
        <v>0</v>
      </c>
      <c r="V16" s="50">
        <v>28672.83</v>
      </c>
      <c r="W16" s="50">
        <v>0</v>
      </c>
      <c r="X16" s="50">
        <v>4750.63</v>
      </c>
      <c r="Y16" s="50">
        <v>0</v>
      </c>
      <c r="Z16" s="50">
        <f t="shared" ref="Z16:Z18" si="7">H16+I16+K16+M16+O16+Q16+S16+U16+V16+X16</f>
        <v>303730.2</v>
      </c>
      <c r="AA16" s="50">
        <f t="shared" ref="AA16:AA18" si="8">J16+L16+N16+P16+R16+T16+W16</f>
        <v>9959.2099999999991</v>
      </c>
    </row>
    <row r="17" spans="1:27" x14ac:dyDescent="0.25">
      <c r="A17" s="45" t="s">
        <v>23</v>
      </c>
      <c r="B17" s="46">
        <f>1000906.67-D17</f>
        <v>894661.92</v>
      </c>
      <c r="C17" s="46">
        <v>0</v>
      </c>
      <c r="D17" s="46">
        <v>106244.75</v>
      </c>
      <c r="E17" s="46">
        <v>0</v>
      </c>
      <c r="F17" s="46">
        <v>0</v>
      </c>
      <c r="G17" s="49">
        <v>0</v>
      </c>
      <c r="H17" s="49">
        <f t="shared" si="6"/>
        <v>1000906.67</v>
      </c>
      <c r="I17" s="50">
        <v>148246.03</v>
      </c>
      <c r="J17" s="50">
        <v>26728.16</v>
      </c>
      <c r="K17" s="50">
        <v>4735.88</v>
      </c>
      <c r="L17" s="50">
        <v>4738.82</v>
      </c>
      <c r="M17" s="50">
        <v>0</v>
      </c>
      <c r="N17" s="50">
        <v>1563.1</v>
      </c>
      <c r="O17" s="50">
        <v>7870.43</v>
      </c>
      <c r="P17" s="50">
        <v>0</v>
      </c>
      <c r="Q17" s="50">
        <v>8823.76</v>
      </c>
      <c r="R17" s="50">
        <v>0</v>
      </c>
      <c r="S17" s="50">
        <v>0</v>
      </c>
      <c r="T17" s="50">
        <v>0</v>
      </c>
      <c r="U17" s="50">
        <v>1000</v>
      </c>
      <c r="V17" s="50">
        <v>220804.8</v>
      </c>
      <c r="W17" s="50">
        <v>0</v>
      </c>
      <c r="X17" s="50">
        <v>28568.7</v>
      </c>
      <c r="Y17" s="50">
        <v>0</v>
      </c>
      <c r="Z17" s="50">
        <f t="shared" si="7"/>
        <v>1420956.2699999998</v>
      </c>
      <c r="AA17" s="50">
        <f t="shared" si="8"/>
        <v>33030.080000000002</v>
      </c>
    </row>
    <row r="18" spans="1:27" x14ac:dyDescent="0.25">
      <c r="A18" s="45" t="s">
        <v>24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9">
        <v>0</v>
      </c>
      <c r="H18" s="49">
        <f t="shared" si="6"/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f t="shared" si="7"/>
        <v>0</v>
      </c>
      <c r="AA18" s="50">
        <f t="shared" si="8"/>
        <v>0</v>
      </c>
    </row>
    <row r="19" spans="1:27" x14ac:dyDescent="0.25">
      <c r="A19" s="54" t="s">
        <v>7</v>
      </c>
      <c r="B19" s="53">
        <f>SUM(B16:B18)</f>
        <v>1136111.9000000001</v>
      </c>
      <c r="C19" s="53">
        <f t="shared" ref="C19:H19" si="9">SUM(C16:C18)</f>
        <v>0</v>
      </c>
      <c r="D19" s="53">
        <f t="shared" si="9"/>
        <v>106244.75</v>
      </c>
      <c r="E19" s="53">
        <f t="shared" si="9"/>
        <v>0</v>
      </c>
      <c r="F19" s="53">
        <f t="shared" si="9"/>
        <v>0</v>
      </c>
      <c r="G19" s="52">
        <f t="shared" si="9"/>
        <v>0</v>
      </c>
      <c r="H19" s="52">
        <f t="shared" si="9"/>
        <v>1242356.6500000001</v>
      </c>
      <c r="I19" s="53">
        <f>SUM(I16:I18)</f>
        <v>174068.44</v>
      </c>
      <c r="J19" s="53">
        <f t="shared" ref="J19:AA19" si="10">SUM(J16:J18)</f>
        <v>35619.74</v>
      </c>
      <c r="K19" s="53">
        <f t="shared" si="10"/>
        <v>5498.84</v>
      </c>
      <c r="L19" s="53">
        <f t="shared" si="10"/>
        <v>5502.12</v>
      </c>
      <c r="M19" s="53">
        <f t="shared" si="10"/>
        <v>0</v>
      </c>
      <c r="N19" s="53">
        <f t="shared" si="10"/>
        <v>1867.4299999999998</v>
      </c>
      <c r="O19" s="53">
        <f t="shared" si="10"/>
        <v>8940.4700000000012</v>
      </c>
      <c r="P19" s="53">
        <f t="shared" si="10"/>
        <v>0</v>
      </c>
      <c r="Q19" s="53">
        <f t="shared" si="10"/>
        <v>10025.11</v>
      </c>
      <c r="R19" s="53">
        <f t="shared" si="10"/>
        <v>0</v>
      </c>
      <c r="S19" s="53">
        <f t="shared" si="10"/>
        <v>0</v>
      </c>
      <c r="T19" s="53">
        <f t="shared" si="10"/>
        <v>0</v>
      </c>
      <c r="U19" s="53">
        <f t="shared" si="10"/>
        <v>1000</v>
      </c>
      <c r="V19" s="53">
        <f t="shared" si="10"/>
        <v>249477.63</v>
      </c>
      <c r="W19" s="53">
        <f t="shared" si="10"/>
        <v>0</v>
      </c>
      <c r="X19" s="53">
        <f t="shared" si="10"/>
        <v>33319.33</v>
      </c>
      <c r="Y19" s="53">
        <f t="shared" si="10"/>
        <v>0</v>
      </c>
      <c r="Z19" s="53">
        <f t="shared" si="10"/>
        <v>1724686.4699999997</v>
      </c>
      <c r="AA19" s="53">
        <f t="shared" si="10"/>
        <v>42989.29</v>
      </c>
    </row>
    <row r="20" spans="1:27" x14ac:dyDescent="0.25">
      <c r="A20" s="54" t="s">
        <v>8</v>
      </c>
      <c r="B20" s="53">
        <f>B19</f>
        <v>1136111.9000000001</v>
      </c>
      <c r="C20" s="53">
        <f t="shared" ref="C20:AA20" si="11">C19</f>
        <v>0</v>
      </c>
      <c r="D20" s="53">
        <f t="shared" si="11"/>
        <v>106244.75</v>
      </c>
      <c r="E20" s="53">
        <f t="shared" si="11"/>
        <v>0</v>
      </c>
      <c r="F20" s="53">
        <f t="shared" si="11"/>
        <v>0</v>
      </c>
      <c r="G20" s="52">
        <f t="shared" si="11"/>
        <v>0</v>
      </c>
      <c r="H20" s="52">
        <f t="shared" si="11"/>
        <v>1242356.6500000001</v>
      </c>
      <c r="I20" s="53">
        <f t="shared" si="11"/>
        <v>174068.44</v>
      </c>
      <c r="J20" s="53">
        <f t="shared" si="11"/>
        <v>35619.74</v>
      </c>
      <c r="K20" s="53">
        <f t="shared" si="11"/>
        <v>5498.84</v>
      </c>
      <c r="L20" s="53">
        <f t="shared" si="11"/>
        <v>5502.12</v>
      </c>
      <c r="M20" s="53">
        <f t="shared" si="11"/>
        <v>0</v>
      </c>
      <c r="N20" s="53">
        <f t="shared" si="11"/>
        <v>1867.4299999999998</v>
      </c>
      <c r="O20" s="53">
        <f t="shared" si="11"/>
        <v>8940.4700000000012</v>
      </c>
      <c r="P20" s="53">
        <f t="shared" si="11"/>
        <v>0</v>
      </c>
      <c r="Q20" s="53">
        <f t="shared" si="11"/>
        <v>10025.11</v>
      </c>
      <c r="R20" s="53">
        <f t="shared" si="11"/>
        <v>0</v>
      </c>
      <c r="S20" s="53">
        <f t="shared" si="11"/>
        <v>0</v>
      </c>
      <c r="T20" s="53">
        <f t="shared" si="11"/>
        <v>0</v>
      </c>
      <c r="U20" s="53">
        <f t="shared" si="11"/>
        <v>1000</v>
      </c>
      <c r="V20" s="53">
        <f t="shared" si="11"/>
        <v>249477.63</v>
      </c>
      <c r="W20" s="53">
        <f t="shared" si="11"/>
        <v>0</v>
      </c>
      <c r="X20" s="53">
        <f t="shared" si="11"/>
        <v>33319.33</v>
      </c>
      <c r="Y20" s="53">
        <f t="shared" si="11"/>
        <v>0</v>
      </c>
      <c r="Z20" s="53">
        <f t="shared" si="11"/>
        <v>1724686.4699999997</v>
      </c>
      <c r="AA20" s="53">
        <f t="shared" si="11"/>
        <v>42989.29</v>
      </c>
    </row>
    <row r="21" spans="1:27" x14ac:dyDescent="0.25">
      <c r="A21" s="55"/>
      <c r="B21" s="56"/>
      <c r="C21" s="49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27" x14ac:dyDescent="0.25">
      <c r="A22" s="45" t="s">
        <v>35</v>
      </c>
      <c r="B22" s="49">
        <f>B13+B19</f>
        <v>1763122.7400000002</v>
      </c>
      <c r="C22" s="49">
        <f t="shared" ref="C22:AA22" si="12">C13+C19</f>
        <v>0</v>
      </c>
      <c r="D22" s="49">
        <f t="shared" si="12"/>
        <v>106244.75</v>
      </c>
      <c r="E22" s="49">
        <f t="shared" si="12"/>
        <v>0</v>
      </c>
      <c r="F22" s="49">
        <f t="shared" si="12"/>
        <v>0</v>
      </c>
      <c r="G22" s="49">
        <f t="shared" si="12"/>
        <v>0</v>
      </c>
      <c r="H22" s="49">
        <f t="shared" si="12"/>
        <v>1869367.4900000002</v>
      </c>
      <c r="I22" s="46">
        <f t="shared" si="12"/>
        <v>205956.46</v>
      </c>
      <c r="J22" s="46">
        <f t="shared" si="12"/>
        <v>43623.02</v>
      </c>
      <c r="K22" s="46">
        <f t="shared" si="12"/>
        <v>6521.84</v>
      </c>
      <c r="L22" s="46">
        <f t="shared" si="12"/>
        <v>6525.7199999999993</v>
      </c>
      <c r="M22" s="46">
        <f t="shared" si="12"/>
        <v>0</v>
      </c>
      <c r="N22" s="46">
        <f t="shared" si="12"/>
        <v>2217.83</v>
      </c>
      <c r="O22" s="46">
        <f t="shared" si="12"/>
        <v>12149.390000000001</v>
      </c>
      <c r="P22" s="46">
        <f t="shared" si="12"/>
        <v>0</v>
      </c>
      <c r="Q22" s="46">
        <f t="shared" si="12"/>
        <v>13208.470000000001</v>
      </c>
      <c r="R22" s="46">
        <f t="shared" si="12"/>
        <v>0</v>
      </c>
      <c r="S22" s="46">
        <f t="shared" si="12"/>
        <v>0</v>
      </c>
      <c r="T22" s="46">
        <f t="shared" si="12"/>
        <v>0</v>
      </c>
      <c r="U22" s="46">
        <f t="shared" si="12"/>
        <v>1000</v>
      </c>
      <c r="V22" s="46">
        <f t="shared" si="12"/>
        <v>416823.27</v>
      </c>
      <c r="W22" s="46">
        <f t="shared" si="12"/>
        <v>0</v>
      </c>
      <c r="X22" s="46">
        <f t="shared" si="12"/>
        <v>45753.4</v>
      </c>
      <c r="Y22" s="46">
        <f t="shared" si="12"/>
        <v>0</v>
      </c>
      <c r="Z22" s="46">
        <f t="shared" si="12"/>
        <v>2570780.3199999998</v>
      </c>
      <c r="AA22" s="46">
        <f t="shared" si="12"/>
        <v>52366.57</v>
      </c>
    </row>
    <row r="23" spans="1:27" x14ac:dyDescent="0.25">
      <c r="A23" s="45"/>
      <c r="B23" s="56"/>
      <c r="C23" s="56"/>
      <c r="D23" s="56"/>
      <c r="E23" s="56"/>
      <c r="F23" s="56"/>
      <c r="G23" s="56"/>
      <c r="H23" s="56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spans="1:27" x14ac:dyDescent="0.25">
      <c r="A24" s="45" t="s">
        <v>34</v>
      </c>
      <c r="B24" s="49">
        <f>675753.55-D24</f>
        <v>619785.1100000001</v>
      </c>
      <c r="C24" s="49">
        <v>110889.51</v>
      </c>
      <c r="D24" s="49">
        <v>55968.44</v>
      </c>
      <c r="E24" s="49">
        <v>0</v>
      </c>
      <c r="F24" s="49">
        <v>0</v>
      </c>
      <c r="G24" s="49">
        <v>0</v>
      </c>
      <c r="H24" s="49">
        <f>SUM(B24:G24)</f>
        <v>786643.06</v>
      </c>
      <c r="I24" s="50">
        <v>5601.62</v>
      </c>
      <c r="J24" s="50">
        <v>0</v>
      </c>
      <c r="K24" s="50">
        <v>174.84</v>
      </c>
      <c r="L24" s="50">
        <v>174.96</v>
      </c>
      <c r="M24" s="50">
        <v>0</v>
      </c>
      <c r="N24" s="50">
        <v>64.92</v>
      </c>
      <c r="O24" s="50">
        <v>442.92</v>
      </c>
      <c r="P24" s="50">
        <v>0</v>
      </c>
      <c r="Q24" s="50">
        <v>497.4</v>
      </c>
      <c r="R24" s="50">
        <v>0</v>
      </c>
      <c r="S24" s="50">
        <v>0</v>
      </c>
      <c r="T24" s="50">
        <v>0</v>
      </c>
      <c r="U24" s="50">
        <v>1000</v>
      </c>
      <c r="V24" s="50">
        <v>23115.599999999999</v>
      </c>
      <c r="W24" s="50">
        <v>0</v>
      </c>
      <c r="X24" s="50">
        <v>1812.34</v>
      </c>
      <c r="Y24" s="50">
        <v>0</v>
      </c>
      <c r="Z24" s="50">
        <f t="shared" ref="Z24:Z26" si="13">H24+I24+K24+M24+O24+Q24+S24+U24+V24+X24</f>
        <v>819287.78</v>
      </c>
      <c r="AA24" s="50">
        <f t="shared" ref="AA24:AA25" si="14">J24+L24+N24+P24+R24+T24+W24</f>
        <v>239.88</v>
      </c>
    </row>
    <row r="25" spans="1:27" ht="15.75" customHeight="1" x14ac:dyDescent="0.25">
      <c r="A25" s="45" t="s">
        <v>21</v>
      </c>
      <c r="B25" s="49">
        <v>482122.5</v>
      </c>
      <c r="C25" s="49">
        <v>528.22</v>
      </c>
      <c r="D25" s="49">
        <v>0</v>
      </c>
      <c r="E25" s="49">
        <v>0</v>
      </c>
      <c r="F25" s="49">
        <v>0</v>
      </c>
      <c r="G25" s="49">
        <v>0</v>
      </c>
      <c r="H25" s="49">
        <f>SUM(B25:G25)</f>
        <v>482650.72</v>
      </c>
      <c r="I25" s="50">
        <v>64494.97</v>
      </c>
      <c r="J25" s="50">
        <v>8561.6200000000008</v>
      </c>
      <c r="K25" s="50">
        <v>2005.08</v>
      </c>
      <c r="L25" s="50">
        <v>2007.12</v>
      </c>
      <c r="M25" s="50">
        <v>0</v>
      </c>
      <c r="N25" s="50">
        <v>639.84</v>
      </c>
      <c r="O25" s="50">
        <v>2455.6799999999998</v>
      </c>
      <c r="P25" s="50">
        <v>0</v>
      </c>
      <c r="Q25" s="50">
        <v>2750.28</v>
      </c>
      <c r="R25" s="50">
        <v>0</v>
      </c>
      <c r="S25" s="50">
        <v>0</v>
      </c>
      <c r="T25" s="50">
        <v>0</v>
      </c>
      <c r="U25" s="50">
        <v>0</v>
      </c>
      <c r="V25" s="50">
        <v>127821.36</v>
      </c>
      <c r="W25" s="50">
        <v>0</v>
      </c>
      <c r="X25" s="50">
        <v>9616.49</v>
      </c>
      <c r="Y25" s="50">
        <v>0</v>
      </c>
      <c r="Z25" s="50">
        <f t="shared" si="13"/>
        <v>691794.58</v>
      </c>
      <c r="AA25" s="50">
        <f t="shared" si="14"/>
        <v>11208.580000000002</v>
      </c>
    </row>
    <row r="26" spans="1:27" x14ac:dyDescent="0.25">
      <c r="A26" s="45" t="s">
        <v>37</v>
      </c>
      <c r="B26" s="49">
        <f>7294702.12-D26</f>
        <v>7222263.8600000003</v>
      </c>
      <c r="C26" s="49">
        <v>1226595.21</v>
      </c>
      <c r="D26" s="49">
        <v>72438.259999999995</v>
      </c>
      <c r="E26" s="49">
        <v>0</v>
      </c>
      <c r="F26" s="49">
        <v>0</v>
      </c>
      <c r="G26" s="49">
        <v>0</v>
      </c>
      <c r="H26" s="49">
        <f>SUM(B26:G26)</f>
        <v>8521297.3300000001</v>
      </c>
      <c r="I26" s="50">
        <v>1080416.75</v>
      </c>
      <c r="J26" s="50">
        <v>252352.44</v>
      </c>
      <c r="K26" s="50">
        <v>34833.120000000003</v>
      </c>
      <c r="L26" s="50">
        <v>34395.480000000003</v>
      </c>
      <c r="M26" s="50">
        <v>0</v>
      </c>
      <c r="N26" s="50">
        <v>9874.68</v>
      </c>
      <c r="O26" s="50">
        <v>36116.230000000003</v>
      </c>
      <c r="P26" s="50">
        <v>0</v>
      </c>
      <c r="Q26" s="50">
        <v>40013.58</v>
      </c>
      <c r="R26" s="50">
        <v>0</v>
      </c>
      <c r="S26" s="50">
        <v>0</v>
      </c>
      <c r="T26" s="50">
        <v>0</v>
      </c>
      <c r="U26" s="50">
        <v>4000</v>
      </c>
      <c r="V26" s="50">
        <v>1793481.08</v>
      </c>
      <c r="W26" s="50">
        <v>0</v>
      </c>
      <c r="X26" s="50">
        <v>131482.85999999999</v>
      </c>
      <c r="Y26" s="50">
        <v>0</v>
      </c>
      <c r="Z26" s="50">
        <f t="shared" si="13"/>
        <v>11641640.949999999</v>
      </c>
      <c r="AA26" s="50">
        <f>J26+L26+N26+P26+W26</f>
        <v>296622.59999999998</v>
      </c>
    </row>
    <row r="27" spans="1:27" x14ac:dyDescent="0.25">
      <c r="A27" s="54" t="s">
        <v>7</v>
      </c>
      <c r="B27" s="52">
        <f>SUM(B24:B26)</f>
        <v>8324171.4700000007</v>
      </c>
      <c r="C27" s="52">
        <f t="shared" ref="C27:Y27" si="15">SUM(C24:C26)</f>
        <v>1338012.94</v>
      </c>
      <c r="D27" s="52">
        <f t="shared" si="15"/>
        <v>128406.7</v>
      </c>
      <c r="E27" s="52">
        <f t="shared" si="15"/>
        <v>0</v>
      </c>
      <c r="F27" s="52">
        <f t="shared" si="15"/>
        <v>0</v>
      </c>
      <c r="G27" s="52">
        <f t="shared" si="15"/>
        <v>0</v>
      </c>
      <c r="H27" s="52">
        <f t="shared" si="15"/>
        <v>9790591.1099999994</v>
      </c>
      <c r="I27" s="53">
        <f t="shared" si="15"/>
        <v>1150513.3400000001</v>
      </c>
      <c r="J27" s="53">
        <f t="shared" si="15"/>
        <v>260914.06</v>
      </c>
      <c r="K27" s="53">
        <f t="shared" si="15"/>
        <v>37013.040000000001</v>
      </c>
      <c r="L27" s="53">
        <f t="shared" si="15"/>
        <v>36577.560000000005</v>
      </c>
      <c r="M27" s="53">
        <f t="shared" si="15"/>
        <v>0</v>
      </c>
      <c r="N27" s="53">
        <f t="shared" si="15"/>
        <v>10579.44</v>
      </c>
      <c r="O27" s="53">
        <f t="shared" si="15"/>
        <v>39014.83</v>
      </c>
      <c r="P27" s="53">
        <f t="shared" si="15"/>
        <v>0</v>
      </c>
      <c r="Q27" s="53">
        <f t="shared" si="15"/>
        <v>43261.26</v>
      </c>
      <c r="R27" s="53">
        <f t="shared" si="15"/>
        <v>0</v>
      </c>
      <c r="S27" s="53">
        <f t="shared" si="15"/>
        <v>0</v>
      </c>
      <c r="T27" s="53">
        <f t="shared" si="15"/>
        <v>0</v>
      </c>
      <c r="U27" s="53">
        <f t="shared" si="15"/>
        <v>5000</v>
      </c>
      <c r="V27" s="53">
        <f t="shared" si="15"/>
        <v>1944418.04</v>
      </c>
      <c r="W27" s="53">
        <f t="shared" si="15"/>
        <v>0</v>
      </c>
      <c r="X27" s="53">
        <f t="shared" si="15"/>
        <v>142911.68999999997</v>
      </c>
      <c r="Y27" s="53">
        <f t="shared" si="15"/>
        <v>0</v>
      </c>
      <c r="Z27" s="53">
        <f>SUM(Z24:Z26)</f>
        <v>13152723.309999999</v>
      </c>
      <c r="AA27" s="53">
        <f>SUM(AA24:AA26)</f>
        <v>308071.06</v>
      </c>
    </row>
    <row r="28" spans="1:27" x14ac:dyDescent="0.25">
      <c r="A28" s="54" t="s">
        <v>8</v>
      </c>
      <c r="B28" s="52">
        <f>B27</f>
        <v>8324171.4700000007</v>
      </c>
      <c r="C28" s="52">
        <f t="shared" ref="C28:AA28" si="16">C27</f>
        <v>1338012.94</v>
      </c>
      <c r="D28" s="52">
        <f t="shared" si="16"/>
        <v>128406.7</v>
      </c>
      <c r="E28" s="52">
        <f t="shared" si="16"/>
        <v>0</v>
      </c>
      <c r="F28" s="52">
        <f t="shared" si="16"/>
        <v>0</v>
      </c>
      <c r="G28" s="52">
        <f t="shared" si="16"/>
        <v>0</v>
      </c>
      <c r="H28" s="52">
        <f t="shared" si="16"/>
        <v>9790591.1099999994</v>
      </c>
      <c r="I28" s="53">
        <f t="shared" si="16"/>
        <v>1150513.3400000001</v>
      </c>
      <c r="J28" s="53">
        <f t="shared" si="16"/>
        <v>260914.06</v>
      </c>
      <c r="K28" s="53">
        <f t="shared" si="16"/>
        <v>37013.040000000001</v>
      </c>
      <c r="L28" s="53">
        <f t="shared" si="16"/>
        <v>36577.560000000005</v>
      </c>
      <c r="M28" s="53">
        <f t="shared" si="16"/>
        <v>0</v>
      </c>
      <c r="N28" s="53">
        <f t="shared" si="16"/>
        <v>10579.44</v>
      </c>
      <c r="O28" s="53">
        <f t="shared" si="16"/>
        <v>39014.83</v>
      </c>
      <c r="P28" s="53">
        <f t="shared" si="16"/>
        <v>0</v>
      </c>
      <c r="Q28" s="53">
        <f t="shared" si="16"/>
        <v>43261.26</v>
      </c>
      <c r="R28" s="53">
        <f t="shared" si="16"/>
        <v>0</v>
      </c>
      <c r="S28" s="53">
        <f t="shared" si="16"/>
        <v>0</v>
      </c>
      <c r="T28" s="53">
        <f t="shared" si="16"/>
        <v>0</v>
      </c>
      <c r="U28" s="53">
        <f t="shared" si="16"/>
        <v>5000</v>
      </c>
      <c r="V28" s="53">
        <f t="shared" si="16"/>
        <v>1944418.04</v>
      </c>
      <c r="W28" s="53">
        <f t="shared" si="16"/>
        <v>0</v>
      </c>
      <c r="X28" s="53">
        <f t="shared" si="16"/>
        <v>142911.68999999997</v>
      </c>
      <c r="Y28" s="53">
        <f t="shared" si="16"/>
        <v>0</v>
      </c>
      <c r="Z28" s="53">
        <f t="shared" si="16"/>
        <v>13152723.309999999</v>
      </c>
      <c r="AA28" s="53">
        <f t="shared" si="16"/>
        <v>308071.06</v>
      </c>
    </row>
    <row r="29" spans="1:27" x14ac:dyDescent="0.25">
      <c r="A29" s="55"/>
      <c r="B29" s="49"/>
      <c r="C29" s="49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x14ac:dyDescent="0.25">
      <c r="A30" s="57" t="s">
        <v>36</v>
      </c>
      <c r="B30" s="49">
        <f>B27</f>
        <v>8324171.4700000007</v>
      </c>
      <c r="C30" s="49">
        <f t="shared" ref="C30:AA30" si="17">C27</f>
        <v>1338012.94</v>
      </c>
      <c r="D30" s="49">
        <f t="shared" si="17"/>
        <v>128406.7</v>
      </c>
      <c r="E30" s="49">
        <f t="shared" si="17"/>
        <v>0</v>
      </c>
      <c r="F30" s="49">
        <f t="shared" si="17"/>
        <v>0</v>
      </c>
      <c r="G30" s="49">
        <f t="shared" si="17"/>
        <v>0</v>
      </c>
      <c r="H30" s="49">
        <f t="shared" si="17"/>
        <v>9790591.1099999994</v>
      </c>
      <c r="I30" s="46">
        <f t="shared" si="17"/>
        <v>1150513.3400000001</v>
      </c>
      <c r="J30" s="46">
        <f t="shared" si="17"/>
        <v>260914.06</v>
      </c>
      <c r="K30" s="46">
        <f t="shared" si="17"/>
        <v>37013.040000000001</v>
      </c>
      <c r="L30" s="46">
        <f t="shared" si="17"/>
        <v>36577.560000000005</v>
      </c>
      <c r="M30" s="46">
        <f t="shared" si="17"/>
        <v>0</v>
      </c>
      <c r="N30" s="46">
        <f t="shared" si="17"/>
        <v>10579.44</v>
      </c>
      <c r="O30" s="46">
        <f t="shared" si="17"/>
        <v>39014.83</v>
      </c>
      <c r="P30" s="46">
        <f t="shared" si="17"/>
        <v>0</v>
      </c>
      <c r="Q30" s="46">
        <f t="shared" si="17"/>
        <v>43261.26</v>
      </c>
      <c r="R30" s="46">
        <f t="shared" si="17"/>
        <v>0</v>
      </c>
      <c r="S30" s="46">
        <f t="shared" si="17"/>
        <v>0</v>
      </c>
      <c r="T30" s="46">
        <f t="shared" si="17"/>
        <v>0</v>
      </c>
      <c r="U30" s="46">
        <f t="shared" si="17"/>
        <v>5000</v>
      </c>
      <c r="V30" s="46">
        <f t="shared" si="17"/>
        <v>1944418.04</v>
      </c>
      <c r="W30" s="46">
        <f t="shared" si="17"/>
        <v>0</v>
      </c>
      <c r="X30" s="46">
        <f t="shared" si="17"/>
        <v>142911.68999999997</v>
      </c>
      <c r="Y30" s="46">
        <f t="shared" si="17"/>
        <v>0</v>
      </c>
      <c r="Z30" s="46">
        <f t="shared" si="17"/>
        <v>13152723.309999999</v>
      </c>
      <c r="AA30" s="46">
        <f t="shared" si="17"/>
        <v>308071.06</v>
      </c>
    </row>
    <row r="31" spans="1:27" x14ac:dyDescent="0.25">
      <c r="A31" s="55"/>
      <c r="B31" s="49"/>
      <c r="C31" s="49"/>
      <c r="D31" s="49"/>
      <c r="E31" s="49"/>
      <c r="F31" s="49"/>
      <c r="G31" s="49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1:27" x14ac:dyDescent="0.25">
      <c r="A32" s="45" t="s">
        <v>10</v>
      </c>
      <c r="B32" s="49"/>
      <c r="C32" s="49"/>
      <c r="D32" s="49"/>
      <c r="E32" s="49"/>
      <c r="F32" s="49"/>
      <c r="G32" s="49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27" x14ac:dyDescent="0.25">
      <c r="A33" s="54" t="s">
        <v>11</v>
      </c>
      <c r="B33" s="52">
        <f>B22+B30</f>
        <v>10087294.210000001</v>
      </c>
      <c r="C33" s="52">
        <f t="shared" ref="C33:AA33" si="18">C22+C30</f>
        <v>1338012.94</v>
      </c>
      <c r="D33" s="52">
        <f t="shared" si="18"/>
        <v>234651.45</v>
      </c>
      <c r="E33" s="52">
        <f t="shared" si="18"/>
        <v>0</v>
      </c>
      <c r="F33" s="52">
        <f t="shared" si="18"/>
        <v>0</v>
      </c>
      <c r="G33" s="52">
        <f t="shared" si="18"/>
        <v>0</v>
      </c>
      <c r="H33" s="52">
        <f t="shared" si="18"/>
        <v>11659958.6</v>
      </c>
      <c r="I33" s="53">
        <f t="shared" si="18"/>
        <v>1356469.8</v>
      </c>
      <c r="J33" s="53">
        <f t="shared" si="18"/>
        <v>304537.08</v>
      </c>
      <c r="K33" s="53">
        <f t="shared" si="18"/>
        <v>43534.880000000005</v>
      </c>
      <c r="L33" s="53">
        <f t="shared" si="18"/>
        <v>43103.280000000006</v>
      </c>
      <c r="M33" s="53">
        <f t="shared" si="18"/>
        <v>0</v>
      </c>
      <c r="N33" s="53">
        <f t="shared" si="18"/>
        <v>12797.27</v>
      </c>
      <c r="O33" s="53">
        <f t="shared" si="18"/>
        <v>51164.22</v>
      </c>
      <c r="P33" s="53">
        <f t="shared" si="18"/>
        <v>0</v>
      </c>
      <c r="Q33" s="53">
        <f t="shared" si="18"/>
        <v>56469.73</v>
      </c>
      <c r="R33" s="53">
        <f t="shared" si="18"/>
        <v>0</v>
      </c>
      <c r="S33" s="53">
        <f t="shared" si="18"/>
        <v>0</v>
      </c>
      <c r="T33" s="53">
        <f>T22+T30</f>
        <v>0</v>
      </c>
      <c r="U33" s="53">
        <f t="shared" si="18"/>
        <v>6000</v>
      </c>
      <c r="V33" s="53">
        <f t="shared" si="18"/>
        <v>2361241.31</v>
      </c>
      <c r="W33" s="53">
        <f t="shared" si="18"/>
        <v>0</v>
      </c>
      <c r="X33" s="53">
        <f>X22+X30</f>
        <v>188665.08999999997</v>
      </c>
      <c r="Y33" s="53">
        <f t="shared" si="18"/>
        <v>0</v>
      </c>
      <c r="Z33" s="53">
        <f t="shared" si="18"/>
        <v>15723503.629999999</v>
      </c>
      <c r="AA33" s="53">
        <f t="shared" si="18"/>
        <v>360437.63</v>
      </c>
    </row>
    <row r="34" spans="1:27" x14ac:dyDescent="0.25">
      <c r="A34" s="54" t="s">
        <v>8</v>
      </c>
      <c r="B34" s="52">
        <f>B33</f>
        <v>10087294.210000001</v>
      </c>
      <c r="C34" s="52">
        <f t="shared" ref="C34:AA34" si="19">C33</f>
        <v>1338012.94</v>
      </c>
      <c r="D34" s="52">
        <f t="shared" si="19"/>
        <v>234651.45</v>
      </c>
      <c r="E34" s="52">
        <f t="shared" si="19"/>
        <v>0</v>
      </c>
      <c r="F34" s="52">
        <f t="shared" si="19"/>
        <v>0</v>
      </c>
      <c r="G34" s="52">
        <f t="shared" si="19"/>
        <v>0</v>
      </c>
      <c r="H34" s="52">
        <f t="shared" si="19"/>
        <v>11659958.6</v>
      </c>
      <c r="I34" s="53">
        <f t="shared" si="19"/>
        <v>1356469.8</v>
      </c>
      <c r="J34" s="53">
        <f t="shared" si="19"/>
        <v>304537.08</v>
      </c>
      <c r="K34" s="53">
        <f t="shared" si="19"/>
        <v>43534.880000000005</v>
      </c>
      <c r="L34" s="53">
        <f t="shared" si="19"/>
        <v>43103.280000000006</v>
      </c>
      <c r="M34" s="53">
        <f t="shared" si="19"/>
        <v>0</v>
      </c>
      <c r="N34" s="53">
        <f t="shared" si="19"/>
        <v>12797.27</v>
      </c>
      <c r="O34" s="53">
        <f t="shared" si="19"/>
        <v>51164.22</v>
      </c>
      <c r="P34" s="53">
        <f t="shared" si="19"/>
        <v>0</v>
      </c>
      <c r="Q34" s="53">
        <f t="shared" si="19"/>
        <v>56469.73</v>
      </c>
      <c r="R34" s="53">
        <f t="shared" si="19"/>
        <v>0</v>
      </c>
      <c r="S34" s="53">
        <f t="shared" si="19"/>
        <v>0</v>
      </c>
      <c r="T34" s="53">
        <f t="shared" si="19"/>
        <v>0</v>
      </c>
      <c r="U34" s="53">
        <f t="shared" si="19"/>
        <v>6000</v>
      </c>
      <c r="V34" s="53">
        <f t="shared" si="19"/>
        <v>2361241.31</v>
      </c>
      <c r="W34" s="53">
        <f t="shared" si="19"/>
        <v>0</v>
      </c>
      <c r="X34" s="53">
        <f t="shared" si="19"/>
        <v>188665.08999999997</v>
      </c>
      <c r="Y34" s="53">
        <f t="shared" si="19"/>
        <v>0</v>
      </c>
      <c r="Z34" s="53">
        <f t="shared" si="19"/>
        <v>15723503.629999999</v>
      </c>
      <c r="AA34" s="53">
        <f t="shared" si="19"/>
        <v>360437.63</v>
      </c>
    </row>
    <row r="35" spans="1:27" ht="18" x14ac:dyDescent="0.25">
      <c r="A35" s="1"/>
    </row>
    <row r="36" spans="1:27" x14ac:dyDescent="0.25">
      <c r="A36" s="2" t="s">
        <v>26</v>
      </c>
    </row>
    <row r="37" spans="1:27" x14ac:dyDescent="0.25">
      <c r="A37" s="2" t="s">
        <v>27</v>
      </c>
    </row>
    <row r="38" spans="1:27" x14ac:dyDescent="0.25">
      <c r="A38" s="2" t="s">
        <v>12</v>
      </c>
    </row>
    <row r="39" spans="1:27" x14ac:dyDescent="0.25">
      <c r="A39" s="2" t="s">
        <v>28</v>
      </c>
    </row>
  </sheetData>
  <mergeCells count="8">
    <mergeCell ref="Z6:AA6"/>
    <mergeCell ref="I6:J6"/>
    <mergeCell ref="K6:L6"/>
    <mergeCell ref="M6:N6"/>
    <mergeCell ref="O6:P6"/>
    <mergeCell ref="Q6:R6"/>
    <mergeCell ref="S6:T6"/>
    <mergeCell ref="V6:W6"/>
  </mergeCells>
  <pageMargins left="0" right="0" top="0" bottom="0" header="0.3" footer="0.3"/>
  <pageSetup paperSize="5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Schedule I - Test Year</vt:lpstr>
      <vt:lpstr>Schedule I - 2023</vt:lpstr>
      <vt:lpstr>Schedule I - 2022</vt:lpstr>
      <vt:lpstr>Schedule I - 2021</vt:lpstr>
      <vt:lpstr>'Schedule I - 2021'!Print_Area</vt:lpstr>
      <vt:lpstr>'Schedule I - 2022'!Print_Area</vt:lpstr>
      <vt:lpstr>'Schedule I - 2023'!Print_Area</vt:lpstr>
      <vt:lpstr>'Schedule I - Test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Carrie Bessinger</cp:lastModifiedBy>
  <cp:lastPrinted>2025-02-27T22:12:14Z</cp:lastPrinted>
  <dcterms:created xsi:type="dcterms:W3CDTF">2021-12-07T20:18:25Z</dcterms:created>
  <dcterms:modified xsi:type="dcterms:W3CDTF">2025-03-03T13:14:41Z</dcterms:modified>
</cp:coreProperties>
</file>