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29DDD299-EE61-45F7-A03D-A6B9BE64C4EA}" xr6:coauthVersionLast="47" xr6:coauthVersionMax="47" xr10:uidLastSave="{00000000-0000-0000-0000-000000000000}"/>
  <bookViews>
    <workbookView xWindow="28680" yWindow="-120" windowWidth="29040" windowHeight="15720" xr2:uid="{5F56B2E4-BC39-4D24-AB62-21CD468C95D7}"/>
  </bookViews>
  <sheets>
    <sheet name="Schedule G" sheetId="1" r:id="rId1"/>
  </sheets>
  <definedNames>
    <definedName name="_xlnm.Print_Area" localSheetId="0">'Schedule G'!$A$1:$L$30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29" i="1" s="1"/>
  <c r="E29" i="1"/>
  <c r="C29" i="1"/>
  <c r="H28" i="1"/>
  <c r="F28" i="1"/>
  <c r="G27" i="1"/>
  <c r="E27" i="1"/>
  <c r="C27" i="1"/>
  <c r="G25" i="1"/>
  <c r="E25" i="1"/>
  <c r="C25" i="1"/>
  <c r="G17" i="1"/>
  <c r="E17" i="1"/>
  <c r="C17" i="1"/>
  <c r="G16" i="1"/>
  <c r="E16" i="1"/>
  <c r="F16" i="1" s="1"/>
  <c r="C16" i="1"/>
  <c r="G15" i="1"/>
  <c r="E15" i="1"/>
  <c r="F15" i="1" s="1"/>
  <c r="C15" i="1"/>
  <c r="G14" i="1"/>
  <c r="E14" i="1"/>
  <c r="C14" i="1"/>
  <c r="G12" i="1"/>
  <c r="E12" i="1"/>
  <c r="C12" i="1"/>
  <c r="G11" i="1"/>
  <c r="E11" i="1"/>
  <c r="F11" i="1" s="1"/>
  <c r="C11" i="1"/>
  <c r="F17" i="1" l="1"/>
  <c r="H19" i="1"/>
  <c r="F27" i="1"/>
  <c r="H11" i="1"/>
  <c r="F14" i="1"/>
  <c r="H25" i="1"/>
  <c r="H12" i="1"/>
  <c r="F12" i="1"/>
  <c r="H17" i="1"/>
  <c r="H27" i="1"/>
  <c r="H16" i="1"/>
  <c r="F25" i="1"/>
  <c r="H14" i="1"/>
  <c r="F19" i="1"/>
  <c r="F23" i="1"/>
  <c r="H15" i="1"/>
  <c r="H23" i="1"/>
  <c r="F29" i="1"/>
</calcChain>
</file>

<file path=xl/sharedStrings.xml><?xml version="1.0" encoding="utf-8"?>
<sst xmlns="http://schemas.openxmlformats.org/spreadsheetml/2006/main" count="40" uniqueCount="37">
  <si>
    <t>Schedule G</t>
  </si>
  <si>
    <t>South Kentucky RECC</t>
  </si>
  <si>
    <t>For Calendar Years 2022-2024</t>
  </si>
  <si>
    <t>Cost</t>
  </si>
  <si>
    <t>% Inc.</t>
  </si>
  <si>
    <t>% Inc</t>
  </si>
  <si>
    <t>Line No.</t>
  </si>
  <si>
    <t>Item (a)</t>
  </si>
  <si>
    <t>(b)</t>
  </si>
  <si>
    <t>. (c)</t>
  </si>
  <si>
    <t>(d)</t>
  </si>
  <si>
    <t>(e)</t>
  </si>
  <si>
    <t>(f)</t>
  </si>
  <si>
    <t>(g)</t>
  </si>
  <si>
    <t>Cost per kWh of Electricity Generated</t>
  </si>
  <si>
    <t>Cost per kWh of Electricity Purchased</t>
  </si>
  <si>
    <t>Cost per kWh of Electricity Sold</t>
  </si>
  <si>
    <t>Maintenance Cost per Transmission Mile</t>
  </si>
  <si>
    <t>Maintenance Cost per Distribution Mile line 7 only</t>
  </si>
  <si>
    <t>Sales Promotion Expense per Customer</t>
  </si>
  <si>
    <t>Administration and General Expense per Customer</t>
  </si>
  <si>
    <t>Wages and Salaries – Charged Expense – per Average Employee</t>
  </si>
  <si>
    <t>Depreciation Expense:</t>
  </si>
  <si>
    <t>Per $100 of Average Gross Depreciable Plant in Service</t>
  </si>
  <si>
    <t>Rents:</t>
  </si>
  <si>
    <t>Per $100 of Average Gross Plant in Service</t>
  </si>
  <si>
    <t>Property Taxes:</t>
  </si>
  <si>
    <t>Per $100 of Average Net Plant in Service</t>
  </si>
  <si>
    <t>Payroll Taxes:</t>
  </si>
  <si>
    <t>Per Average Employee whose Salary is Charged to Expense</t>
  </si>
  <si>
    <t>Interest Expense:</t>
  </si>
  <si>
    <t>Per $100 of Average Debt Outstanding</t>
  </si>
  <si>
    <t>Per $100 of Average Plant Investment</t>
  </si>
  <si>
    <t>Per kWh Sold</t>
  </si>
  <si>
    <t>Meter Reading Expense per Meter</t>
  </si>
  <si>
    <t>Case No. 2024-00402</t>
  </si>
  <si>
    <r>
      <t>Comparative Operating Statistics – Electric Operations For the Calendar Years 2022 through 2024</t>
    </r>
    <r>
      <rPr>
        <b/>
        <u/>
        <sz val="11"/>
        <color theme="1"/>
        <rFont val="Calibri"/>
        <family val="2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</si>
</sst>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&quot;$&quot;* #,##0.0000_);_(&quot;$&quot;* \(#,##0.0000\);_(&quot;$&quot;* &quot;-&quot;??_);_(@_)"/>
    <numFmt numFmtId="167" formatCode="_(&quot;$&quot;* #,##0.00000_);_(&quot;$&quot;* \(#,##0.000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2" xfId="0" applyFont="1" applyBorder="1" applyAlignment="1">
      <alignment vertical="center"/>
    </xf>
    <xf numFmtId="0" fontId="3" fillId="0" borderId="3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44" fontId="6" fillId="0" borderId="1" xfId="1" applyFont="1" applyBorder="1"/>
    <xf numFmtId="0" fontId="4" fillId="2" borderId="0" xfId="0" applyFont="1" applyFill="1"/>
    <xf numFmtId="0" fontId="7" fillId="0" borderId="0" xfId="0" applyFo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165" fontId="4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10" fontId="6" fillId="2" borderId="1" xfId="2" applyNumberFormat="1" applyFont="1" applyFill="1" applyBorder="1" applyAlignment="1">
      <alignment vertical="center" wrapText="1"/>
    </xf>
    <xf numFmtId="10" fontId="6" fillId="0" borderId="1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44" fontId="6" fillId="0" borderId="1" xfId="1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0156-96FF-47F0-9B5E-4B01490425D7}">
  <sheetPr>
    <pageSetUpPr fitToPage="1"/>
  </sheetPr>
  <dimension ref="A1:H30"/>
  <sheetViews>
    <sheetView tabSelected="1" zoomScale="120" zoomScaleNormal="120" workbookViewId="0">
      <selection activeCell="L16" sqref="L16"/>
    </sheetView>
  </sheetViews>
  <sheetFormatPr defaultRowHeight="15" x14ac:dyDescent="0.25"/>
  <cols>
    <col min="1" max="1" width="9.140625" style="6"/>
    <col min="2" max="2" width="39" style="54" customWidth="1"/>
    <col min="3" max="3" width="12.140625" style="6" customWidth="1"/>
    <col min="4" max="4" width="9.42578125" style="9" customWidth="1"/>
    <col min="5" max="5" width="12.140625" style="6" customWidth="1"/>
    <col min="6" max="6" width="10.140625" style="10" customWidth="1"/>
    <col min="7" max="7" width="12.140625" style="10" customWidth="1"/>
    <col min="8" max="8" width="11.140625" style="10" bestFit="1" customWidth="1"/>
    <col min="9" max="16384" width="9.140625" style="6"/>
  </cols>
  <sheetData>
    <row r="1" spans="1:8" s="3" customFormat="1" ht="15" customHeight="1" x14ac:dyDescent="0.25">
      <c r="A1" s="1"/>
      <c r="B1" s="47"/>
      <c r="C1" s="11"/>
      <c r="D1" s="11"/>
      <c r="E1" s="11"/>
      <c r="F1" s="2"/>
      <c r="G1" s="12"/>
      <c r="H1" s="13" t="s">
        <v>0</v>
      </c>
    </row>
    <row r="2" spans="1:8" s="3" customFormat="1" ht="16.149999999999999" customHeight="1" x14ac:dyDescent="0.25">
      <c r="A2" s="4" t="s">
        <v>1</v>
      </c>
      <c r="B2" s="48"/>
      <c r="C2" s="14"/>
      <c r="D2" s="14"/>
      <c r="E2" s="14"/>
      <c r="F2" s="15"/>
      <c r="G2" s="15"/>
      <c r="H2" s="16"/>
    </row>
    <row r="3" spans="1:8" s="3" customFormat="1" ht="16.149999999999999" customHeight="1" x14ac:dyDescent="0.25">
      <c r="A3" s="4" t="s">
        <v>35</v>
      </c>
      <c r="B3" s="48"/>
      <c r="C3" s="14"/>
      <c r="D3" s="14"/>
      <c r="E3" s="14"/>
      <c r="F3" s="15"/>
      <c r="G3" s="15"/>
      <c r="H3" s="16"/>
    </row>
    <row r="4" spans="1:8" s="3" customFormat="1" ht="13.15" customHeight="1" x14ac:dyDescent="0.25">
      <c r="A4" s="4" t="s">
        <v>36</v>
      </c>
      <c r="B4" s="48"/>
      <c r="C4" s="14"/>
      <c r="D4" s="14"/>
      <c r="E4" s="14"/>
      <c r="F4" s="15"/>
      <c r="G4" s="15"/>
      <c r="H4" s="16"/>
    </row>
    <row r="5" spans="1:8" s="3" customFormat="1" x14ac:dyDescent="0.25">
      <c r="A5" s="5"/>
      <c r="B5" s="49"/>
      <c r="C5" s="17"/>
      <c r="D5" s="17"/>
      <c r="E5" s="17"/>
      <c r="F5" s="18"/>
      <c r="G5" s="18"/>
      <c r="H5" s="19"/>
    </row>
    <row r="6" spans="1:8" x14ac:dyDescent="0.25">
      <c r="A6" s="20" t="s">
        <v>6</v>
      </c>
      <c r="B6" s="50" t="s">
        <v>7</v>
      </c>
      <c r="C6" s="55" t="s">
        <v>2</v>
      </c>
      <c r="D6" s="55"/>
      <c r="E6" s="55"/>
      <c r="F6" s="55"/>
      <c r="G6" s="55"/>
      <c r="H6" s="56"/>
    </row>
    <row r="7" spans="1:8" ht="16.5" customHeight="1" x14ac:dyDescent="0.25">
      <c r="A7" s="21"/>
      <c r="B7" s="51"/>
      <c r="C7" s="22">
        <v>2022</v>
      </c>
      <c r="D7" s="23"/>
      <c r="E7" s="22">
        <v>2023</v>
      </c>
      <c r="F7" s="23"/>
      <c r="G7" s="22">
        <v>2024</v>
      </c>
      <c r="H7" s="23"/>
    </row>
    <row r="8" spans="1:8" x14ac:dyDescent="0.25">
      <c r="A8" s="21"/>
      <c r="B8" s="51"/>
      <c r="C8" s="24" t="s">
        <v>3</v>
      </c>
      <c r="D8" s="25" t="s">
        <v>4</v>
      </c>
      <c r="E8" s="24" t="s">
        <v>3</v>
      </c>
      <c r="F8" s="26" t="s">
        <v>5</v>
      </c>
      <c r="G8" s="26" t="s">
        <v>3</v>
      </c>
      <c r="H8" s="26" t="s">
        <v>5</v>
      </c>
    </row>
    <row r="9" spans="1:8" x14ac:dyDescent="0.25">
      <c r="A9" s="27"/>
      <c r="B9" s="52"/>
      <c r="C9" s="28" t="s">
        <v>8</v>
      </c>
      <c r="D9" s="29" t="s">
        <v>9</v>
      </c>
      <c r="E9" s="28" t="s">
        <v>10</v>
      </c>
      <c r="F9" s="30" t="s">
        <v>11</v>
      </c>
      <c r="G9" s="30" t="s">
        <v>12</v>
      </c>
      <c r="H9" s="30" t="s">
        <v>13</v>
      </c>
    </row>
    <row r="10" spans="1:8" x14ac:dyDescent="0.25">
      <c r="A10" s="31">
        <v>1</v>
      </c>
      <c r="B10" s="42" t="s">
        <v>14</v>
      </c>
      <c r="C10" s="32">
        <v>0</v>
      </c>
      <c r="D10" s="33"/>
      <c r="E10" s="32">
        <v>0</v>
      </c>
      <c r="F10" s="34"/>
      <c r="G10" s="35"/>
      <c r="H10" s="34"/>
    </row>
    <row r="11" spans="1:8" x14ac:dyDescent="0.25">
      <c r="A11" s="31">
        <v>2</v>
      </c>
      <c r="B11" s="42" t="s">
        <v>15</v>
      </c>
      <c r="C11" s="36">
        <f>120218607/1367579312</f>
        <v>8.7906131618931654E-2</v>
      </c>
      <c r="D11" s="37">
        <v>0.22392892273572887</v>
      </c>
      <c r="E11" s="36">
        <f>107061154/1246208569</f>
        <v>8.5909499150619309E-2</v>
      </c>
      <c r="F11" s="38">
        <f>(E11-C11)/C11</f>
        <v>-2.2713233212987231E-2</v>
      </c>
      <c r="G11" s="36">
        <f>111139692/1307602381</f>
        <v>8.4995021127909673E-2</v>
      </c>
      <c r="H11" s="38">
        <f>(G11-E11)/E11</f>
        <v>-1.0644667141014799E-2</v>
      </c>
    </row>
    <row r="12" spans="1:8" x14ac:dyDescent="0.25">
      <c r="A12" s="31">
        <v>3</v>
      </c>
      <c r="B12" s="42" t="s">
        <v>16</v>
      </c>
      <c r="C12" s="36">
        <f>120218607/1270432326</f>
        <v>9.4628107723386132E-2</v>
      </c>
      <c r="D12" s="37">
        <v>0.26873780678704418</v>
      </c>
      <c r="E12" s="36">
        <f>107061154/1193273498</f>
        <v>8.97205495466388E-2</v>
      </c>
      <c r="F12" s="38">
        <f>(E12-C12)/C12</f>
        <v>-5.1861527138352473E-2</v>
      </c>
      <c r="G12" s="36">
        <f>111139692/1238843578</f>
        <v>8.9712449556726845E-2</v>
      </c>
      <c r="H12" s="38">
        <f>(G12-E12)/E12</f>
        <v>-9.0280208412510052E-5</v>
      </c>
    </row>
    <row r="13" spans="1:8" x14ac:dyDescent="0.25">
      <c r="A13" s="31">
        <v>4</v>
      </c>
      <c r="B13" s="42" t="s">
        <v>17</v>
      </c>
      <c r="C13" s="36">
        <v>0</v>
      </c>
      <c r="D13" s="39"/>
      <c r="E13" s="36">
        <v>0</v>
      </c>
      <c r="F13" s="38"/>
      <c r="G13" s="36">
        <v>0</v>
      </c>
      <c r="H13" s="38"/>
    </row>
    <row r="14" spans="1:8" ht="30" x14ac:dyDescent="0.25">
      <c r="A14" s="31">
        <v>5</v>
      </c>
      <c r="B14" s="42" t="s">
        <v>18</v>
      </c>
      <c r="C14" s="40">
        <f>(9041853)/7062.18</f>
        <v>1280.3203826580461</v>
      </c>
      <c r="D14" s="37">
        <v>9.6127616257689896E-2</v>
      </c>
      <c r="E14" s="40">
        <f>(13973224)/7098.7</f>
        <v>1968.420133263837</v>
      </c>
      <c r="F14" s="38">
        <f>(E14-C14)/C14</f>
        <v>0.53744340863904816</v>
      </c>
      <c r="G14" s="40">
        <f>(16145762)/7142.67</f>
        <v>2260.4659042066901</v>
      </c>
      <c r="H14" s="38">
        <f>(G14-E14)/E14</f>
        <v>0.1483655679027282</v>
      </c>
    </row>
    <row r="15" spans="1:8" x14ac:dyDescent="0.25">
      <c r="A15" s="31">
        <v>6</v>
      </c>
      <c r="B15" s="42" t="s">
        <v>19</v>
      </c>
      <c r="C15" s="36">
        <f>45337/70355</f>
        <v>0.64440338284414755</v>
      </c>
      <c r="D15" s="37">
        <v>6.9144010381599702E-2</v>
      </c>
      <c r="E15" s="36">
        <f>37534/70514</f>
        <v>0.53229145985194426</v>
      </c>
      <c r="F15" s="38">
        <f>(E15-C15)/C15</f>
        <v>-0.17397786227841416</v>
      </c>
      <c r="G15" s="36">
        <f>38039/71212</f>
        <v>0.53416559006908948</v>
      </c>
      <c r="H15" s="38">
        <f>(G15-E15)/E15</f>
        <v>3.5208722260291485E-3</v>
      </c>
    </row>
    <row r="16" spans="1:8" ht="30" x14ac:dyDescent="0.25">
      <c r="A16" s="31">
        <v>7</v>
      </c>
      <c r="B16" s="42" t="s">
        <v>20</v>
      </c>
      <c r="C16" s="40">
        <f>4247491/70355</f>
        <v>60.372269206168717</v>
      </c>
      <c r="D16" s="37">
        <v>5.0309249092029718E-2</v>
      </c>
      <c r="E16" s="40">
        <f>5506277/70514</f>
        <v>78.087713078253969</v>
      </c>
      <c r="F16" s="38">
        <f>(E16-C16)/C16</f>
        <v>0.29343677329052797</v>
      </c>
      <c r="G16" s="40">
        <f>5077904/71212</f>
        <v>71.306858394652593</v>
      </c>
      <c r="H16" s="38">
        <f>(G16-E16)/E16</f>
        <v>-8.6836384576995926E-2</v>
      </c>
    </row>
    <row r="17" spans="1:8" s="7" customFormat="1" ht="30" x14ac:dyDescent="0.25">
      <c r="A17" s="41">
        <v>8</v>
      </c>
      <c r="B17" s="42" t="s">
        <v>21</v>
      </c>
      <c r="C17" s="40">
        <f>6944300/127</f>
        <v>54679.527559055117</v>
      </c>
      <c r="D17" s="37">
        <v>1.6839209858713566E-2</v>
      </c>
      <c r="E17" s="40">
        <f>7103272/131</f>
        <v>54223.450381679388</v>
      </c>
      <c r="F17" s="38">
        <f>(E17-C17)/C17</f>
        <v>-8.34091291083589E-3</v>
      </c>
      <c r="G17" s="40">
        <f>7680632.41/136</f>
        <v>56475.238308823529</v>
      </c>
      <c r="H17" s="38">
        <f>(G17-E17)/E17</f>
        <v>4.152793507778986E-2</v>
      </c>
    </row>
    <row r="18" spans="1:8" x14ac:dyDescent="0.25">
      <c r="A18" s="31">
        <v>9</v>
      </c>
      <c r="B18" s="42" t="s">
        <v>22</v>
      </c>
      <c r="C18" s="40"/>
      <c r="D18" s="39"/>
      <c r="E18" s="40"/>
      <c r="F18" s="38"/>
      <c r="G18" s="40"/>
      <c r="H18" s="38"/>
    </row>
    <row r="19" spans="1:8" ht="30" x14ac:dyDescent="0.25">
      <c r="A19" s="31">
        <v>10</v>
      </c>
      <c r="B19" s="53" t="s">
        <v>23</v>
      </c>
      <c r="C19" s="8">
        <v>3.3587929809535781</v>
      </c>
      <c r="D19" s="37">
        <v>-1.0756884207431463E-3</v>
      </c>
      <c r="E19" s="8">
        <v>3.3545906111324397</v>
      </c>
      <c r="F19" s="38">
        <f>(E19-C19)/C19</f>
        <v>-1.2511547585601255E-3</v>
      </c>
      <c r="G19" s="8">
        <v>3.3557376490005266</v>
      </c>
      <c r="H19" s="38">
        <f>(G19-E19)/E19</f>
        <v>3.4193080499312598E-4</v>
      </c>
    </row>
    <row r="20" spans="1:8" x14ac:dyDescent="0.25">
      <c r="A20" s="31">
        <v>11</v>
      </c>
      <c r="B20" s="42" t="s">
        <v>24</v>
      </c>
      <c r="C20" s="40"/>
      <c r="D20" s="39"/>
      <c r="E20" s="40"/>
      <c r="F20" s="38"/>
      <c r="G20" s="40"/>
      <c r="H20" s="38"/>
    </row>
    <row r="21" spans="1:8" ht="30" x14ac:dyDescent="0.25">
      <c r="A21" s="31">
        <v>12</v>
      </c>
      <c r="B21" s="53" t="s">
        <v>25</v>
      </c>
      <c r="C21" s="40">
        <v>0</v>
      </c>
      <c r="D21" s="39"/>
      <c r="E21" s="40">
        <v>0</v>
      </c>
      <c r="F21" s="38"/>
      <c r="G21" s="40">
        <v>0</v>
      </c>
      <c r="H21" s="38"/>
    </row>
    <row r="22" spans="1:8" x14ac:dyDescent="0.25">
      <c r="A22" s="43">
        <v>13</v>
      </c>
      <c r="B22" s="42" t="s">
        <v>26</v>
      </c>
      <c r="C22" s="42"/>
      <c r="D22" s="39"/>
      <c r="E22" s="42"/>
      <c r="F22" s="42"/>
      <c r="G22" s="42"/>
      <c r="H22" s="38"/>
    </row>
    <row r="23" spans="1:8" x14ac:dyDescent="0.25">
      <c r="A23" s="43">
        <v>14</v>
      </c>
      <c r="B23" s="53" t="s">
        <v>27</v>
      </c>
      <c r="C23" s="8">
        <v>0.9969243864170686</v>
      </c>
      <c r="D23" s="37">
        <v>-0.44710429244841415</v>
      </c>
      <c r="E23" s="8">
        <v>0.98526894235255702</v>
      </c>
      <c r="F23" s="38">
        <f>(E23-C23)/C23</f>
        <v>-1.169140230022968E-2</v>
      </c>
      <c r="G23" s="8">
        <v>0.96406151690300301</v>
      </c>
      <c r="H23" s="38">
        <f>(G23-E23)/E23</f>
        <v>-2.1524504161185051E-2</v>
      </c>
    </row>
    <row r="24" spans="1:8" x14ac:dyDescent="0.25">
      <c r="A24" s="43">
        <v>15</v>
      </c>
      <c r="B24" s="42" t="s">
        <v>28</v>
      </c>
      <c r="C24" s="40"/>
      <c r="D24" s="39"/>
      <c r="E24" s="40"/>
      <c r="F24" s="38"/>
      <c r="G24" s="40"/>
      <c r="H24" s="38"/>
    </row>
    <row r="25" spans="1:8" ht="30" x14ac:dyDescent="0.25">
      <c r="A25" s="43">
        <v>16</v>
      </c>
      <c r="B25" s="53" t="s">
        <v>29</v>
      </c>
      <c r="C25" s="40">
        <f>861323/127</f>
        <v>6782.070866141732</v>
      </c>
      <c r="D25" s="37">
        <v>7.9044404730792064E-3</v>
      </c>
      <c r="E25" s="40">
        <f>910769/131</f>
        <v>6952.4351145038172</v>
      </c>
      <c r="F25" s="38">
        <f t="shared" ref="F25:F29" si="0">(E25-C25)/C25</f>
        <v>2.5119797732075906E-2</v>
      </c>
      <c r="G25" s="40">
        <f>973553/136</f>
        <v>7158.4779411764703</v>
      </c>
      <c r="H25" s="38">
        <f>(G25-E25)/E25</f>
        <v>2.9636066109098521E-2</v>
      </c>
    </row>
    <row r="26" spans="1:8" x14ac:dyDescent="0.25">
      <c r="A26" s="43">
        <v>17</v>
      </c>
      <c r="B26" s="42" t="s">
        <v>30</v>
      </c>
      <c r="C26" s="40"/>
      <c r="D26" s="39"/>
      <c r="E26" s="40"/>
      <c r="F26" s="38"/>
      <c r="G26" s="40"/>
      <c r="H26" s="38"/>
    </row>
    <row r="27" spans="1:8" x14ac:dyDescent="0.25">
      <c r="A27" s="43">
        <v>18</v>
      </c>
      <c r="B27" s="53" t="s">
        <v>31</v>
      </c>
      <c r="C27" s="8">
        <f>5237918/((139773946+129727821)/2/100)</f>
        <v>3.887112176151335</v>
      </c>
      <c r="D27" s="37">
        <v>-4.7166072940812119E-3</v>
      </c>
      <c r="E27" s="8">
        <f>5315342/((147747421+139773946)/2/100)</f>
        <v>3.697354430010066</v>
      </c>
      <c r="F27" s="38">
        <f t="shared" si="0"/>
        <v>-4.8817152050690191E-2</v>
      </c>
      <c r="G27" s="8">
        <f>5390630/((151485126+147747421)/2/100)</f>
        <v>3.6029703680595944</v>
      </c>
      <c r="H27" s="38">
        <f>(G27-E27)/E27</f>
        <v>-2.5527458548304415E-2</v>
      </c>
    </row>
    <row r="28" spans="1:8" x14ac:dyDescent="0.25">
      <c r="A28" s="43">
        <v>19</v>
      </c>
      <c r="B28" s="53" t="s">
        <v>32</v>
      </c>
      <c r="C28" s="8">
        <v>1.734773095885038</v>
      </c>
      <c r="D28" s="37">
        <v>-3.6221079307832652E-2</v>
      </c>
      <c r="E28" s="8">
        <v>1.6832534178513912</v>
      </c>
      <c r="F28" s="38">
        <f t="shared" si="0"/>
        <v>-2.9698222871829136E-2</v>
      </c>
      <c r="G28" s="8">
        <v>1.6289701035562285</v>
      </c>
      <c r="H28" s="38">
        <f>(G28-E28)/E28</f>
        <v>-3.2249044451341871E-2</v>
      </c>
    </row>
    <row r="29" spans="1:8" x14ac:dyDescent="0.25">
      <c r="A29" s="43">
        <v>20</v>
      </c>
      <c r="B29" s="53" t="s">
        <v>33</v>
      </c>
      <c r="C29" s="44">
        <f>5251969/1270432326</f>
        <v>4.134001388752446E-3</v>
      </c>
      <c r="D29" s="37">
        <v>1.5970528873011085E-2</v>
      </c>
      <c r="E29" s="44">
        <f>5315342/1193273498</f>
        <v>4.4544205573230624E-3</v>
      </c>
      <c r="F29" s="38">
        <f t="shared" si="0"/>
        <v>7.7508239218882335E-2</v>
      </c>
      <c r="G29" s="44">
        <f>5390630/1238843578</f>
        <v>4.3513403110202829E-3</v>
      </c>
      <c r="H29" s="38">
        <f>(G29-E29)/E29</f>
        <v>-2.314111228974906E-2</v>
      </c>
    </row>
    <row r="30" spans="1:8" x14ac:dyDescent="0.25">
      <c r="A30" s="43">
        <v>21</v>
      </c>
      <c r="B30" s="42" t="s">
        <v>34</v>
      </c>
      <c r="C30" s="45">
        <v>0</v>
      </c>
      <c r="D30" s="33"/>
      <c r="E30" s="45">
        <v>0</v>
      </c>
      <c r="F30" s="34"/>
      <c r="G30" s="46">
        <v>0</v>
      </c>
      <c r="H30" s="34"/>
    </row>
  </sheetData>
  <mergeCells count="6">
    <mergeCell ref="C6:H6"/>
    <mergeCell ref="C7:D7"/>
    <mergeCell ref="E7:F7"/>
    <mergeCell ref="G7:H7"/>
    <mergeCell ref="B6:B9"/>
    <mergeCell ref="A6:A9"/>
  </mergeCells>
  <pageMargins left="0.7" right="0.7" top="0.75" bottom="0.75" header="0.3" footer="0.3"/>
  <pageSetup paperSize="5" scale="73" orientation="landscape" r:id="rId1"/>
  <ignoredErrors>
    <ignoredError sqref="G11: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G</vt:lpstr>
      <vt:lpstr>'Schedule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2025-03-03T15:01:29Z</dcterms:created>
  <dcterms:modified xsi:type="dcterms:W3CDTF">2025-03-03T15:08:10Z</dcterms:modified>
</cp:coreProperties>
</file>