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L:\PSC\Rate Case 2024-00402\AG1\AG1-5H, 6H, &amp; 7H\"/>
    </mc:Choice>
  </mc:AlternateContent>
  <xr:revisionPtr revIDLastSave="0" documentId="8_{0DDE6E98-5AEA-4B7E-AA00-D47F20F947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3" r:id="rId1"/>
    <sheet name="2024" sheetId="1" r:id="rId2"/>
    <sheet name="2023" sheetId="11" r:id="rId3"/>
    <sheet name="2022" sheetId="10" r:id="rId4"/>
    <sheet name="2021" sheetId="12" r:id="rId5"/>
  </sheets>
  <definedNames>
    <definedName name="_xlnm.Print_Area" localSheetId="4">'2021'!$A$1:$T$27</definedName>
    <definedName name="_xlnm.Print_Area" localSheetId="3">'2022'!$A$1:$T$27</definedName>
    <definedName name="_xlnm.Print_Area" localSheetId="2">'2023'!$A$1:$T$28</definedName>
    <definedName name="_xlnm.Print_Area" localSheetId="1">'2024'!$A$1:$T$24</definedName>
    <definedName name="_xlnm.Print_Area" localSheetId="0">'2025'!$A$1:$T$22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1" l="1"/>
  <c r="S9" i="1"/>
  <c r="T9" i="13" l="1"/>
  <c r="S9" i="13"/>
  <c r="N18" i="13"/>
  <c r="T17" i="1"/>
  <c r="S17" i="1"/>
  <c r="Q20" i="1"/>
  <c r="Q10" i="1"/>
  <c r="L20" i="1"/>
  <c r="L10" i="1"/>
  <c r="J20" i="1"/>
  <c r="J10" i="1"/>
  <c r="H20" i="1"/>
  <c r="H10" i="1"/>
  <c r="D20" i="1"/>
  <c r="D10" i="1"/>
  <c r="B20" i="1"/>
  <c r="B10" i="1"/>
  <c r="O20" i="1"/>
  <c r="O14" i="1"/>
  <c r="O10" i="1"/>
  <c r="G20" i="1"/>
  <c r="G10" i="1"/>
  <c r="E20" i="1"/>
  <c r="E10" i="1"/>
  <c r="C20" i="1"/>
  <c r="T20" i="1" s="1"/>
  <c r="C10" i="1"/>
  <c r="Q18" i="13" l="1"/>
  <c r="T18" i="13"/>
  <c r="T15" i="13"/>
  <c r="S15" i="13"/>
  <c r="L18" i="13"/>
  <c r="J18" i="13"/>
  <c r="H18" i="13"/>
  <c r="D18" i="13"/>
  <c r="B18" i="13"/>
  <c r="O18" i="13"/>
  <c r="G18" i="13"/>
  <c r="C18" i="13"/>
  <c r="S18" i="13" l="1"/>
  <c r="R12" i="13"/>
  <c r="Q12" i="13"/>
  <c r="Q21" i="13" s="1"/>
  <c r="P12" i="13"/>
  <c r="O12" i="13"/>
  <c r="N12" i="13"/>
  <c r="N21" i="13" s="1"/>
  <c r="M12" i="13"/>
  <c r="L12" i="13"/>
  <c r="K12" i="13"/>
  <c r="J12" i="13"/>
  <c r="I12" i="13"/>
  <c r="H12" i="13"/>
  <c r="G12" i="13"/>
  <c r="F12" i="13"/>
  <c r="E12" i="13"/>
  <c r="D12" i="13"/>
  <c r="C12" i="13"/>
  <c r="B12" i="13"/>
  <c r="B21" i="13" s="1"/>
  <c r="T11" i="13"/>
  <c r="S11" i="13"/>
  <c r="T10" i="13"/>
  <c r="S10" i="13"/>
  <c r="S22" i="12"/>
  <c r="S21" i="12"/>
  <c r="S20" i="12"/>
  <c r="S16" i="12"/>
  <c r="S15" i="12"/>
  <c r="S11" i="12"/>
  <c r="S10" i="12"/>
  <c r="S9" i="12"/>
  <c r="S23" i="10"/>
  <c r="S22" i="10"/>
  <c r="S21" i="10"/>
  <c r="S17" i="10"/>
  <c r="S16" i="10"/>
  <c r="S12" i="10"/>
  <c r="S10" i="10"/>
  <c r="S9" i="10"/>
  <c r="S24" i="11"/>
  <c r="S23" i="11"/>
  <c r="S22" i="11"/>
  <c r="S18" i="11"/>
  <c r="S17" i="11"/>
  <c r="S13" i="11"/>
  <c r="S12" i="11"/>
  <c r="S10" i="11"/>
  <c r="S9" i="11"/>
  <c r="E18" i="13" l="1"/>
  <c r="E21" i="13" s="1"/>
  <c r="K21" i="13"/>
  <c r="L21" i="13"/>
  <c r="M21" i="13"/>
  <c r="C21" i="13"/>
  <c r="O21" i="13"/>
  <c r="D21" i="13"/>
  <c r="P21" i="13"/>
  <c r="F21" i="13"/>
  <c r="R21" i="13"/>
  <c r="G21" i="13"/>
  <c r="H21" i="13"/>
  <c r="I21" i="13"/>
  <c r="J21" i="13"/>
  <c r="T12" i="13"/>
  <c r="S12" i="13"/>
  <c r="S21" i="13" s="1"/>
  <c r="S13" i="1"/>
  <c r="S12" i="1"/>
  <c r="S11" i="1"/>
  <c r="S10" i="1"/>
  <c r="T21" i="13" l="1"/>
  <c r="Q11" i="10"/>
  <c r="S11" i="10" s="1"/>
  <c r="Q11" i="11"/>
  <c r="O11" i="11"/>
  <c r="J11" i="11"/>
  <c r="H11" i="11"/>
  <c r="E11" i="11"/>
  <c r="D11" i="11"/>
  <c r="C11" i="11"/>
  <c r="B11" i="11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O28" i="11" l="1"/>
  <c r="D28" i="11"/>
  <c r="P28" i="11"/>
  <c r="E28" i="11"/>
  <c r="Q28" i="11"/>
  <c r="G28" i="11"/>
  <c r="H28" i="11"/>
  <c r="I27" i="10"/>
  <c r="G27" i="10"/>
  <c r="N27" i="10"/>
  <c r="O27" i="10"/>
  <c r="D27" i="10"/>
  <c r="P27" i="10"/>
  <c r="H27" i="10"/>
  <c r="N26" i="12"/>
  <c r="H26" i="12"/>
  <c r="I26" i="12"/>
  <c r="K26" i="12"/>
  <c r="S11" i="11"/>
  <c r="B14" i="1"/>
  <c r="T9" i="1"/>
  <c r="R23" i="12"/>
  <c r="R26" i="12" s="1"/>
  <c r="Q23" i="12"/>
  <c r="Q26" i="12" s="1"/>
  <c r="P23" i="12"/>
  <c r="P26" i="12" s="1"/>
  <c r="O23" i="12"/>
  <c r="O26" i="12" s="1"/>
  <c r="N23" i="12"/>
  <c r="M23" i="12"/>
  <c r="M26" i="12" s="1"/>
  <c r="L23" i="12"/>
  <c r="L26" i="12" s="1"/>
  <c r="K23" i="12"/>
  <c r="J23" i="12"/>
  <c r="J26" i="12" s="1"/>
  <c r="I23" i="12"/>
  <c r="H23" i="12"/>
  <c r="G23" i="12"/>
  <c r="G26" i="12" s="1"/>
  <c r="F23" i="12"/>
  <c r="F26" i="12" s="1"/>
  <c r="E23" i="12"/>
  <c r="E26" i="12" s="1"/>
  <c r="D23" i="12"/>
  <c r="D26" i="12" s="1"/>
  <c r="C23" i="12"/>
  <c r="C26" i="12" s="1"/>
  <c r="B23" i="12"/>
  <c r="T22" i="12"/>
  <c r="T21" i="12"/>
  <c r="T20" i="12"/>
  <c r="T16" i="12"/>
  <c r="T15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T11" i="12"/>
  <c r="T10" i="12"/>
  <c r="T9" i="12"/>
  <c r="R25" i="11"/>
  <c r="R28" i="11" s="1"/>
  <c r="Q25" i="11"/>
  <c r="P25" i="11"/>
  <c r="O25" i="11"/>
  <c r="N25" i="11"/>
  <c r="N28" i="11" s="1"/>
  <c r="M25" i="11"/>
  <c r="M28" i="11" s="1"/>
  <c r="L25" i="11"/>
  <c r="L28" i="11" s="1"/>
  <c r="K25" i="11"/>
  <c r="K28" i="11" s="1"/>
  <c r="J25" i="11"/>
  <c r="J28" i="11" s="1"/>
  <c r="I25" i="11"/>
  <c r="I28" i="11" s="1"/>
  <c r="H25" i="11"/>
  <c r="G25" i="11"/>
  <c r="F25" i="11"/>
  <c r="F28" i="11" s="1"/>
  <c r="E25" i="11"/>
  <c r="D25" i="11"/>
  <c r="C25" i="11"/>
  <c r="C28" i="11" s="1"/>
  <c r="B25" i="11"/>
  <c r="B28" i="11" s="1"/>
  <c r="T24" i="11"/>
  <c r="T23" i="11"/>
  <c r="T22" i="11"/>
  <c r="T18" i="11"/>
  <c r="T17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T13" i="11"/>
  <c r="T12" i="11"/>
  <c r="T11" i="11"/>
  <c r="T10" i="11"/>
  <c r="T9" i="11"/>
  <c r="R24" i="10"/>
  <c r="R27" i="10" s="1"/>
  <c r="Q24" i="10"/>
  <c r="Q27" i="10" s="1"/>
  <c r="P24" i="10"/>
  <c r="O24" i="10"/>
  <c r="N24" i="10"/>
  <c r="M24" i="10"/>
  <c r="M27" i="10" s="1"/>
  <c r="L24" i="10"/>
  <c r="L27" i="10" s="1"/>
  <c r="K24" i="10"/>
  <c r="K27" i="10" s="1"/>
  <c r="J24" i="10"/>
  <c r="J27" i="10" s="1"/>
  <c r="I24" i="10"/>
  <c r="H24" i="10"/>
  <c r="G24" i="10"/>
  <c r="F24" i="10"/>
  <c r="F27" i="10" s="1"/>
  <c r="E24" i="10"/>
  <c r="E27" i="10" s="1"/>
  <c r="D24" i="10"/>
  <c r="C24" i="10"/>
  <c r="C27" i="10" s="1"/>
  <c r="B24" i="10"/>
  <c r="B27" i="10" s="1"/>
  <c r="T23" i="10"/>
  <c r="T22" i="10"/>
  <c r="T21" i="10"/>
  <c r="T17" i="10"/>
  <c r="T16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T12" i="10"/>
  <c r="T11" i="10"/>
  <c r="T10" i="10"/>
  <c r="T9" i="10"/>
  <c r="C14" i="1"/>
  <c r="C23" i="1" s="1"/>
  <c r="D14" i="1"/>
  <c r="D23" i="1" s="1"/>
  <c r="E14" i="1"/>
  <c r="G14" i="1"/>
  <c r="H14" i="1"/>
  <c r="J14" i="1"/>
  <c r="L14" i="1"/>
  <c r="N14" i="1"/>
  <c r="N20" i="1" s="1"/>
  <c r="S20" i="1" s="1"/>
  <c r="T13" i="1"/>
  <c r="T12" i="1"/>
  <c r="T11" i="1"/>
  <c r="T10" i="1"/>
  <c r="M14" i="1"/>
  <c r="K14" i="1"/>
  <c r="F23" i="1"/>
  <c r="R14" i="1"/>
  <c r="Q14" i="1"/>
  <c r="P14" i="1"/>
  <c r="I14" i="1"/>
  <c r="F14" i="1"/>
  <c r="J23" i="1" l="1"/>
  <c r="G23" i="1"/>
  <c r="E23" i="1"/>
  <c r="R23" i="1"/>
  <c r="B23" i="1"/>
  <c r="P23" i="1"/>
  <c r="Q23" i="1"/>
  <c r="O23" i="1"/>
  <c r="N23" i="1"/>
  <c r="M23" i="1"/>
  <c r="K23" i="1"/>
  <c r="L23" i="1"/>
  <c r="I23" i="1"/>
  <c r="H23" i="1"/>
  <c r="B26" i="12"/>
  <c r="S23" i="12"/>
  <c r="S25" i="11"/>
  <c r="S23" i="1"/>
  <c r="T23" i="12"/>
  <c r="T17" i="12"/>
  <c r="T26" i="12" s="1"/>
  <c r="T12" i="12"/>
  <c r="T24" i="10"/>
  <c r="S24" i="10"/>
  <c r="T18" i="10"/>
  <c r="T27" i="10" s="1"/>
  <c r="T13" i="10"/>
  <c r="S13" i="10"/>
  <c r="T25" i="11"/>
  <c r="T19" i="11"/>
  <c r="T28" i="11" s="1"/>
  <c r="T14" i="11"/>
  <c r="S12" i="12"/>
  <c r="S17" i="12"/>
  <c r="S26" i="12" s="1"/>
  <c r="S14" i="11"/>
  <c r="S19" i="11"/>
  <c r="S28" i="11" s="1"/>
  <c r="S18" i="10"/>
  <c r="S27" i="10" s="1"/>
  <c r="T14" i="1"/>
  <c r="T23" i="1" l="1"/>
</calcChain>
</file>

<file path=xl/sharedStrings.xml><?xml version="1.0" encoding="utf-8"?>
<sst xmlns="http://schemas.openxmlformats.org/spreadsheetml/2006/main" count="240" uniqueCount="42">
  <si>
    <t>Schedule I</t>
  </si>
  <si>
    <t>Employee Categories</t>
  </si>
  <si>
    <t>Defined Contribution Plan – Utility Contribution</t>
  </si>
  <si>
    <t>Utility</t>
  </si>
  <si>
    <t>Employee</t>
  </si>
  <si>
    <t>Total for All Categories</t>
  </si>
  <si>
    <t>Total Amounts</t>
  </si>
  <si>
    <t>President &amp; CEO</t>
  </si>
  <si>
    <t>Supervisors Non-Exempt</t>
  </si>
  <si>
    <t>Directors Exempt</t>
  </si>
  <si>
    <t>Managers Exempt</t>
  </si>
  <si>
    <t>Chief Operating Officer</t>
  </si>
  <si>
    <t>Chief Financial Officer</t>
  </si>
  <si>
    <t>Chief Membership Officer</t>
  </si>
  <si>
    <t>Chief Technology Officer</t>
  </si>
  <si>
    <t>Chief Legal Officer</t>
  </si>
  <si>
    <t>Managers Non-Exempt</t>
  </si>
  <si>
    <t>Other Non-Exempt</t>
  </si>
  <si>
    <t>VP of Engineering</t>
  </si>
  <si>
    <t>South Kentucky RECC</t>
  </si>
  <si>
    <t>Case No. 2024-00402</t>
  </si>
  <si>
    <t>Benefit Type 
Healthcare</t>
  </si>
  <si>
    <t>Benefit Type 
Dental</t>
  </si>
  <si>
    <t>Benefit Type 
Vision</t>
  </si>
  <si>
    <t>Benefit Type 
Life &amp; AD&amp;D Insurance</t>
  </si>
  <si>
    <t>Benefit Type 
Long Term Disability</t>
  </si>
  <si>
    <t>Benefit Type 
Short Term Disability</t>
  </si>
  <si>
    <t>Benefit Type
HSA Contribution</t>
  </si>
  <si>
    <t>Other</t>
  </si>
  <si>
    <t>Benefit Type 
Defined Benefit</t>
  </si>
  <si>
    <t>Executive Employees</t>
  </si>
  <si>
    <t>Salary Employees</t>
  </si>
  <si>
    <t>Total Salary Employees</t>
  </si>
  <si>
    <t>Non-Salary Employees</t>
  </si>
  <si>
    <t>Total Non-Salary Employees</t>
  </si>
  <si>
    <t>Total Benefits</t>
  </si>
  <si>
    <t>Total Executive Employees</t>
  </si>
  <si>
    <t>AG1-5H, 6H, &amp; 7H - Insurance Benefits - January 2025</t>
  </si>
  <si>
    <t>AG1-5H, 6H, &amp; 7H - Insurance Benefits - 2024</t>
  </si>
  <si>
    <t>AG1-5H, 6H, &amp; 7H - Insurance Benefits - 2023</t>
  </si>
  <si>
    <t>AG1-5H, 6H, &amp; 7H - Insurance Benefits - 2022</t>
  </si>
  <si>
    <t>AG1-5H, 6H, &amp; 7H - Insurance Benefits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</si>
</sst>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vertical="center" wrapText="1"/>
    </xf>
    <xf numFmtId="164" fontId="1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/>
    <xf numFmtId="0" fontId="2" fillId="0" borderId="5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164" fontId="1" fillId="2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/>
    <xf numFmtId="0" fontId="2" fillId="0" borderId="4" xfId="0" applyFont="1" applyBorder="1" applyAlignment="1">
      <alignment horizontal="left"/>
    </xf>
    <xf numFmtId="164" fontId="1" fillId="2" borderId="1" xfId="1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DB23C-EF2C-4393-88CC-E8F9CD529AA1}">
  <sheetPr>
    <pageSetUpPr fitToPage="1"/>
  </sheetPr>
  <dimension ref="A1:T22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defaultRowHeight="12" x14ac:dyDescent="0.2"/>
  <cols>
    <col min="1" max="1" width="21.42578125" style="17" customWidth="1"/>
    <col min="2" max="14" width="14.28515625" style="17" bestFit="1" customWidth="1"/>
    <col min="15" max="15" width="15.42578125" style="17" bestFit="1" customWidth="1"/>
    <col min="16" max="18" width="14.28515625" style="17" bestFit="1" customWidth="1"/>
    <col min="19" max="19" width="15.42578125" style="17" bestFit="1" customWidth="1"/>
    <col min="20" max="20" width="12.42578125" style="17" bestFit="1" customWidth="1"/>
    <col min="21" max="16384" width="9.140625" style="17"/>
  </cols>
  <sheetData>
    <row r="1" spans="1:20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6" t="s">
        <v>0</v>
      </c>
    </row>
    <row r="2" spans="1:20" x14ac:dyDescent="0.2">
      <c r="A2" s="18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</row>
    <row r="3" spans="1:20" x14ac:dyDescent="0.2">
      <c r="A3" s="18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0"/>
    </row>
    <row r="4" spans="1:20" x14ac:dyDescent="0.2">
      <c r="A4" s="18" t="s">
        <v>37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s="13" customFormat="1" ht="48" x14ac:dyDescent="0.2">
      <c r="A6" s="10"/>
      <c r="B6" s="32" t="s">
        <v>21</v>
      </c>
      <c r="C6" s="32"/>
      <c r="D6" s="32" t="s">
        <v>22</v>
      </c>
      <c r="E6" s="32"/>
      <c r="F6" s="32" t="s">
        <v>23</v>
      </c>
      <c r="G6" s="32"/>
      <c r="H6" s="32" t="s">
        <v>24</v>
      </c>
      <c r="I6" s="32"/>
      <c r="J6" s="32" t="s">
        <v>25</v>
      </c>
      <c r="K6" s="32"/>
      <c r="L6" s="32" t="s">
        <v>26</v>
      </c>
      <c r="M6" s="32"/>
      <c r="N6" s="10" t="s">
        <v>27</v>
      </c>
      <c r="O6" s="32" t="s">
        <v>29</v>
      </c>
      <c r="P6" s="32"/>
      <c r="Q6" s="10" t="s">
        <v>2</v>
      </c>
      <c r="R6" s="10" t="s">
        <v>28</v>
      </c>
      <c r="S6" s="32" t="s">
        <v>35</v>
      </c>
      <c r="T6" s="32"/>
    </row>
    <row r="7" spans="1:20" x14ac:dyDescent="0.2">
      <c r="A7" s="1" t="s">
        <v>1</v>
      </c>
      <c r="B7" s="1" t="s">
        <v>3</v>
      </c>
      <c r="C7" s="2" t="s">
        <v>4</v>
      </c>
      <c r="D7" s="1" t="s">
        <v>3</v>
      </c>
      <c r="E7" s="2" t="s">
        <v>4</v>
      </c>
      <c r="F7" s="1" t="s">
        <v>3</v>
      </c>
      <c r="G7" s="2" t="s">
        <v>4</v>
      </c>
      <c r="H7" s="1" t="s">
        <v>3</v>
      </c>
      <c r="I7" s="2" t="s">
        <v>4</v>
      </c>
      <c r="J7" s="1" t="s">
        <v>3</v>
      </c>
      <c r="K7" s="2" t="s">
        <v>4</v>
      </c>
      <c r="L7" s="1" t="s">
        <v>3</v>
      </c>
      <c r="M7" s="2" t="s">
        <v>4</v>
      </c>
      <c r="N7" s="10" t="s">
        <v>3</v>
      </c>
      <c r="O7" s="1" t="s">
        <v>3</v>
      </c>
      <c r="P7" s="2" t="s">
        <v>4</v>
      </c>
      <c r="Q7" s="24"/>
      <c r="R7" s="24"/>
      <c r="S7" s="1" t="s">
        <v>3</v>
      </c>
      <c r="T7" s="2" t="s">
        <v>4</v>
      </c>
    </row>
    <row r="8" spans="1:20" x14ac:dyDescent="0.2">
      <c r="A8" s="3" t="s">
        <v>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2">
      <c r="A9" s="5" t="s">
        <v>7</v>
      </c>
      <c r="B9" s="4">
        <v>1110.8800000000001</v>
      </c>
      <c r="C9" s="4">
        <v>277.72000000000003</v>
      </c>
      <c r="D9" s="4">
        <v>44.78</v>
      </c>
      <c r="E9" s="4">
        <v>44.78</v>
      </c>
      <c r="F9" s="4">
        <v>0</v>
      </c>
      <c r="G9" s="4">
        <v>9.1</v>
      </c>
      <c r="H9" s="4">
        <v>96</v>
      </c>
      <c r="I9" s="4">
        <v>0</v>
      </c>
      <c r="J9" s="4">
        <v>44.6</v>
      </c>
      <c r="K9" s="4">
        <v>0</v>
      </c>
      <c r="L9" s="4">
        <v>54.5</v>
      </c>
      <c r="M9" s="4">
        <v>0</v>
      </c>
      <c r="N9" s="4">
        <v>3300</v>
      </c>
      <c r="O9" s="4">
        <v>0</v>
      </c>
      <c r="P9" s="4">
        <v>0</v>
      </c>
      <c r="Q9" s="4">
        <v>703.85</v>
      </c>
      <c r="R9" s="4">
        <v>0</v>
      </c>
      <c r="S9" s="4">
        <f>B9+D9+F9+H9+J9+L9+N9+O9+Q9</f>
        <v>5354.6100000000006</v>
      </c>
      <c r="T9" s="4">
        <f>C9+E9+G9+I9+K9+M9+P9</f>
        <v>331.6</v>
      </c>
    </row>
    <row r="10" spans="1:20" x14ac:dyDescent="0.2">
      <c r="A10" s="5" t="s">
        <v>12</v>
      </c>
      <c r="B10" s="4">
        <v>1530.99</v>
      </c>
      <c r="C10" s="4">
        <v>382.74</v>
      </c>
      <c r="D10" s="4">
        <v>44.78</v>
      </c>
      <c r="E10" s="4">
        <v>44.78</v>
      </c>
      <c r="F10" s="4">
        <v>0</v>
      </c>
      <c r="G10" s="4">
        <v>14.69</v>
      </c>
      <c r="H10" s="4">
        <v>91.2</v>
      </c>
      <c r="I10" s="4">
        <v>0</v>
      </c>
      <c r="J10" s="4">
        <v>44.6</v>
      </c>
      <c r="K10" s="4">
        <v>0</v>
      </c>
      <c r="L10" s="4">
        <v>47.79</v>
      </c>
      <c r="M10" s="4">
        <v>0</v>
      </c>
      <c r="N10" s="4">
        <v>3300</v>
      </c>
      <c r="O10" s="4">
        <v>4485.59</v>
      </c>
      <c r="P10" s="4">
        <v>0</v>
      </c>
      <c r="Q10" s="4">
        <v>438.45</v>
      </c>
      <c r="R10" s="4">
        <v>0</v>
      </c>
      <c r="S10" s="4">
        <f t="shared" ref="S10:S11" si="0">B10+D10+F10+H10+J10+L10+N10+O10+Q10</f>
        <v>9983.4000000000015</v>
      </c>
      <c r="T10" s="4">
        <f t="shared" ref="T10:T11" si="1">C10+E10+G10+I10+K10+M10+P10</f>
        <v>442.21</v>
      </c>
    </row>
    <row r="11" spans="1:20" x14ac:dyDescent="0.2">
      <c r="A11" s="5" t="s">
        <v>13</v>
      </c>
      <c r="B11" s="4">
        <v>1530.99</v>
      </c>
      <c r="C11" s="4">
        <v>382.74</v>
      </c>
      <c r="D11" s="4">
        <v>44.78</v>
      </c>
      <c r="E11" s="4">
        <v>44.78</v>
      </c>
      <c r="F11" s="4">
        <v>0</v>
      </c>
      <c r="G11" s="4">
        <v>14.69</v>
      </c>
      <c r="H11" s="4">
        <v>74.819999999999993</v>
      </c>
      <c r="I11" s="4">
        <v>0</v>
      </c>
      <c r="J11" s="4">
        <v>44.6</v>
      </c>
      <c r="K11" s="4">
        <v>0</v>
      </c>
      <c r="L11" s="4">
        <v>39.21</v>
      </c>
      <c r="M11" s="4">
        <v>0</v>
      </c>
      <c r="N11" s="4">
        <v>3300</v>
      </c>
      <c r="O11" s="4">
        <v>3582.57</v>
      </c>
      <c r="P11" s="4">
        <v>0</v>
      </c>
      <c r="Q11" s="4">
        <v>359.7</v>
      </c>
      <c r="R11" s="4">
        <v>0</v>
      </c>
      <c r="S11" s="4">
        <f t="shared" si="0"/>
        <v>8976.67</v>
      </c>
      <c r="T11" s="4">
        <f t="shared" si="1"/>
        <v>442.21</v>
      </c>
    </row>
    <row r="12" spans="1:20" ht="24" x14ac:dyDescent="0.2">
      <c r="A12" s="6" t="s">
        <v>36</v>
      </c>
      <c r="B12" s="25">
        <f t="shared" ref="B12:T12" si="2">SUM(B9:B11)</f>
        <v>4172.8599999999997</v>
      </c>
      <c r="C12" s="25">
        <f t="shared" si="2"/>
        <v>1043.2</v>
      </c>
      <c r="D12" s="25">
        <f t="shared" si="2"/>
        <v>134.34</v>
      </c>
      <c r="E12" s="25">
        <f t="shared" si="2"/>
        <v>134.34</v>
      </c>
      <c r="F12" s="25">
        <f t="shared" si="2"/>
        <v>0</v>
      </c>
      <c r="G12" s="25">
        <f t="shared" si="2"/>
        <v>38.479999999999997</v>
      </c>
      <c r="H12" s="25">
        <f t="shared" si="2"/>
        <v>262.02</v>
      </c>
      <c r="I12" s="25">
        <f t="shared" si="2"/>
        <v>0</v>
      </c>
      <c r="J12" s="25">
        <f t="shared" si="2"/>
        <v>133.80000000000001</v>
      </c>
      <c r="K12" s="25">
        <f t="shared" si="2"/>
        <v>0</v>
      </c>
      <c r="L12" s="25">
        <f t="shared" si="2"/>
        <v>141.5</v>
      </c>
      <c r="M12" s="25">
        <f t="shared" si="2"/>
        <v>0</v>
      </c>
      <c r="N12" s="25">
        <f t="shared" si="2"/>
        <v>9900</v>
      </c>
      <c r="O12" s="25">
        <f t="shared" si="2"/>
        <v>8068.16</v>
      </c>
      <c r="P12" s="25">
        <f t="shared" si="2"/>
        <v>0</v>
      </c>
      <c r="Q12" s="25">
        <f t="shared" si="2"/>
        <v>1502</v>
      </c>
      <c r="R12" s="25">
        <f t="shared" si="2"/>
        <v>0</v>
      </c>
      <c r="S12" s="25">
        <f t="shared" si="2"/>
        <v>24314.68</v>
      </c>
      <c r="T12" s="25">
        <f t="shared" si="2"/>
        <v>1216.02</v>
      </c>
    </row>
    <row r="13" spans="1:20" x14ac:dyDescent="0.2">
      <c r="A13" s="3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x14ac:dyDescent="0.2">
      <c r="A14" s="8" t="s">
        <v>31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">
      <c r="A15" s="12" t="s">
        <v>32</v>
      </c>
      <c r="B15" s="25">
        <v>20645.28</v>
      </c>
      <c r="C15" s="25">
        <v>5161.28</v>
      </c>
      <c r="D15" s="25">
        <v>541.03</v>
      </c>
      <c r="E15" s="25">
        <v>540.96</v>
      </c>
      <c r="F15" s="25">
        <v>0</v>
      </c>
      <c r="G15" s="25">
        <v>185.41</v>
      </c>
      <c r="H15" s="25">
        <v>1013.37</v>
      </c>
      <c r="I15" s="25">
        <v>0</v>
      </c>
      <c r="J15" s="25">
        <v>730.38</v>
      </c>
      <c r="K15" s="25">
        <v>0</v>
      </c>
      <c r="L15" s="25">
        <v>531.11</v>
      </c>
      <c r="M15" s="25">
        <v>0</v>
      </c>
      <c r="N15" s="25">
        <v>29700</v>
      </c>
      <c r="O15" s="25">
        <v>39652.03</v>
      </c>
      <c r="P15" s="25">
        <v>0</v>
      </c>
      <c r="Q15" s="25">
        <v>4583.7</v>
      </c>
      <c r="R15" s="25">
        <v>0</v>
      </c>
      <c r="S15" s="31">
        <f>B15+D15+F15+H15+J15+L15+N15+O15+Q15</f>
        <v>97396.9</v>
      </c>
      <c r="T15" s="31">
        <f t="shared" ref="T15" si="3">C15+E15+G15+I15+K15+M15+P15</f>
        <v>5887.65</v>
      </c>
    </row>
    <row r="16" spans="1:20" x14ac:dyDescent="0.2">
      <c r="A16" s="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">
      <c r="A17" s="3" t="s">
        <v>33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24" x14ac:dyDescent="0.2">
      <c r="A18" s="12" t="s">
        <v>34</v>
      </c>
      <c r="B18" s="25">
        <f>134639.72-B12-B15</f>
        <v>109821.58</v>
      </c>
      <c r="C18" s="25">
        <f>30660.3-C12-C15</f>
        <v>24455.82</v>
      </c>
      <c r="D18" s="25">
        <f>3477.32-D12-D15</f>
        <v>2801.95</v>
      </c>
      <c r="E18" s="25">
        <f>3402.78-E12-E15</f>
        <v>2727.48</v>
      </c>
      <c r="F18" s="25">
        <v>0</v>
      </c>
      <c r="G18" s="25">
        <f>1106.99-G12-G15</f>
        <v>883.1</v>
      </c>
      <c r="H18" s="25">
        <f>5679.26-H12-H15</f>
        <v>4403.87</v>
      </c>
      <c r="I18" s="25">
        <v>0</v>
      </c>
      <c r="J18" s="25">
        <f>4263.65-J12-J15</f>
        <v>3399.4699999999993</v>
      </c>
      <c r="K18" s="25">
        <v>0</v>
      </c>
      <c r="L18" s="25">
        <f>2976.48-L12-L15</f>
        <v>2303.87</v>
      </c>
      <c r="M18" s="25">
        <v>0</v>
      </c>
      <c r="N18" s="25">
        <f>118800-N12-N15</f>
        <v>79200</v>
      </c>
      <c r="O18" s="25">
        <f>226453.54-O12-O15</f>
        <v>178733.35</v>
      </c>
      <c r="P18" s="25">
        <v>0</v>
      </c>
      <c r="Q18" s="25">
        <f>24387.79-Q12-Q15</f>
        <v>18302.09</v>
      </c>
      <c r="R18" s="25">
        <v>0</v>
      </c>
      <c r="S18" s="31">
        <f>B18+D18+F18+H18+J18+L18+N18+O18+Q18</f>
        <v>398966.18</v>
      </c>
      <c r="T18" s="31">
        <f t="shared" ref="T18" si="4">C18+E18+G18+I18+K18+M18+P18</f>
        <v>28066.399999999998</v>
      </c>
    </row>
    <row r="19" spans="1:20" x14ac:dyDescent="0.2">
      <c r="A19" s="7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">
      <c r="A20" s="3" t="s">
        <v>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">
      <c r="A21" s="9" t="s">
        <v>6</v>
      </c>
      <c r="B21" s="25">
        <f t="shared" ref="B21:T21" si="5">B12+B15+B18</f>
        <v>134639.72</v>
      </c>
      <c r="C21" s="25">
        <f t="shared" si="5"/>
        <v>30660.3</v>
      </c>
      <c r="D21" s="25">
        <f t="shared" si="5"/>
        <v>3477.3199999999997</v>
      </c>
      <c r="E21" s="25">
        <f t="shared" si="5"/>
        <v>3402.78</v>
      </c>
      <c r="F21" s="25">
        <f t="shared" si="5"/>
        <v>0</v>
      </c>
      <c r="G21" s="25">
        <f t="shared" si="5"/>
        <v>1106.99</v>
      </c>
      <c r="H21" s="25">
        <f t="shared" si="5"/>
        <v>5679.26</v>
      </c>
      <c r="I21" s="25">
        <f t="shared" si="5"/>
        <v>0</v>
      </c>
      <c r="J21" s="25">
        <f t="shared" si="5"/>
        <v>4263.6499999999996</v>
      </c>
      <c r="K21" s="25">
        <f t="shared" si="5"/>
        <v>0</v>
      </c>
      <c r="L21" s="25">
        <f t="shared" si="5"/>
        <v>2976.48</v>
      </c>
      <c r="M21" s="25">
        <f t="shared" si="5"/>
        <v>0</v>
      </c>
      <c r="N21" s="25">
        <f t="shared" si="5"/>
        <v>118800</v>
      </c>
      <c r="O21" s="25">
        <f t="shared" si="5"/>
        <v>226453.54</v>
      </c>
      <c r="P21" s="25">
        <f t="shared" si="5"/>
        <v>0</v>
      </c>
      <c r="Q21" s="25">
        <f t="shared" si="5"/>
        <v>24387.79</v>
      </c>
      <c r="R21" s="25">
        <f t="shared" si="5"/>
        <v>0</v>
      </c>
      <c r="S21" s="25">
        <f t="shared" si="5"/>
        <v>520677.76</v>
      </c>
      <c r="T21" s="25">
        <f t="shared" si="5"/>
        <v>35170.07</v>
      </c>
    </row>
    <row r="22" spans="1:20" x14ac:dyDescent="0.2">
      <c r="A22" s="27"/>
    </row>
  </sheetData>
  <mergeCells count="8">
    <mergeCell ref="O6:P6"/>
    <mergeCell ref="S6:T6"/>
    <mergeCell ref="B6:C6"/>
    <mergeCell ref="D6:E6"/>
    <mergeCell ref="F6:G6"/>
    <mergeCell ref="H6:I6"/>
    <mergeCell ref="J6:K6"/>
    <mergeCell ref="L6:M6"/>
  </mergeCells>
  <pageMargins left="0" right="0" top="0" bottom="0" header="0.3" footer="0.3"/>
  <pageSetup paperSize="5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defaultRowHeight="12" x14ac:dyDescent="0.2"/>
  <cols>
    <col min="1" max="1" width="21.42578125" style="17" customWidth="1"/>
    <col min="2" max="14" width="14.28515625" style="17" bestFit="1" customWidth="1"/>
    <col min="15" max="15" width="15.42578125" style="17" bestFit="1" customWidth="1"/>
    <col min="16" max="18" width="14.28515625" style="17" bestFit="1" customWidth="1"/>
    <col min="19" max="19" width="15.42578125" style="17" bestFit="1" customWidth="1"/>
    <col min="20" max="20" width="12.42578125" style="17" bestFit="1" customWidth="1"/>
    <col min="21" max="16384" width="9.140625" style="17"/>
  </cols>
  <sheetData>
    <row r="1" spans="1:20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6" t="s">
        <v>0</v>
      </c>
    </row>
    <row r="2" spans="1:20" x14ac:dyDescent="0.2">
      <c r="A2" s="18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</row>
    <row r="3" spans="1:20" x14ac:dyDescent="0.2">
      <c r="A3" s="18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0"/>
    </row>
    <row r="4" spans="1:20" x14ac:dyDescent="0.2">
      <c r="A4" s="18" t="s">
        <v>38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s="13" customFormat="1" ht="48" x14ac:dyDescent="0.2">
      <c r="A6" s="10"/>
      <c r="B6" s="32" t="s">
        <v>21</v>
      </c>
      <c r="C6" s="32"/>
      <c r="D6" s="32" t="s">
        <v>22</v>
      </c>
      <c r="E6" s="32"/>
      <c r="F6" s="32" t="s">
        <v>23</v>
      </c>
      <c r="G6" s="32"/>
      <c r="H6" s="32" t="s">
        <v>24</v>
      </c>
      <c r="I6" s="32"/>
      <c r="J6" s="32" t="s">
        <v>25</v>
      </c>
      <c r="K6" s="32"/>
      <c r="L6" s="32" t="s">
        <v>26</v>
      </c>
      <c r="M6" s="32"/>
      <c r="N6" s="10" t="s">
        <v>27</v>
      </c>
      <c r="O6" s="32" t="s">
        <v>29</v>
      </c>
      <c r="P6" s="32"/>
      <c r="Q6" s="10" t="s">
        <v>2</v>
      </c>
      <c r="R6" s="10" t="s">
        <v>28</v>
      </c>
      <c r="S6" s="32" t="s">
        <v>35</v>
      </c>
      <c r="T6" s="32"/>
    </row>
    <row r="7" spans="1:20" x14ac:dyDescent="0.2">
      <c r="A7" s="1" t="s">
        <v>1</v>
      </c>
      <c r="B7" s="1" t="s">
        <v>3</v>
      </c>
      <c r="C7" s="2" t="s">
        <v>4</v>
      </c>
      <c r="D7" s="1" t="s">
        <v>3</v>
      </c>
      <c r="E7" s="2" t="s">
        <v>4</v>
      </c>
      <c r="F7" s="1" t="s">
        <v>3</v>
      </c>
      <c r="G7" s="2" t="s">
        <v>4</v>
      </c>
      <c r="H7" s="1" t="s">
        <v>3</v>
      </c>
      <c r="I7" s="2" t="s">
        <v>4</v>
      </c>
      <c r="J7" s="1" t="s">
        <v>3</v>
      </c>
      <c r="K7" s="2" t="s">
        <v>4</v>
      </c>
      <c r="L7" s="1" t="s">
        <v>3</v>
      </c>
      <c r="M7" s="2" t="s">
        <v>4</v>
      </c>
      <c r="N7" s="10" t="s">
        <v>3</v>
      </c>
      <c r="O7" s="1" t="s">
        <v>3</v>
      </c>
      <c r="P7" s="2" t="s">
        <v>4</v>
      </c>
      <c r="Q7" s="24"/>
      <c r="R7" s="24"/>
      <c r="S7" s="1" t="s">
        <v>3</v>
      </c>
      <c r="T7" s="2" t="s">
        <v>4</v>
      </c>
    </row>
    <row r="8" spans="1:20" x14ac:dyDescent="0.2">
      <c r="A8" s="3" t="s">
        <v>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2">
      <c r="A9" s="5" t="s">
        <v>7</v>
      </c>
      <c r="B9" s="4">
        <v>12917.62</v>
      </c>
      <c r="C9" s="4">
        <v>4552.08</v>
      </c>
      <c r="D9" s="4">
        <v>546.72</v>
      </c>
      <c r="E9" s="4">
        <v>546.36</v>
      </c>
      <c r="F9" s="4">
        <v>0</v>
      </c>
      <c r="G9" s="4">
        <v>109.2</v>
      </c>
      <c r="H9" s="4">
        <v>1152</v>
      </c>
      <c r="I9" s="4">
        <v>0</v>
      </c>
      <c r="J9" s="4">
        <v>535.20000000000005</v>
      </c>
      <c r="K9" s="4">
        <v>0</v>
      </c>
      <c r="L9" s="4">
        <v>654</v>
      </c>
      <c r="M9" s="4">
        <v>0</v>
      </c>
      <c r="N9" s="4">
        <v>3200</v>
      </c>
      <c r="O9" s="4">
        <v>64825.08</v>
      </c>
      <c r="P9" s="4">
        <v>0</v>
      </c>
      <c r="Q9" s="4">
        <v>5383.76</v>
      </c>
      <c r="R9" s="4">
        <v>0</v>
      </c>
      <c r="S9" s="4">
        <f>B9+D9+F9+H9+J9+L9+N9+O9+Q9</f>
        <v>89214.37999999999</v>
      </c>
      <c r="T9" s="4">
        <f>C9+E9+G9+I9+K9+M9+P9</f>
        <v>5207.6399999999994</v>
      </c>
    </row>
    <row r="10" spans="1:20" x14ac:dyDescent="0.2">
      <c r="A10" s="5" t="s">
        <v>12</v>
      </c>
      <c r="B10" s="4">
        <f>9235.02+2435.12</f>
        <v>11670.14</v>
      </c>
      <c r="C10" s="4">
        <f>855.6+4777.08</f>
        <v>5632.68</v>
      </c>
      <c r="D10" s="4">
        <f>330.05+54.2</f>
        <v>384.25</v>
      </c>
      <c r="E10" s="4">
        <f>54.2+329.84</f>
        <v>384.03999999999996</v>
      </c>
      <c r="F10" s="4">
        <v>0</v>
      </c>
      <c r="G10" s="4">
        <f>102.83+18.2</f>
        <v>121.03</v>
      </c>
      <c r="H10" s="4">
        <f>636+182.36</f>
        <v>818.36</v>
      </c>
      <c r="I10" s="4">
        <v>0</v>
      </c>
      <c r="J10" s="4">
        <f>312.2+89.2</f>
        <v>401.4</v>
      </c>
      <c r="K10" s="4">
        <v>0</v>
      </c>
      <c r="L10" s="4">
        <f>333.38+91.22</f>
        <v>424.6</v>
      </c>
      <c r="M10" s="4">
        <v>0</v>
      </c>
      <c r="N10" s="4">
        <v>1866.69</v>
      </c>
      <c r="O10" s="4">
        <f>26695.5+9136.88</f>
        <v>35832.379999999997</v>
      </c>
      <c r="P10" s="4">
        <v>0</v>
      </c>
      <c r="Q10" s="4">
        <f>2180.73+730.6</f>
        <v>2911.33</v>
      </c>
      <c r="R10" s="4">
        <v>0</v>
      </c>
      <c r="S10" s="4">
        <f t="shared" ref="S10:S13" si="0">B10+D10+F10+H10+J10+L10+N10+O10+Q10</f>
        <v>54309.15</v>
      </c>
      <c r="T10" s="4">
        <f t="shared" ref="T10:T13" si="1">C10+E10+G10+I10+K10+M10+P10</f>
        <v>6137.75</v>
      </c>
    </row>
    <row r="11" spans="1:20" x14ac:dyDescent="0.2">
      <c r="A11" s="5" t="s">
        <v>13</v>
      </c>
      <c r="B11" s="4">
        <v>15858.82</v>
      </c>
      <c r="C11" s="4">
        <v>8189.28</v>
      </c>
      <c r="D11" s="4">
        <v>565.79999999999995</v>
      </c>
      <c r="E11" s="4">
        <v>565.44000000000005</v>
      </c>
      <c r="F11" s="4">
        <v>0</v>
      </c>
      <c r="G11" s="4">
        <v>176.28</v>
      </c>
      <c r="H11" s="4">
        <v>858.54</v>
      </c>
      <c r="I11" s="4">
        <v>0</v>
      </c>
      <c r="J11" s="4">
        <v>535.20000000000005</v>
      </c>
      <c r="K11" s="4">
        <v>0</v>
      </c>
      <c r="L11" s="4">
        <v>450.18</v>
      </c>
      <c r="M11" s="4">
        <v>0</v>
      </c>
      <c r="N11" s="4">
        <v>3200</v>
      </c>
      <c r="O11" s="4">
        <v>42041.52</v>
      </c>
      <c r="P11" s="4">
        <v>0</v>
      </c>
      <c r="Q11" s="4">
        <v>2972.77</v>
      </c>
      <c r="R11" s="4">
        <v>0</v>
      </c>
      <c r="S11" s="4">
        <f t="shared" si="0"/>
        <v>66482.83</v>
      </c>
      <c r="T11" s="4">
        <f t="shared" si="1"/>
        <v>8931</v>
      </c>
    </row>
    <row r="12" spans="1:20" x14ac:dyDescent="0.2">
      <c r="A12" s="5" t="s">
        <v>14</v>
      </c>
      <c r="B12" s="4">
        <v>1645.14</v>
      </c>
      <c r="C12" s="4">
        <v>463.98</v>
      </c>
      <c r="D12" s="4">
        <v>45.93</v>
      </c>
      <c r="E12" s="4">
        <v>61.2</v>
      </c>
      <c r="F12" s="4">
        <v>0</v>
      </c>
      <c r="G12" s="4">
        <v>21.64</v>
      </c>
      <c r="H12" s="4">
        <v>273.60000000000002</v>
      </c>
      <c r="I12" s="4">
        <v>0</v>
      </c>
      <c r="J12" s="4">
        <v>133.80000000000001</v>
      </c>
      <c r="K12" s="4">
        <v>0</v>
      </c>
      <c r="L12" s="4">
        <v>143.43</v>
      </c>
      <c r="M12" s="4">
        <v>0</v>
      </c>
      <c r="N12" s="4">
        <v>0</v>
      </c>
      <c r="O12" s="4">
        <v>9139</v>
      </c>
      <c r="P12" s="4">
        <v>0</v>
      </c>
      <c r="Q12" s="4">
        <v>1023.06</v>
      </c>
      <c r="R12" s="4">
        <v>0</v>
      </c>
      <c r="S12" s="4">
        <f t="shared" si="0"/>
        <v>12403.96</v>
      </c>
      <c r="T12" s="4">
        <f t="shared" si="1"/>
        <v>546.82000000000005</v>
      </c>
    </row>
    <row r="13" spans="1:20" x14ac:dyDescent="0.2">
      <c r="A13" s="5" t="s">
        <v>15</v>
      </c>
      <c r="B13" s="4">
        <v>3409.42</v>
      </c>
      <c r="C13" s="4">
        <v>961.52</v>
      </c>
      <c r="D13" s="4">
        <v>107.17</v>
      </c>
      <c r="E13" s="4">
        <v>107.1</v>
      </c>
      <c r="F13" s="4">
        <v>0</v>
      </c>
      <c r="G13" s="4">
        <v>0</v>
      </c>
      <c r="H13" s="4">
        <v>672</v>
      </c>
      <c r="I13" s="4">
        <v>0</v>
      </c>
      <c r="J13" s="4">
        <v>312.2</v>
      </c>
      <c r="K13" s="4">
        <v>0</v>
      </c>
      <c r="L13" s="4">
        <v>381.5</v>
      </c>
      <c r="M13" s="4">
        <v>0</v>
      </c>
      <c r="N13" s="4">
        <v>1600</v>
      </c>
      <c r="O13" s="4">
        <v>0</v>
      </c>
      <c r="P13" s="4">
        <v>0</v>
      </c>
      <c r="Q13" s="4">
        <v>3015.36</v>
      </c>
      <c r="R13" s="4">
        <v>0</v>
      </c>
      <c r="S13" s="4">
        <f t="shared" si="0"/>
        <v>9497.65</v>
      </c>
      <c r="T13" s="4">
        <f t="shared" si="1"/>
        <v>1068.6199999999999</v>
      </c>
    </row>
    <row r="14" spans="1:20" ht="24" x14ac:dyDescent="0.2">
      <c r="A14" s="6" t="s">
        <v>36</v>
      </c>
      <c r="B14" s="25">
        <f t="shared" ref="B14:T14" si="2">SUM(B9:B13)</f>
        <v>45501.14</v>
      </c>
      <c r="C14" s="25">
        <f t="shared" si="2"/>
        <v>19799.54</v>
      </c>
      <c r="D14" s="25">
        <f t="shared" si="2"/>
        <v>1649.8700000000001</v>
      </c>
      <c r="E14" s="25">
        <f t="shared" si="2"/>
        <v>1664.14</v>
      </c>
      <c r="F14" s="25">
        <f t="shared" si="2"/>
        <v>0</v>
      </c>
      <c r="G14" s="25">
        <f t="shared" si="2"/>
        <v>428.15</v>
      </c>
      <c r="H14" s="25">
        <f t="shared" si="2"/>
        <v>3774.5</v>
      </c>
      <c r="I14" s="25">
        <f t="shared" si="2"/>
        <v>0</v>
      </c>
      <c r="J14" s="25">
        <f t="shared" si="2"/>
        <v>1917.8000000000002</v>
      </c>
      <c r="K14" s="25">
        <f t="shared" si="2"/>
        <v>0</v>
      </c>
      <c r="L14" s="25">
        <f t="shared" si="2"/>
        <v>2053.71</v>
      </c>
      <c r="M14" s="25">
        <f t="shared" si="2"/>
        <v>0</v>
      </c>
      <c r="N14" s="25">
        <f t="shared" si="2"/>
        <v>9866.69</v>
      </c>
      <c r="O14" s="25">
        <f t="shared" si="2"/>
        <v>151837.97999999998</v>
      </c>
      <c r="P14" s="25">
        <f t="shared" si="2"/>
        <v>0</v>
      </c>
      <c r="Q14" s="25">
        <f t="shared" si="2"/>
        <v>15306.28</v>
      </c>
      <c r="R14" s="25">
        <f t="shared" si="2"/>
        <v>0</v>
      </c>
      <c r="S14" s="25">
        <f>SUM(S9:S13)</f>
        <v>231907.96999999997</v>
      </c>
      <c r="T14" s="25">
        <f t="shared" si="2"/>
        <v>21891.829999999998</v>
      </c>
    </row>
    <row r="15" spans="1:20" x14ac:dyDescent="0.2">
      <c r="A15" s="3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20" x14ac:dyDescent="0.2">
      <c r="A16" s="8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">
      <c r="A17" s="12" t="s">
        <v>32</v>
      </c>
      <c r="B17" s="25">
        <v>213156.04</v>
      </c>
      <c r="C17" s="25">
        <v>93873.46</v>
      </c>
      <c r="D17" s="25">
        <v>6024.58</v>
      </c>
      <c r="E17" s="25">
        <v>6021.96</v>
      </c>
      <c r="F17" s="25">
        <v>0</v>
      </c>
      <c r="G17" s="25">
        <v>1901.72</v>
      </c>
      <c r="H17" s="25">
        <v>11318.77</v>
      </c>
      <c r="I17" s="25">
        <v>0</v>
      </c>
      <c r="J17" s="25">
        <v>8269.48</v>
      </c>
      <c r="K17" s="25">
        <v>0</v>
      </c>
      <c r="L17" s="25">
        <v>5915.07</v>
      </c>
      <c r="M17" s="25">
        <v>0</v>
      </c>
      <c r="N17" s="25">
        <v>19200</v>
      </c>
      <c r="O17" s="25">
        <v>375833.12</v>
      </c>
      <c r="P17" s="25">
        <v>0</v>
      </c>
      <c r="Q17" s="25">
        <v>33976.160000000003</v>
      </c>
      <c r="R17" s="25">
        <v>0</v>
      </c>
      <c r="S17" s="31">
        <f t="shared" ref="S17" si="3">B17+D17+F17+H17+J17+L17+N17+O17+Q17</f>
        <v>673693.22000000009</v>
      </c>
      <c r="T17" s="31">
        <f t="shared" ref="T17" si="4">C17+E17+G17+I17+K17+M17+P17</f>
        <v>101797.14000000001</v>
      </c>
    </row>
    <row r="18" spans="1:20" x14ac:dyDescent="0.2">
      <c r="A18" s="7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">
      <c r="A19" s="3" t="s">
        <v>33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24" x14ac:dyDescent="0.2">
      <c r="A20" s="12" t="s">
        <v>34</v>
      </c>
      <c r="B20" s="25">
        <f>1438038.31-B14-B17</f>
        <v>1179381.1300000001</v>
      </c>
      <c r="C20" s="25">
        <f>581329.28-C14-C17</f>
        <v>467656.27999999997</v>
      </c>
      <c r="D20" s="25">
        <f>42602.75-D14-D17</f>
        <v>34928.299999999996</v>
      </c>
      <c r="E20" s="25">
        <f>41948.18-E14-E17</f>
        <v>34262.080000000002</v>
      </c>
      <c r="F20" s="25">
        <v>0</v>
      </c>
      <c r="G20" s="25">
        <f>12659.75-G14-G17</f>
        <v>10329.880000000001</v>
      </c>
      <c r="H20" s="25">
        <f>62778.43-H14-H17</f>
        <v>47685.16</v>
      </c>
      <c r="I20" s="25">
        <v>0</v>
      </c>
      <c r="J20" s="25">
        <f>47158.06-J14-J17</f>
        <v>36970.78</v>
      </c>
      <c r="K20" s="25">
        <v>0</v>
      </c>
      <c r="L20" s="25">
        <f>32875.03-L14-L17</f>
        <v>24906.25</v>
      </c>
      <c r="M20" s="25">
        <v>0</v>
      </c>
      <c r="N20" s="25">
        <f>114000.01-N14-N17</f>
        <v>84933.319999999992</v>
      </c>
      <c r="O20" s="25">
        <f>2453758.5-O14-O17</f>
        <v>1926087.4</v>
      </c>
      <c r="P20" s="25">
        <v>0</v>
      </c>
      <c r="Q20" s="25">
        <f>186886.37-Q14-Q17</f>
        <v>137603.93</v>
      </c>
      <c r="R20" s="25">
        <v>0</v>
      </c>
      <c r="S20" s="31">
        <f t="shared" ref="S20" si="5">B20+D20+F20+H20+J20+L20+N20+O20+Q20</f>
        <v>3472496.27</v>
      </c>
      <c r="T20" s="31">
        <f t="shared" ref="T20" si="6">C20+E20+G20+I20+K20+M20+P20</f>
        <v>512248.24</v>
      </c>
    </row>
    <row r="21" spans="1:20" x14ac:dyDescent="0.2">
      <c r="A21" s="7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">
      <c r="A22" s="3" t="s">
        <v>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2">
      <c r="A23" s="12" t="s">
        <v>6</v>
      </c>
      <c r="B23" s="25">
        <f t="shared" ref="B23:T23" si="7">B14+B17+B20</f>
        <v>1438038.31</v>
      </c>
      <c r="C23" s="25">
        <f t="shared" si="7"/>
        <v>581329.28</v>
      </c>
      <c r="D23" s="25">
        <f t="shared" si="7"/>
        <v>42602.749999999993</v>
      </c>
      <c r="E23" s="25">
        <f t="shared" si="7"/>
        <v>41948.18</v>
      </c>
      <c r="F23" s="25">
        <f t="shared" si="7"/>
        <v>0</v>
      </c>
      <c r="G23" s="25">
        <f t="shared" si="7"/>
        <v>12659.75</v>
      </c>
      <c r="H23" s="25">
        <f t="shared" si="7"/>
        <v>62778.430000000008</v>
      </c>
      <c r="I23" s="25">
        <f t="shared" si="7"/>
        <v>0</v>
      </c>
      <c r="J23" s="25">
        <f t="shared" si="7"/>
        <v>47158.06</v>
      </c>
      <c r="K23" s="25">
        <f t="shared" si="7"/>
        <v>0</v>
      </c>
      <c r="L23" s="25">
        <f t="shared" si="7"/>
        <v>32875.03</v>
      </c>
      <c r="M23" s="25">
        <f t="shared" si="7"/>
        <v>0</v>
      </c>
      <c r="N23" s="25">
        <f t="shared" si="7"/>
        <v>114000.01</v>
      </c>
      <c r="O23" s="25">
        <f t="shared" si="7"/>
        <v>2453758.5</v>
      </c>
      <c r="P23" s="25">
        <f t="shared" si="7"/>
        <v>0</v>
      </c>
      <c r="Q23" s="25">
        <f t="shared" si="7"/>
        <v>186886.37</v>
      </c>
      <c r="R23" s="25">
        <f t="shared" si="7"/>
        <v>0</v>
      </c>
      <c r="S23" s="25">
        <f t="shared" si="7"/>
        <v>4378097.46</v>
      </c>
      <c r="T23" s="25">
        <f t="shared" si="7"/>
        <v>635937.21</v>
      </c>
    </row>
    <row r="24" spans="1:20" x14ac:dyDescent="0.2">
      <c r="A24" s="27"/>
    </row>
  </sheetData>
  <mergeCells count="8">
    <mergeCell ref="S6:T6"/>
    <mergeCell ref="B6:C6"/>
    <mergeCell ref="D6:E6"/>
    <mergeCell ref="F6:G6"/>
    <mergeCell ref="H6:I6"/>
    <mergeCell ref="O6:P6"/>
    <mergeCell ref="J6:K6"/>
    <mergeCell ref="L6:M6"/>
  </mergeCells>
  <pageMargins left="0" right="0" top="0" bottom="0" header="0.3" footer="0.3"/>
  <pageSetup paperSize="5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40FC4-B6E4-4B40-8679-FD6602D36D15}">
  <sheetPr>
    <pageSetUpPr fitToPage="1"/>
  </sheetPr>
  <dimension ref="A1:T28"/>
  <sheetViews>
    <sheetView zoomScaleNormal="10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2" x14ac:dyDescent="0.2"/>
  <cols>
    <col min="1" max="1" width="21.42578125" style="17" customWidth="1"/>
    <col min="2" max="14" width="14.28515625" style="17" bestFit="1" customWidth="1"/>
    <col min="15" max="15" width="15.42578125" style="17" bestFit="1" customWidth="1"/>
    <col min="16" max="18" width="14.28515625" style="17" bestFit="1" customWidth="1"/>
    <col min="19" max="19" width="15.42578125" style="17" bestFit="1" customWidth="1"/>
    <col min="20" max="20" width="12.42578125" style="17" bestFit="1" customWidth="1"/>
    <col min="21" max="16384" width="9.140625" style="17"/>
  </cols>
  <sheetData>
    <row r="1" spans="1:20" x14ac:dyDescent="0.2">
      <c r="A1" s="29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30" t="s">
        <v>0</v>
      </c>
    </row>
    <row r="2" spans="1:20" x14ac:dyDescent="0.2">
      <c r="A2" s="18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</row>
    <row r="3" spans="1:20" x14ac:dyDescent="0.2">
      <c r="A3" s="18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0"/>
    </row>
    <row r="4" spans="1:20" x14ac:dyDescent="0.2">
      <c r="A4" s="18" t="s">
        <v>39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s="13" customFormat="1" ht="48" x14ac:dyDescent="0.2">
      <c r="A6" s="10"/>
      <c r="B6" s="32" t="s">
        <v>21</v>
      </c>
      <c r="C6" s="32"/>
      <c r="D6" s="32" t="s">
        <v>22</v>
      </c>
      <c r="E6" s="32"/>
      <c r="F6" s="32" t="s">
        <v>23</v>
      </c>
      <c r="G6" s="32"/>
      <c r="H6" s="32" t="s">
        <v>24</v>
      </c>
      <c r="I6" s="32"/>
      <c r="J6" s="32" t="s">
        <v>25</v>
      </c>
      <c r="K6" s="32"/>
      <c r="L6" s="32" t="s">
        <v>26</v>
      </c>
      <c r="M6" s="32"/>
      <c r="N6" s="10" t="s">
        <v>27</v>
      </c>
      <c r="O6" s="32" t="s">
        <v>29</v>
      </c>
      <c r="P6" s="32"/>
      <c r="Q6" s="10" t="s">
        <v>2</v>
      </c>
      <c r="R6" s="10" t="s">
        <v>28</v>
      </c>
      <c r="S6" s="32" t="s">
        <v>35</v>
      </c>
      <c r="T6" s="32"/>
    </row>
    <row r="7" spans="1:20" x14ac:dyDescent="0.2">
      <c r="A7" s="1" t="s">
        <v>1</v>
      </c>
      <c r="B7" s="1" t="s">
        <v>3</v>
      </c>
      <c r="C7" s="2" t="s">
        <v>4</v>
      </c>
      <c r="D7" s="1" t="s">
        <v>3</v>
      </c>
      <c r="E7" s="2" t="s">
        <v>4</v>
      </c>
      <c r="F7" s="1" t="s">
        <v>3</v>
      </c>
      <c r="G7" s="2" t="s">
        <v>4</v>
      </c>
      <c r="H7" s="1" t="s">
        <v>3</v>
      </c>
      <c r="I7" s="2" t="s">
        <v>4</v>
      </c>
      <c r="J7" s="1" t="s">
        <v>3</v>
      </c>
      <c r="K7" s="2" t="s">
        <v>4</v>
      </c>
      <c r="L7" s="1" t="s">
        <v>3</v>
      </c>
      <c r="M7" s="2" t="s">
        <v>4</v>
      </c>
      <c r="N7" s="10" t="s">
        <v>3</v>
      </c>
      <c r="O7" s="1" t="s">
        <v>3</v>
      </c>
      <c r="P7" s="2" t="s">
        <v>4</v>
      </c>
      <c r="Q7" s="24"/>
      <c r="R7" s="24"/>
      <c r="S7" s="1" t="s">
        <v>3</v>
      </c>
      <c r="T7" s="2" t="s">
        <v>4</v>
      </c>
    </row>
    <row r="8" spans="1:20" x14ac:dyDescent="0.2">
      <c r="A8" s="3" t="s">
        <v>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2">
      <c r="A9" s="5" t="s">
        <v>7</v>
      </c>
      <c r="B9" s="4">
        <v>9972.6</v>
      </c>
      <c r="C9" s="4">
        <v>4501.0600000000004</v>
      </c>
      <c r="D9" s="4">
        <v>258</v>
      </c>
      <c r="E9" s="4">
        <v>284</v>
      </c>
      <c r="F9" s="4">
        <v>0</v>
      </c>
      <c r="G9" s="4">
        <v>91</v>
      </c>
      <c r="H9" s="4">
        <v>984</v>
      </c>
      <c r="I9" s="4">
        <v>0</v>
      </c>
      <c r="J9" s="4">
        <v>401.4</v>
      </c>
      <c r="K9" s="4">
        <v>0</v>
      </c>
      <c r="L9" s="4">
        <v>0</v>
      </c>
      <c r="M9" s="4">
        <v>0</v>
      </c>
      <c r="N9" s="4">
        <v>3000</v>
      </c>
      <c r="O9" s="4">
        <v>71425</v>
      </c>
      <c r="P9" s="4">
        <v>0</v>
      </c>
      <c r="Q9" s="4">
        <v>4711.6899999999996</v>
      </c>
      <c r="R9" s="4">
        <v>0</v>
      </c>
      <c r="S9" s="4">
        <f>+B9+D9+F9+H9+J9+L9+N9+O9+Q9</f>
        <v>90752.69</v>
      </c>
      <c r="T9" s="4">
        <f>C9+E9+G9+I9+K9+M9+P9</f>
        <v>4876.0600000000004</v>
      </c>
    </row>
    <row r="10" spans="1:20" x14ac:dyDescent="0.2">
      <c r="A10" s="5" t="s">
        <v>11</v>
      </c>
      <c r="B10" s="4">
        <v>11975.46</v>
      </c>
      <c r="C10" s="4">
        <v>4204.5600000000004</v>
      </c>
      <c r="D10" s="4">
        <v>538.55999999999995</v>
      </c>
      <c r="E10" s="4">
        <v>538.79999999999995</v>
      </c>
      <c r="F10" s="4">
        <v>0</v>
      </c>
      <c r="G10" s="4">
        <v>109.2</v>
      </c>
      <c r="H10" s="4">
        <v>1152</v>
      </c>
      <c r="I10" s="4">
        <v>0</v>
      </c>
      <c r="J10" s="4">
        <v>535.20000000000005</v>
      </c>
      <c r="K10" s="4">
        <v>0</v>
      </c>
      <c r="L10" s="4">
        <v>0</v>
      </c>
      <c r="M10" s="4">
        <v>0</v>
      </c>
      <c r="N10" s="4">
        <v>3000</v>
      </c>
      <c r="O10" s="4">
        <v>61362.96</v>
      </c>
      <c r="P10" s="4">
        <v>0</v>
      </c>
      <c r="Q10" s="4">
        <v>4492.28</v>
      </c>
      <c r="R10" s="4">
        <v>0</v>
      </c>
      <c r="S10" s="4">
        <f t="shared" ref="S10:S13" si="0">+B10+D10+F10+H10+J10+L10+N10+O10+Q10</f>
        <v>83056.459999999992</v>
      </c>
      <c r="T10" s="4">
        <f t="shared" ref="T10:T13" si="1">C10+E10+G10+I10+K10+M10+P10</f>
        <v>4852.5600000000004</v>
      </c>
    </row>
    <row r="11" spans="1:20" x14ac:dyDescent="0.2">
      <c r="A11" s="5" t="s">
        <v>12</v>
      </c>
      <c r="B11" s="4">
        <f>14376.28+510.66</f>
        <v>14886.94</v>
      </c>
      <c r="C11" s="4">
        <f>4960+144.02</f>
        <v>5104.0200000000004</v>
      </c>
      <c r="D11" s="4">
        <f>335.4+14.57</f>
        <v>349.96999999999997</v>
      </c>
      <c r="E11" s="4">
        <f>335.66+14.58</f>
        <v>350.24</v>
      </c>
      <c r="F11" s="4">
        <v>0</v>
      </c>
      <c r="G11" s="4">
        <v>118.3</v>
      </c>
      <c r="H11" s="4">
        <f>1043.9+90.75</f>
        <v>1134.6500000000001</v>
      </c>
      <c r="I11" s="4">
        <v>0</v>
      </c>
      <c r="J11" s="4">
        <f>535.22+44.6</f>
        <v>579.82000000000005</v>
      </c>
      <c r="K11" s="4">
        <v>0</v>
      </c>
      <c r="L11" s="4">
        <v>0</v>
      </c>
      <c r="M11" s="4">
        <v>0</v>
      </c>
      <c r="N11" s="4">
        <v>0</v>
      </c>
      <c r="O11" s="4">
        <f>49997.52+4501.49</f>
        <v>54499.009999999995</v>
      </c>
      <c r="P11" s="4">
        <v>0</v>
      </c>
      <c r="Q11" s="4">
        <f>3638.12+160.53</f>
        <v>3798.65</v>
      </c>
      <c r="R11" s="4">
        <v>0</v>
      </c>
      <c r="S11" s="4">
        <f t="shared" si="0"/>
        <v>75249.039999999994</v>
      </c>
      <c r="T11" s="4">
        <f t="shared" si="1"/>
        <v>5572.56</v>
      </c>
    </row>
    <row r="12" spans="1:20" x14ac:dyDescent="0.2">
      <c r="A12" s="5" t="s">
        <v>13</v>
      </c>
      <c r="B12" s="4">
        <v>4838.3500000000004</v>
      </c>
      <c r="C12" s="4">
        <v>2491</v>
      </c>
      <c r="D12" s="4">
        <v>177.72</v>
      </c>
      <c r="E12" s="4">
        <v>177.8</v>
      </c>
      <c r="F12" s="4">
        <v>0</v>
      </c>
      <c r="G12" s="4">
        <v>58.17</v>
      </c>
      <c r="H12" s="4">
        <v>251.33</v>
      </c>
      <c r="I12" s="4">
        <v>0</v>
      </c>
      <c r="J12" s="4">
        <v>176.62</v>
      </c>
      <c r="K12" s="4">
        <v>0</v>
      </c>
      <c r="L12" s="4">
        <v>0</v>
      </c>
      <c r="M12" s="4">
        <v>0</v>
      </c>
      <c r="N12" s="4">
        <v>0</v>
      </c>
      <c r="O12" s="4">
        <v>14492.35</v>
      </c>
      <c r="P12" s="4">
        <v>0</v>
      </c>
      <c r="Q12" s="4">
        <v>999.27</v>
      </c>
      <c r="R12" s="4">
        <v>0</v>
      </c>
      <c r="S12" s="4">
        <f t="shared" si="0"/>
        <v>20935.640000000003</v>
      </c>
      <c r="T12" s="4">
        <f t="shared" si="1"/>
        <v>2726.9700000000003</v>
      </c>
    </row>
    <row r="13" spans="1:20" x14ac:dyDescent="0.2">
      <c r="A13" s="5" t="s">
        <v>15</v>
      </c>
      <c r="B13" s="4">
        <v>5461.62</v>
      </c>
      <c r="C13" s="4">
        <v>1538.16</v>
      </c>
      <c r="D13" s="4">
        <v>174.84</v>
      </c>
      <c r="E13" s="4">
        <v>174.96</v>
      </c>
      <c r="F13" s="4">
        <v>0</v>
      </c>
      <c r="G13" s="4">
        <v>0</v>
      </c>
      <c r="H13" s="4">
        <v>1130.4000000000001</v>
      </c>
      <c r="I13" s="4">
        <v>0</v>
      </c>
      <c r="J13" s="4">
        <v>535.20000000000005</v>
      </c>
      <c r="K13" s="4">
        <v>0</v>
      </c>
      <c r="L13" s="4">
        <v>0</v>
      </c>
      <c r="M13" s="4">
        <v>0</v>
      </c>
      <c r="N13" s="4">
        <v>1500</v>
      </c>
      <c r="O13" s="4">
        <v>0</v>
      </c>
      <c r="P13" s="4">
        <v>0</v>
      </c>
      <c r="Q13" s="4">
        <v>2034.6</v>
      </c>
      <c r="R13" s="4">
        <v>0</v>
      </c>
      <c r="S13" s="4">
        <f t="shared" si="0"/>
        <v>10836.660000000002</v>
      </c>
      <c r="T13" s="4">
        <f t="shared" si="1"/>
        <v>1713.1200000000001</v>
      </c>
    </row>
    <row r="14" spans="1:20" ht="24" x14ac:dyDescent="0.2">
      <c r="A14" s="6" t="s">
        <v>36</v>
      </c>
      <c r="B14" s="25">
        <f t="shared" ref="B14:T14" si="2">SUM(B9:B13)</f>
        <v>47134.97</v>
      </c>
      <c r="C14" s="25">
        <f t="shared" si="2"/>
        <v>17838.800000000003</v>
      </c>
      <c r="D14" s="25">
        <f t="shared" si="2"/>
        <v>1499.09</v>
      </c>
      <c r="E14" s="25">
        <f t="shared" si="2"/>
        <v>1525.8</v>
      </c>
      <c r="F14" s="25">
        <f t="shared" si="2"/>
        <v>0</v>
      </c>
      <c r="G14" s="25">
        <f t="shared" si="2"/>
        <v>376.67</v>
      </c>
      <c r="H14" s="25">
        <f t="shared" si="2"/>
        <v>4652.38</v>
      </c>
      <c r="I14" s="25">
        <f t="shared" si="2"/>
        <v>0</v>
      </c>
      <c r="J14" s="25">
        <f t="shared" si="2"/>
        <v>2228.2399999999998</v>
      </c>
      <c r="K14" s="25">
        <f t="shared" si="2"/>
        <v>0</v>
      </c>
      <c r="L14" s="25">
        <f t="shared" si="2"/>
        <v>0</v>
      </c>
      <c r="M14" s="25">
        <f t="shared" si="2"/>
        <v>0</v>
      </c>
      <c r="N14" s="25">
        <f t="shared" si="2"/>
        <v>7500</v>
      </c>
      <c r="O14" s="25">
        <f t="shared" si="2"/>
        <v>201779.31999999998</v>
      </c>
      <c r="P14" s="25">
        <f t="shared" si="2"/>
        <v>0</v>
      </c>
      <c r="Q14" s="25">
        <f t="shared" si="2"/>
        <v>16036.49</v>
      </c>
      <c r="R14" s="25">
        <f t="shared" si="2"/>
        <v>0</v>
      </c>
      <c r="S14" s="25">
        <f t="shared" si="2"/>
        <v>280830.49</v>
      </c>
      <c r="T14" s="25">
        <f t="shared" si="2"/>
        <v>19741.27</v>
      </c>
    </row>
    <row r="15" spans="1:20" x14ac:dyDescent="0.2">
      <c r="A15" s="3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20" x14ac:dyDescent="0.2">
      <c r="A16" s="8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idden="1" x14ac:dyDescent="0.2">
      <c r="A17" s="5" t="s">
        <v>9</v>
      </c>
      <c r="B17" s="4">
        <v>46026.01</v>
      </c>
      <c r="C17" s="4">
        <v>22851.48</v>
      </c>
      <c r="D17" s="4">
        <v>1015.96</v>
      </c>
      <c r="E17" s="4">
        <v>1016.44</v>
      </c>
      <c r="F17" s="4">
        <v>0</v>
      </c>
      <c r="G17" s="4">
        <v>446.87</v>
      </c>
      <c r="H17" s="4">
        <v>2849.95</v>
      </c>
      <c r="I17" s="4">
        <v>0</v>
      </c>
      <c r="J17" s="4">
        <v>1834.85</v>
      </c>
      <c r="K17" s="4">
        <v>0</v>
      </c>
      <c r="L17" s="4">
        <v>0</v>
      </c>
      <c r="M17" s="4">
        <v>0</v>
      </c>
      <c r="N17" s="4">
        <v>6250</v>
      </c>
      <c r="O17" s="4">
        <v>68930.570000000007</v>
      </c>
      <c r="P17" s="4">
        <v>0</v>
      </c>
      <c r="Q17" s="4">
        <v>7859.03</v>
      </c>
      <c r="R17" s="4">
        <v>0</v>
      </c>
      <c r="S17" s="4">
        <f t="shared" ref="S17:S18" si="3">+B17+D17+F17+H17+J17+L17+N17+O17+Q17</f>
        <v>134766.37</v>
      </c>
      <c r="T17" s="4">
        <f t="shared" ref="T17:T18" si="4">C17+E17+G17+I17+K17+M17+P17</f>
        <v>24314.789999999997</v>
      </c>
    </row>
    <row r="18" spans="1:20" hidden="1" x14ac:dyDescent="0.2">
      <c r="A18" s="5" t="s">
        <v>10</v>
      </c>
      <c r="B18" s="4">
        <v>101028.72</v>
      </c>
      <c r="C18" s="4">
        <v>38405.949999999997</v>
      </c>
      <c r="D18" s="4">
        <v>3266.52</v>
      </c>
      <c r="E18" s="4">
        <v>3268.28</v>
      </c>
      <c r="F18" s="4">
        <v>0</v>
      </c>
      <c r="G18" s="4">
        <v>853.93</v>
      </c>
      <c r="H18" s="4">
        <v>6264.62</v>
      </c>
      <c r="I18" s="4">
        <v>0</v>
      </c>
      <c r="J18" s="4">
        <v>4755.49</v>
      </c>
      <c r="K18" s="4">
        <v>0</v>
      </c>
      <c r="L18" s="4">
        <v>0</v>
      </c>
      <c r="M18" s="4">
        <v>0</v>
      </c>
      <c r="N18" s="4">
        <v>6000</v>
      </c>
      <c r="O18" s="4">
        <v>202527.62</v>
      </c>
      <c r="P18" s="4">
        <v>0</v>
      </c>
      <c r="Q18" s="4">
        <v>20838.86</v>
      </c>
      <c r="R18" s="4">
        <v>0</v>
      </c>
      <c r="S18" s="4">
        <f t="shared" si="3"/>
        <v>344681.82999999996</v>
      </c>
      <c r="T18" s="4">
        <f t="shared" si="4"/>
        <v>42528.159999999996</v>
      </c>
    </row>
    <row r="19" spans="1:20" x14ac:dyDescent="0.2">
      <c r="A19" s="12" t="s">
        <v>32</v>
      </c>
      <c r="B19" s="25">
        <f t="shared" ref="B19:T19" si="5">SUM(B17:B18)</f>
        <v>147054.73000000001</v>
      </c>
      <c r="C19" s="25">
        <f t="shared" si="5"/>
        <v>61257.429999999993</v>
      </c>
      <c r="D19" s="25">
        <f t="shared" si="5"/>
        <v>4282.4799999999996</v>
      </c>
      <c r="E19" s="25">
        <f t="shared" si="5"/>
        <v>4284.72</v>
      </c>
      <c r="F19" s="25">
        <f t="shared" si="5"/>
        <v>0</v>
      </c>
      <c r="G19" s="25">
        <f t="shared" si="5"/>
        <v>1300.8</v>
      </c>
      <c r="H19" s="25">
        <f t="shared" si="5"/>
        <v>9114.57</v>
      </c>
      <c r="I19" s="25">
        <f t="shared" si="5"/>
        <v>0</v>
      </c>
      <c r="J19" s="25">
        <f t="shared" si="5"/>
        <v>6590.34</v>
      </c>
      <c r="K19" s="25">
        <f t="shared" si="5"/>
        <v>0</v>
      </c>
      <c r="L19" s="25">
        <f t="shared" si="5"/>
        <v>0</v>
      </c>
      <c r="M19" s="25">
        <f t="shared" si="5"/>
        <v>0</v>
      </c>
      <c r="N19" s="25">
        <f t="shared" si="5"/>
        <v>12250</v>
      </c>
      <c r="O19" s="25">
        <f t="shared" si="5"/>
        <v>271458.19</v>
      </c>
      <c r="P19" s="25">
        <f t="shared" si="5"/>
        <v>0</v>
      </c>
      <c r="Q19" s="25">
        <f t="shared" si="5"/>
        <v>28697.89</v>
      </c>
      <c r="R19" s="25">
        <f t="shared" si="5"/>
        <v>0</v>
      </c>
      <c r="S19" s="25">
        <f t="shared" si="5"/>
        <v>479448.19999999995</v>
      </c>
      <c r="T19" s="25">
        <f t="shared" si="5"/>
        <v>66842.95</v>
      </c>
    </row>
    <row r="20" spans="1:20" x14ac:dyDescent="0.2">
      <c r="A20" s="7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">
      <c r="A21" s="3" t="s">
        <v>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idden="1" x14ac:dyDescent="0.2">
      <c r="A22" s="5" t="s">
        <v>16</v>
      </c>
      <c r="B22" s="4">
        <v>24018.560000000001</v>
      </c>
      <c r="C22" s="4">
        <v>7474.39</v>
      </c>
      <c r="D22" s="4">
        <v>909.76</v>
      </c>
      <c r="E22" s="4">
        <v>910.36</v>
      </c>
      <c r="F22" s="4">
        <v>0</v>
      </c>
      <c r="G22" s="4">
        <v>296.83</v>
      </c>
      <c r="H22" s="4">
        <v>2119.4299999999998</v>
      </c>
      <c r="I22" s="4">
        <v>0</v>
      </c>
      <c r="J22" s="4">
        <v>1641.04</v>
      </c>
      <c r="K22" s="4">
        <v>0</v>
      </c>
      <c r="L22" s="4">
        <v>0</v>
      </c>
      <c r="M22" s="4">
        <v>0</v>
      </c>
      <c r="N22" s="4">
        <v>4500</v>
      </c>
      <c r="O22" s="4">
        <v>65695.240000000005</v>
      </c>
      <c r="P22" s="4">
        <v>0</v>
      </c>
      <c r="Q22" s="4">
        <v>7260.19</v>
      </c>
      <c r="R22" s="4">
        <v>0</v>
      </c>
      <c r="S22" s="4">
        <f t="shared" ref="S22:S24" si="6">+B22+D22+F22+H22+J22+L22+N22+O22+Q22</f>
        <v>106144.22</v>
      </c>
      <c r="T22" s="4">
        <f t="shared" ref="T22:T23" si="7">C22+E22+G22+I22+K22+M22+P22</f>
        <v>8681.58</v>
      </c>
    </row>
    <row r="23" spans="1:20" ht="15.75" hidden="1" customHeight="1" x14ac:dyDescent="0.2">
      <c r="A23" s="5" t="s">
        <v>8</v>
      </c>
      <c r="B23" s="4">
        <v>60393.15</v>
      </c>
      <c r="C23" s="4">
        <v>22884.400000000001</v>
      </c>
      <c r="D23" s="4">
        <v>1775.43</v>
      </c>
      <c r="E23" s="4">
        <v>1776.72</v>
      </c>
      <c r="F23" s="4"/>
      <c r="G23" s="4">
        <v>519.70000000000005</v>
      </c>
      <c r="H23" s="4">
        <v>2585.98</v>
      </c>
      <c r="I23" s="4">
        <v>0</v>
      </c>
      <c r="J23" s="4">
        <v>2002.27</v>
      </c>
      <c r="K23" s="4">
        <v>0</v>
      </c>
      <c r="L23" s="4">
        <v>0</v>
      </c>
      <c r="M23" s="4">
        <v>0</v>
      </c>
      <c r="N23" s="4">
        <v>10500</v>
      </c>
      <c r="O23" s="4">
        <v>125642.81</v>
      </c>
      <c r="P23" s="4">
        <v>0</v>
      </c>
      <c r="Q23" s="4">
        <v>8840.3799999999992</v>
      </c>
      <c r="R23" s="4">
        <v>0</v>
      </c>
      <c r="S23" s="4">
        <f t="shared" si="6"/>
        <v>211740.02000000002</v>
      </c>
      <c r="T23" s="4">
        <f t="shared" si="7"/>
        <v>25180.820000000003</v>
      </c>
    </row>
    <row r="24" spans="1:20" hidden="1" x14ac:dyDescent="0.2">
      <c r="A24" s="5" t="s">
        <v>17</v>
      </c>
      <c r="B24" s="4">
        <v>1070796.48</v>
      </c>
      <c r="C24" s="4">
        <v>445360.74</v>
      </c>
      <c r="D24" s="4">
        <v>31996.31</v>
      </c>
      <c r="E24" s="4">
        <v>31480.18</v>
      </c>
      <c r="F24" s="4">
        <v>0</v>
      </c>
      <c r="G24" s="4">
        <v>9360.18</v>
      </c>
      <c r="H24" s="4">
        <v>41253.17</v>
      </c>
      <c r="I24" s="4">
        <v>0</v>
      </c>
      <c r="J24" s="4">
        <v>32053.79</v>
      </c>
      <c r="K24" s="4">
        <v>0</v>
      </c>
      <c r="L24" s="4">
        <v>0</v>
      </c>
      <c r="M24" s="4">
        <v>0</v>
      </c>
      <c r="N24" s="4">
        <v>70125</v>
      </c>
      <c r="O24" s="4">
        <v>1706374.42</v>
      </c>
      <c r="P24" s="4">
        <v>0</v>
      </c>
      <c r="Q24" s="4">
        <v>121728.08</v>
      </c>
      <c r="R24" s="4"/>
      <c r="S24" s="4">
        <f t="shared" si="6"/>
        <v>3074327.25</v>
      </c>
      <c r="T24" s="4">
        <f>C24+E24+G24+I24+P24</f>
        <v>486201.1</v>
      </c>
    </row>
    <row r="25" spans="1:20" ht="24" x14ac:dyDescent="0.2">
      <c r="A25" s="12" t="s">
        <v>34</v>
      </c>
      <c r="B25" s="25">
        <f t="shared" ref="B25:R25" si="8">SUM(B22:B24)</f>
        <v>1155208.19</v>
      </c>
      <c r="C25" s="25">
        <f t="shared" si="8"/>
        <v>475719.52999999997</v>
      </c>
      <c r="D25" s="25">
        <f t="shared" si="8"/>
        <v>34681.5</v>
      </c>
      <c r="E25" s="25">
        <f t="shared" si="8"/>
        <v>34167.26</v>
      </c>
      <c r="F25" s="25">
        <f t="shared" si="8"/>
        <v>0</v>
      </c>
      <c r="G25" s="25">
        <f t="shared" si="8"/>
        <v>10176.710000000001</v>
      </c>
      <c r="H25" s="25">
        <f t="shared" si="8"/>
        <v>45958.58</v>
      </c>
      <c r="I25" s="25">
        <f t="shared" si="8"/>
        <v>0</v>
      </c>
      <c r="J25" s="25">
        <f t="shared" si="8"/>
        <v>35697.1</v>
      </c>
      <c r="K25" s="25">
        <f t="shared" si="8"/>
        <v>0</v>
      </c>
      <c r="L25" s="25">
        <f t="shared" si="8"/>
        <v>0</v>
      </c>
      <c r="M25" s="25">
        <f t="shared" si="8"/>
        <v>0</v>
      </c>
      <c r="N25" s="25">
        <f t="shared" si="8"/>
        <v>85125</v>
      </c>
      <c r="O25" s="25">
        <f t="shared" si="8"/>
        <v>1897712.47</v>
      </c>
      <c r="P25" s="25">
        <f t="shared" si="8"/>
        <v>0</v>
      </c>
      <c r="Q25" s="25">
        <f t="shared" si="8"/>
        <v>137828.65</v>
      </c>
      <c r="R25" s="25">
        <f t="shared" si="8"/>
        <v>0</v>
      </c>
      <c r="S25" s="25">
        <f>SUM(S22:S24)</f>
        <v>3392211.49</v>
      </c>
      <c r="T25" s="25">
        <f>SUM(T22:T24)</f>
        <v>520063.5</v>
      </c>
    </row>
    <row r="26" spans="1:20" x14ac:dyDescent="0.2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2">
      <c r="A27" s="3" t="s">
        <v>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2">
      <c r="A28" s="12" t="s">
        <v>6</v>
      </c>
      <c r="B28" s="25">
        <f>B14+B19+B25</f>
        <v>1349397.89</v>
      </c>
      <c r="C28" s="25">
        <f t="shared" ref="C28:T28" si="9">C14+C19+C25</f>
        <v>554815.76</v>
      </c>
      <c r="D28" s="25">
        <f t="shared" si="9"/>
        <v>40463.07</v>
      </c>
      <c r="E28" s="25">
        <f t="shared" si="9"/>
        <v>39977.78</v>
      </c>
      <c r="F28" s="25">
        <f t="shared" si="9"/>
        <v>0</v>
      </c>
      <c r="G28" s="25">
        <f t="shared" si="9"/>
        <v>11854.18</v>
      </c>
      <c r="H28" s="25">
        <f t="shared" si="9"/>
        <v>59725.53</v>
      </c>
      <c r="I28" s="25">
        <f t="shared" si="9"/>
        <v>0</v>
      </c>
      <c r="J28" s="25">
        <f t="shared" si="9"/>
        <v>44515.68</v>
      </c>
      <c r="K28" s="25">
        <f t="shared" si="9"/>
        <v>0</v>
      </c>
      <c r="L28" s="25">
        <f t="shared" si="9"/>
        <v>0</v>
      </c>
      <c r="M28" s="25">
        <f t="shared" si="9"/>
        <v>0</v>
      </c>
      <c r="N28" s="25">
        <f t="shared" si="9"/>
        <v>104875</v>
      </c>
      <c r="O28" s="25">
        <f t="shared" si="9"/>
        <v>2370949.98</v>
      </c>
      <c r="P28" s="25">
        <f t="shared" si="9"/>
        <v>0</v>
      </c>
      <c r="Q28" s="25">
        <f t="shared" si="9"/>
        <v>182563.03</v>
      </c>
      <c r="R28" s="25">
        <f t="shared" si="9"/>
        <v>0</v>
      </c>
      <c r="S28" s="25">
        <f t="shared" si="9"/>
        <v>4152490.18</v>
      </c>
      <c r="T28" s="25">
        <f t="shared" si="9"/>
        <v>606647.72</v>
      </c>
    </row>
  </sheetData>
  <mergeCells count="8">
    <mergeCell ref="S6:T6"/>
    <mergeCell ref="L6:M6"/>
    <mergeCell ref="O6:P6"/>
    <mergeCell ref="B6:C6"/>
    <mergeCell ref="D6:E6"/>
    <mergeCell ref="F6:G6"/>
    <mergeCell ref="H6:I6"/>
    <mergeCell ref="J6:K6"/>
  </mergeCells>
  <pageMargins left="0" right="0" top="0" bottom="0" header="0.3" footer="0.3"/>
  <pageSetup paperSize="5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5B238-985F-4CF1-BC07-4DB35F9E9B55}">
  <sheetPr>
    <pageSetUpPr fitToPage="1"/>
  </sheetPr>
  <dimension ref="A1:T2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defaultRowHeight="12" x14ac:dyDescent="0.2"/>
  <cols>
    <col min="1" max="1" width="21.42578125" style="17" customWidth="1"/>
    <col min="2" max="14" width="14.28515625" style="17" bestFit="1" customWidth="1"/>
    <col min="15" max="15" width="15.42578125" style="17" bestFit="1" customWidth="1"/>
    <col min="16" max="18" width="14.28515625" style="17" bestFit="1" customWidth="1"/>
    <col min="19" max="19" width="15.42578125" style="17" bestFit="1" customWidth="1"/>
    <col min="20" max="20" width="12.42578125" style="17" bestFit="1" customWidth="1"/>
    <col min="21" max="16384" width="9.140625" style="17"/>
  </cols>
  <sheetData>
    <row r="1" spans="1:20" x14ac:dyDescent="0.2">
      <c r="A1" s="29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30" t="s">
        <v>0</v>
      </c>
    </row>
    <row r="2" spans="1:20" x14ac:dyDescent="0.2">
      <c r="A2" s="18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</row>
    <row r="3" spans="1:20" x14ac:dyDescent="0.2">
      <c r="A3" s="18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0"/>
    </row>
    <row r="4" spans="1:20" x14ac:dyDescent="0.2">
      <c r="A4" s="18" t="s">
        <v>40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s="13" customFormat="1" ht="48" x14ac:dyDescent="0.2">
      <c r="A6" s="10"/>
      <c r="B6" s="32" t="s">
        <v>21</v>
      </c>
      <c r="C6" s="32"/>
      <c r="D6" s="32" t="s">
        <v>22</v>
      </c>
      <c r="E6" s="32"/>
      <c r="F6" s="32" t="s">
        <v>23</v>
      </c>
      <c r="G6" s="32"/>
      <c r="H6" s="32" t="s">
        <v>24</v>
      </c>
      <c r="I6" s="32"/>
      <c r="J6" s="32" t="s">
        <v>25</v>
      </c>
      <c r="K6" s="32"/>
      <c r="L6" s="32" t="s">
        <v>26</v>
      </c>
      <c r="M6" s="32"/>
      <c r="N6" s="10" t="s">
        <v>27</v>
      </c>
      <c r="O6" s="32" t="s">
        <v>29</v>
      </c>
      <c r="P6" s="32"/>
      <c r="Q6" s="10" t="s">
        <v>2</v>
      </c>
      <c r="R6" s="10" t="s">
        <v>28</v>
      </c>
      <c r="S6" s="32" t="s">
        <v>35</v>
      </c>
      <c r="T6" s="32"/>
    </row>
    <row r="7" spans="1:20" x14ac:dyDescent="0.2">
      <c r="A7" s="1" t="s">
        <v>1</v>
      </c>
      <c r="B7" s="1" t="s">
        <v>3</v>
      </c>
      <c r="C7" s="2" t="s">
        <v>4</v>
      </c>
      <c r="D7" s="1" t="s">
        <v>3</v>
      </c>
      <c r="E7" s="2" t="s">
        <v>4</v>
      </c>
      <c r="F7" s="1" t="s">
        <v>3</v>
      </c>
      <c r="G7" s="2" t="s">
        <v>4</v>
      </c>
      <c r="H7" s="1" t="s">
        <v>3</v>
      </c>
      <c r="I7" s="2" t="s">
        <v>4</v>
      </c>
      <c r="J7" s="1" t="s">
        <v>3</v>
      </c>
      <c r="K7" s="2" t="s">
        <v>4</v>
      </c>
      <c r="L7" s="1" t="s">
        <v>3</v>
      </c>
      <c r="M7" s="2" t="s">
        <v>4</v>
      </c>
      <c r="N7" s="10" t="s">
        <v>3</v>
      </c>
      <c r="O7" s="1" t="s">
        <v>3</v>
      </c>
      <c r="P7" s="2" t="s">
        <v>4</v>
      </c>
      <c r="Q7" s="24"/>
      <c r="R7" s="24"/>
      <c r="S7" s="1" t="s">
        <v>3</v>
      </c>
      <c r="T7" s="2" t="s">
        <v>4</v>
      </c>
    </row>
    <row r="8" spans="1:20" x14ac:dyDescent="0.2">
      <c r="A8" s="3" t="s">
        <v>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2">
      <c r="A9" s="5" t="s">
        <v>7</v>
      </c>
      <c r="B9" s="4">
        <v>12779.64</v>
      </c>
      <c r="C9" s="4">
        <v>2668.8</v>
      </c>
      <c r="D9" s="4">
        <v>309.60000000000002</v>
      </c>
      <c r="E9" s="4">
        <v>309.83999999999997</v>
      </c>
      <c r="F9" s="4">
        <v>0</v>
      </c>
      <c r="G9" s="4">
        <v>109.2</v>
      </c>
      <c r="H9" s="4">
        <v>1326</v>
      </c>
      <c r="I9" s="4">
        <v>0</v>
      </c>
      <c r="J9" s="4">
        <v>1072.8</v>
      </c>
      <c r="K9" s="4">
        <v>0</v>
      </c>
      <c r="L9" s="4">
        <v>0</v>
      </c>
      <c r="M9" s="4">
        <v>0</v>
      </c>
      <c r="N9" s="4">
        <v>0</v>
      </c>
      <c r="O9" s="4">
        <v>69354.36</v>
      </c>
      <c r="P9" s="4">
        <v>0</v>
      </c>
      <c r="Q9" s="4">
        <v>5461.86</v>
      </c>
      <c r="R9" s="4">
        <v>0</v>
      </c>
      <c r="S9" s="4">
        <f>B9+D9+F9+H9+J9+L9++N9+O9+Q9</f>
        <v>90304.26</v>
      </c>
      <c r="T9" s="4">
        <f>C9+E9+G9+I9+K9+M9+P9</f>
        <v>3087.84</v>
      </c>
    </row>
    <row r="10" spans="1:20" x14ac:dyDescent="0.2">
      <c r="A10" s="5" t="s">
        <v>18</v>
      </c>
      <c r="B10" s="4">
        <v>12779.64</v>
      </c>
      <c r="C10" s="4">
        <v>2668.8</v>
      </c>
      <c r="D10" s="4">
        <v>500.4</v>
      </c>
      <c r="E10" s="4">
        <v>500.64</v>
      </c>
      <c r="F10" s="4">
        <v>0</v>
      </c>
      <c r="G10" s="4">
        <v>109.2</v>
      </c>
      <c r="H10" s="4">
        <v>946.8</v>
      </c>
      <c r="I10" s="4">
        <v>0</v>
      </c>
      <c r="J10" s="4">
        <v>1061.1600000000001</v>
      </c>
      <c r="K10" s="4">
        <v>0</v>
      </c>
      <c r="L10" s="4">
        <v>0</v>
      </c>
      <c r="M10" s="4">
        <v>0</v>
      </c>
      <c r="N10" s="4">
        <v>0</v>
      </c>
      <c r="O10" s="4">
        <v>53175.72</v>
      </c>
      <c r="P10" s="4">
        <v>0</v>
      </c>
      <c r="Q10" s="4">
        <v>4189.74</v>
      </c>
      <c r="R10" s="4">
        <v>0</v>
      </c>
      <c r="S10" s="4">
        <f t="shared" ref="S10:S12" si="0">B10+D10+F10+H10+J10+L10++N10+O10+Q10</f>
        <v>72653.460000000006</v>
      </c>
      <c r="T10" s="4">
        <f t="shared" ref="T10:T12" si="1">C10+E10+G10+I10+K10+M10+P10</f>
        <v>3278.64</v>
      </c>
    </row>
    <row r="11" spans="1:20" x14ac:dyDescent="0.2">
      <c r="A11" s="5" t="s">
        <v>12</v>
      </c>
      <c r="B11" s="4">
        <v>6723.24</v>
      </c>
      <c r="C11" s="4">
        <v>0</v>
      </c>
      <c r="D11" s="4">
        <v>174.84</v>
      </c>
      <c r="E11" s="4">
        <v>174.96</v>
      </c>
      <c r="F11" s="4">
        <v>0</v>
      </c>
      <c r="G11" s="4">
        <v>0</v>
      </c>
      <c r="H11" s="4">
        <v>936.12</v>
      </c>
      <c r="I11" s="4">
        <v>0</v>
      </c>
      <c r="J11" s="4">
        <v>1049.4000000000001</v>
      </c>
      <c r="K11" s="4">
        <v>0</v>
      </c>
      <c r="L11" s="4">
        <v>0</v>
      </c>
      <c r="M11" s="4">
        <v>0</v>
      </c>
      <c r="N11" s="4">
        <v>0</v>
      </c>
      <c r="O11" s="4">
        <v>51167.519999999997</v>
      </c>
      <c r="P11" s="4">
        <v>0</v>
      </c>
      <c r="Q11" s="4">
        <f>201.93+3731.76</f>
        <v>3933.69</v>
      </c>
      <c r="R11" s="4">
        <v>0</v>
      </c>
      <c r="S11" s="4">
        <f t="shared" si="0"/>
        <v>63984.81</v>
      </c>
      <c r="T11" s="4">
        <f t="shared" si="1"/>
        <v>174.96</v>
      </c>
    </row>
    <row r="12" spans="1:20" x14ac:dyDescent="0.2">
      <c r="A12" s="5" t="s">
        <v>15</v>
      </c>
      <c r="B12" s="4">
        <v>2810.15</v>
      </c>
      <c r="C12" s="4">
        <v>0</v>
      </c>
      <c r="D12" s="4">
        <v>72.849999999999994</v>
      </c>
      <c r="E12" s="4">
        <v>72.09</v>
      </c>
      <c r="F12" s="4">
        <v>0</v>
      </c>
      <c r="G12" s="4">
        <v>0</v>
      </c>
      <c r="H12" s="4">
        <v>172.38</v>
      </c>
      <c r="I12" s="4">
        <v>0</v>
      </c>
      <c r="J12" s="4">
        <v>178.8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0"/>
        <v>3234.1800000000003</v>
      </c>
      <c r="T12" s="4">
        <f t="shared" si="1"/>
        <v>72.09</v>
      </c>
    </row>
    <row r="13" spans="1:20" ht="24" x14ac:dyDescent="0.2">
      <c r="A13" s="6" t="s">
        <v>36</v>
      </c>
      <c r="B13" s="25">
        <f t="shared" ref="B13:T13" si="2">SUM(B9:B12)</f>
        <v>35092.67</v>
      </c>
      <c r="C13" s="25">
        <f t="shared" si="2"/>
        <v>5337.6</v>
      </c>
      <c r="D13" s="25">
        <f t="shared" si="2"/>
        <v>1057.69</v>
      </c>
      <c r="E13" s="25">
        <f t="shared" si="2"/>
        <v>1057.53</v>
      </c>
      <c r="F13" s="25">
        <f t="shared" si="2"/>
        <v>0</v>
      </c>
      <c r="G13" s="25">
        <f t="shared" si="2"/>
        <v>218.4</v>
      </c>
      <c r="H13" s="25">
        <f t="shared" si="2"/>
        <v>3381.3</v>
      </c>
      <c r="I13" s="25">
        <f t="shared" si="2"/>
        <v>0</v>
      </c>
      <c r="J13" s="25">
        <f t="shared" si="2"/>
        <v>3362.1600000000003</v>
      </c>
      <c r="K13" s="25">
        <f t="shared" si="2"/>
        <v>0</v>
      </c>
      <c r="L13" s="25">
        <f t="shared" si="2"/>
        <v>0</v>
      </c>
      <c r="M13" s="25">
        <f t="shared" si="2"/>
        <v>0</v>
      </c>
      <c r="N13" s="25">
        <f t="shared" si="2"/>
        <v>0</v>
      </c>
      <c r="O13" s="25">
        <f t="shared" si="2"/>
        <v>173697.6</v>
      </c>
      <c r="P13" s="25">
        <f t="shared" si="2"/>
        <v>0</v>
      </c>
      <c r="Q13" s="25">
        <f t="shared" si="2"/>
        <v>13585.289999999999</v>
      </c>
      <c r="R13" s="25">
        <f t="shared" si="2"/>
        <v>0</v>
      </c>
      <c r="S13" s="25">
        <f t="shared" si="2"/>
        <v>230176.71</v>
      </c>
      <c r="T13" s="25">
        <f t="shared" si="2"/>
        <v>6613.53</v>
      </c>
    </row>
    <row r="14" spans="1:20" x14ac:dyDescent="0.2">
      <c r="A14" s="7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">
      <c r="A15" s="8" t="s">
        <v>31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idden="1" x14ac:dyDescent="0.2">
      <c r="A16" s="5" t="s">
        <v>9</v>
      </c>
      <c r="B16" s="4">
        <v>50383.82</v>
      </c>
      <c r="C16" s="4">
        <v>15337.02</v>
      </c>
      <c r="D16" s="4">
        <v>1179.1099999999999</v>
      </c>
      <c r="E16" s="4">
        <v>1179.6600000000001</v>
      </c>
      <c r="F16" s="4">
        <v>0</v>
      </c>
      <c r="G16" s="4">
        <v>499.63</v>
      </c>
      <c r="H16" s="4">
        <v>1966.4</v>
      </c>
      <c r="I16" s="4">
        <v>0</v>
      </c>
      <c r="J16" s="4">
        <v>2207.37</v>
      </c>
      <c r="K16" s="4">
        <v>0</v>
      </c>
      <c r="L16" s="4">
        <v>0</v>
      </c>
      <c r="M16" s="4">
        <v>0</v>
      </c>
      <c r="N16" s="4">
        <v>0</v>
      </c>
      <c r="O16" s="4">
        <v>69100.320000000007</v>
      </c>
      <c r="P16" s="4">
        <v>0</v>
      </c>
      <c r="Q16" s="4">
        <v>7829.96</v>
      </c>
      <c r="R16" s="4">
        <v>0</v>
      </c>
      <c r="S16" s="4">
        <f t="shared" ref="S16:S17" si="3">B16+D16+F16+H16+J16+L16++N16+O16+Q16</f>
        <v>132666.98000000001</v>
      </c>
      <c r="T16" s="4">
        <f t="shared" ref="T16:T17" si="4">C16+E16+G16+I16+K16+M16+P16</f>
        <v>17016.310000000001</v>
      </c>
    </row>
    <row r="17" spans="1:20" hidden="1" x14ac:dyDescent="0.2">
      <c r="A17" s="5" t="s">
        <v>10</v>
      </c>
      <c r="B17" s="4">
        <v>133352.65</v>
      </c>
      <c r="C17" s="4">
        <v>18587.84</v>
      </c>
      <c r="D17" s="4">
        <v>4264.32</v>
      </c>
      <c r="E17" s="4">
        <v>4266.92</v>
      </c>
      <c r="F17" s="4">
        <v>0</v>
      </c>
      <c r="G17" s="4">
        <v>1293.4100000000001</v>
      </c>
      <c r="H17" s="4">
        <v>6543.36</v>
      </c>
      <c r="I17" s="4">
        <v>0</v>
      </c>
      <c r="J17" s="4">
        <v>7335.35</v>
      </c>
      <c r="K17" s="4">
        <v>0</v>
      </c>
      <c r="L17" s="4">
        <v>0</v>
      </c>
      <c r="M17" s="4">
        <v>0</v>
      </c>
      <c r="N17" s="4">
        <v>0</v>
      </c>
      <c r="O17" s="4">
        <v>214376.32000000001</v>
      </c>
      <c r="P17" s="4">
        <v>0</v>
      </c>
      <c r="Q17" s="4">
        <v>27986.62</v>
      </c>
      <c r="R17" s="4">
        <v>0</v>
      </c>
      <c r="S17" s="4">
        <f t="shared" si="3"/>
        <v>393858.62</v>
      </c>
      <c r="T17" s="4">
        <f t="shared" si="4"/>
        <v>24148.170000000002</v>
      </c>
    </row>
    <row r="18" spans="1:20" x14ac:dyDescent="0.2">
      <c r="A18" s="12" t="s">
        <v>32</v>
      </c>
      <c r="B18" s="25">
        <f t="shared" ref="B18:T18" si="5">SUM(B16:B17)</f>
        <v>183736.47</v>
      </c>
      <c r="C18" s="25">
        <f t="shared" si="5"/>
        <v>33924.86</v>
      </c>
      <c r="D18" s="25">
        <f t="shared" si="5"/>
        <v>5443.4299999999994</v>
      </c>
      <c r="E18" s="25">
        <f t="shared" si="5"/>
        <v>5446.58</v>
      </c>
      <c r="F18" s="25">
        <f t="shared" si="5"/>
        <v>0</v>
      </c>
      <c r="G18" s="25">
        <f t="shared" si="5"/>
        <v>1793.04</v>
      </c>
      <c r="H18" s="25">
        <f t="shared" si="5"/>
        <v>8509.76</v>
      </c>
      <c r="I18" s="25">
        <f t="shared" si="5"/>
        <v>0</v>
      </c>
      <c r="J18" s="25">
        <f t="shared" si="5"/>
        <v>9542.7200000000012</v>
      </c>
      <c r="K18" s="25">
        <f t="shared" si="5"/>
        <v>0</v>
      </c>
      <c r="L18" s="25">
        <f t="shared" si="5"/>
        <v>0</v>
      </c>
      <c r="M18" s="25">
        <f t="shared" si="5"/>
        <v>0</v>
      </c>
      <c r="N18" s="25">
        <f t="shared" si="5"/>
        <v>0</v>
      </c>
      <c r="O18" s="25">
        <f t="shared" si="5"/>
        <v>283476.64</v>
      </c>
      <c r="P18" s="25">
        <f t="shared" si="5"/>
        <v>0</v>
      </c>
      <c r="Q18" s="25">
        <f t="shared" si="5"/>
        <v>35816.58</v>
      </c>
      <c r="R18" s="25">
        <f t="shared" si="5"/>
        <v>0</v>
      </c>
      <c r="S18" s="25">
        <f t="shared" si="5"/>
        <v>526525.6</v>
      </c>
      <c r="T18" s="25">
        <f t="shared" si="5"/>
        <v>41164.480000000003</v>
      </c>
    </row>
    <row r="19" spans="1:20" x14ac:dyDescent="0.2">
      <c r="A19" s="7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">
      <c r="A20" s="3" t="s">
        <v>33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idden="1" x14ac:dyDescent="0.2">
      <c r="A21" s="5" t="s">
        <v>16</v>
      </c>
      <c r="B21" s="4">
        <v>5995.44</v>
      </c>
      <c r="C21" s="4">
        <v>0</v>
      </c>
      <c r="D21" s="4">
        <v>174.84</v>
      </c>
      <c r="E21" s="4">
        <v>174.96</v>
      </c>
      <c r="F21" s="4">
        <v>0</v>
      </c>
      <c r="G21" s="4">
        <v>64.92</v>
      </c>
      <c r="H21" s="4">
        <v>442.92</v>
      </c>
      <c r="I21" s="4">
        <v>0</v>
      </c>
      <c r="J21" s="4">
        <v>497.4</v>
      </c>
      <c r="K21" s="4">
        <v>0</v>
      </c>
      <c r="L21" s="4">
        <v>0</v>
      </c>
      <c r="M21" s="4">
        <v>0</v>
      </c>
      <c r="N21" s="4">
        <v>1000</v>
      </c>
      <c r="O21" s="4">
        <v>26034</v>
      </c>
      <c r="P21" s="4">
        <v>0</v>
      </c>
      <c r="Q21" s="4">
        <v>1966.38</v>
      </c>
      <c r="R21" s="4">
        <v>0</v>
      </c>
      <c r="S21" s="4">
        <f t="shared" ref="S21:S23" si="6">B21+D21+F21+H21+J21+L21++N21+O21+Q21</f>
        <v>36110.979999999996</v>
      </c>
      <c r="T21" s="4">
        <f t="shared" ref="T21:T22" si="7">C21+E21+G21+I21+K21+M21+P21</f>
        <v>239.88</v>
      </c>
    </row>
    <row r="22" spans="1:20" ht="15.75" hidden="1" customHeight="1" x14ac:dyDescent="0.2">
      <c r="A22" s="5" t="s">
        <v>8</v>
      </c>
      <c r="B22" s="4">
        <v>72310.66</v>
      </c>
      <c r="C22" s="4">
        <v>9692.4</v>
      </c>
      <c r="D22" s="4">
        <v>1919.67</v>
      </c>
      <c r="E22" s="4">
        <v>1921.62</v>
      </c>
      <c r="F22" s="4">
        <v>0</v>
      </c>
      <c r="G22" s="4">
        <v>612.03</v>
      </c>
      <c r="H22" s="4">
        <v>2370.81</v>
      </c>
      <c r="I22" s="4">
        <v>0</v>
      </c>
      <c r="J22" s="4">
        <v>2655.6</v>
      </c>
      <c r="K22" s="4">
        <v>0</v>
      </c>
      <c r="L22" s="4">
        <v>0</v>
      </c>
      <c r="M22" s="4">
        <v>0</v>
      </c>
      <c r="N22" s="4">
        <v>0</v>
      </c>
      <c r="O22" s="4">
        <v>134031.35999999999</v>
      </c>
      <c r="P22" s="4">
        <v>0</v>
      </c>
      <c r="Q22" s="4">
        <v>9953.91</v>
      </c>
      <c r="R22" s="4">
        <v>0</v>
      </c>
      <c r="S22" s="4">
        <f t="shared" si="6"/>
        <v>223242.00999999998</v>
      </c>
      <c r="T22" s="4">
        <f t="shared" si="7"/>
        <v>12226.050000000001</v>
      </c>
    </row>
    <row r="23" spans="1:20" hidden="1" x14ac:dyDescent="0.2">
      <c r="A23" s="5" t="s">
        <v>17</v>
      </c>
      <c r="B23" s="4">
        <v>1164568.75</v>
      </c>
      <c r="C23" s="4">
        <v>257170.94</v>
      </c>
      <c r="D23" s="4">
        <v>33388.74</v>
      </c>
      <c r="E23" s="4">
        <v>32873.769999999997</v>
      </c>
      <c r="F23" s="4">
        <v>0</v>
      </c>
      <c r="G23" s="4">
        <v>9411.15</v>
      </c>
      <c r="H23" s="4">
        <v>33632.28</v>
      </c>
      <c r="I23" s="4">
        <v>0</v>
      </c>
      <c r="J23" s="4">
        <v>37609.33</v>
      </c>
      <c r="K23" s="4">
        <v>0</v>
      </c>
      <c r="L23" s="4">
        <v>0</v>
      </c>
      <c r="M23" s="4">
        <v>0</v>
      </c>
      <c r="N23" s="4">
        <v>4000</v>
      </c>
      <c r="O23" s="4">
        <v>1768179.28</v>
      </c>
      <c r="P23" s="4">
        <v>0</v>
      </c>
      <c r="Q23" s="4">
        <v>130020.24</v>
      </c>
      <c r="R23" s="4">
        <v>0</v>
      </c>
      <c r="S23" s="4">
        <f t="shared" si="6"/>
        <v>3171398.62</v>
      </c>
      <c r="T23" s="4">
        <f>C23+E23+G23+I23+P23</f>
        <v>299455.86000000004</v>
      </c>
    </row>
    <row r="24" spans="1:20" ht="24" x14ac:dyDescent="0.2">
      <c r="A24" s="12" t="s">
        <v>34</v>
      </c>
      <c r="B24" s="25">
        <f t="shared" ref="B24:R24" si="8">SUM(B21:B23)</f>
        <v>1242874.8500000001</v>
      </c>
      <c r="C24" s="25">
        <f t="shared" si="8"/>
        <v>266863.34000000003</v>
      </c>
      <c r="D24" s="25">
        <f t="shared" si="8"/>
        <v>35483.25</v>
      </c>
      <c r="E24" s="25">
        <f t="shared" si="8"/>
        <v>34970.35</v>
      </c>
      <c r="F24" s="25">
        <f t="shared" si="8"/>
        <v>0</v>
      </c>
      <c r="G24" s="25">
        <f t="shared" si="8"/>
        <v>10088.1</v>
      </c>
      <c r="H24" s="25">
        <f t="shared" si="8"/>
        <v>36446.01</v>
      </c>
      <c r="I24" s="25">
        <f t="shared" si="8"/>
        <v>0</v>
      </c>
      <c r="J24" s="25">
        <f t="shared" si="8"/>
        <v>40762.33</v>
      </c>
      <c r="K24" s="25">
        <f t="shared" si="8"/>
        <v>0</v>
      </c>
      <c r="L24" s="25">
        <f t="shared" si="8"/>
        <v>0</v>
      </c>
      <c r="M24" s="25">
        <f t="shared" si="8"/>
        <v>0</v>
      </c>
      <c r="N24" s="25">
        <f t="shared" si="8"/>
        <v>5000</v>
      </c>
      <c r="O24" s="25">
        <f t="shared" si="8"/>
        <v>1928244.6400000001</v>
      </c>
      <c r="P24" s="25">
        <f t="shared" si="8"/>
        <v>0</v>
      </c>
      <c r="Q24" s="25">
        <f t="shared" si="8"/>
        <v>141940.53</v>
      </c>
      <c r="R24" s="25">
        <f t="shared" si="8"/>
        <v>0</v>
      </c>
      <c r="S24" s="25">
        <f>SUM(S21:S23)</f>
        <v>3430751.6100000003</v>
      </c>
      <c r="T24" s="25">
        <f>SUM(T21:T23)</f>
        <v>311921.79000000004</v>
      </c>
    </row>
    <row r="25" spans="1:20" x14ac:dyDescent="0.2">
      <c r="A25" s="7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2">
      <c r="A26" s="3" t="s">
        <v>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2">
      <c r="A27" s="12" t="s">
        <v>6</v>
      </c>
      <c r="B27" s="25">
        <f>B13+B18+B24</f>
        <v>1461703.9900000002</v>
      </c>
      <c r="C27" s="25">
        <f t="shared" ref="C27:T27" si="9">C13+C18+C24</f>
        <v>306125.80000000005</v>
      </c>
      <c r="D27" s="25">
        <f t="shared" si="9"/>
        <v>41984.369999999995</v>
      </c>
      <c r="E27" s="25">
        <f t="shared" si="9"/>
        <v>41474.46</v>
      </c>
      <c r="F27" s="25">
        <f t="shared" si="9"/>
        <v>0</v>
      </c>
      <c r="G27" s="25">
        <f t="shared" si="9"/>
        <v>12099.54</v>
      </c>
      <c r="H27" s="25">
        <f t="shared" si="9"/>
        <v>48337.070000000007</v>
      </c>
      <c r="I27" s="25">
        <f t="shared" si="9"/>
        <v>0</v>
      </c>
      <c r="J27" s="25">
        <f t="shared" si="9"/>
        <v>53667.210000000006</v>
      </c>
      <c r="K27" s="25">
        <f t="shared" si="9"/>
        <v>0</v>
      </c>
      <c r="L27" s="25">
        <f t="shared" si="9"/>
        <v>0</v>
      </c>
      <c r="M27" s="25">
        <f t="shared" si="9"/>
        <v>0</v>
      </c>
      <c r="N27" s="25">
        <f t="shared" si="9"/>
        <v>5000</v>
      </c>
      <c r="O27" s="25">
        <f t="shared" si="9"/>
        <v>2385418.88</v>
      </c>
      <c r="P27" s="25">
        <f t="shared" si="9"/>
        <v>0</v>
      </c>
      <c r="Q27" s="25">
        <f t="shared" si="9"/>
        <v>191342.4</v>
      </c>
      <c r="R27" s="25">
        <f t="shared" si="9"/>
        <v>0</v>
      </c>
      <c r="S27" s="25">
        <f t="shared" si="9"/>
        <v>4187453.9200000004</v>
      </c>
      <c r="T27" s="25">
        <f t="shared" si="9"/>
        <v>359699.80000000005</v>
      </c>
    </row>
  </sheetData>
  <mergeCells count="8">
    <mergeCell ref="L6:M6"/>
    <mergeCell ref="S6:T6"/>
    <mergeCell ref="O6:P6"/>
    <mergeCell ref="B6:C6"/>
    <mergeCell ref="D6:E6"/>
    <mergeCell ref="F6:G6"/>
    <mergeCell ref="H6:I6"/>
    <mergeCell ref="J6:K6"/>
  </mergeCells>
  <pageMargins left="0" right="0" top="0" bottom="0" header="0.3" footer="0.3"/>
  <pageSetup paperSize="5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90D6-9BBE-4E6F-88B6-300E0010B851}">
  <sheetPr>
    <pageSetUpPr fitToPage="1"/>
  </sheetPr>
  <dimension ref="A1:T2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defaultRowHeight="12" x14ac:dyDescent="0.2"/>
  <cols>
    <col min="1" max="1" width="21.42578125" style="17" customWidth="1"/>
    <col min="2" max="14" width="14.28515625" style="17" bestFit="1" customWidth="1"/>
    <col min="15" max="15" width="15.42578125" style="17" bestFit="1" customWidth="1"/>
    <col min="16" max="18" width="14.28515625" style="17" bestFit="1" customWidth="1"/>
    <col min="19" max="19" width="15.42578125" style="17" bestFit="1" customWidth="1"/>
    <col min="20" max="20" width="12.42578125" style="17" bestFit="1" customWidth="1"/>
    <col min="21" max="16384" width="9.140625" style="17"/>
  </cols>
  <sheetData>
    <row r="1" spans="1:20" x14ac:dyDescent="0.2">
      <c r="A1" s="29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30" t="s">
        <v>0</v>
      </c>
    </row>
    <row r="2" spans="1:20" x14ac:dyDescent="0.2">
      <c r="A2" s="18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</row>
    <row r="3" spans="1:20" x14ac:dyDescent="0.2">
      <c r="A3" s="18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0"/>
    </row>
    <row r="4" spans="1:20" x14ac:dyDescent="0.2">
      <c r="A4" s="18" t="s">
        <v>41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s="13" customFormat="1" ht="48" x14ac:dyDescent="0.2">
      <c r="A6" s="10"/>
      <c r="B6" s="32" t="s">
        <v>21</v>
      </c>
      <c r="C6" s="32"/>
      <c r="D6" s="32" t="s">
        <v>22</v>
      </c>
      <c r="E6" s="32"/>
      <c r="F6" s="32" t="s">
        <v>23</v>
      </c>
      <c r="G6" s="32"/>
      <c r="H6" s="32" t="s">
        <v>24</v>
      </c>
      <c r="I6" s="32"/>
      <c r="J6" s="32" t="s">
        <v>25</v>
      </c>
      <c r="K6" s="32"/>
      <c r="L6" s="32" t="s">
        <v>26</v>
      </c>
      <c r="M6" s="32"/>
      <c r="N6" s="10" t="s">
        <v>27</v>
      </c>
      <c r="O6" s="32" t="s">
        <v>29</v>
      </c>
      <c r="P6" s="32"/>
      <c r="Q6" s="10" t="s">
        <v>2</v>
      </c>
      <c r="R6" s="10" t="s">
        <v>28</v>
      </c>
      <c r="S6" s="32" t="s">
        <v>35</v>
      </c>
      <c r="T6" s="32"/>
    </row>
    <row r="7" spans="1:20" s="13" customFormat="1" x14ac:dyDescent="0.2">
      <c r="A7" s="10" t="s">
        <v>1</v>
      </c>
      <c r="B7" s="10" t="s">
        <v>3</v>
      </c>
      <c r="C7" s="10" t="s">
        <v>4</v>
      </c>
      <c r="D7" s="10" t="s">
        <v>3</v>
      </c>
      <c r="E7" s="10" t="s">
        <v>4</v>
      </c>
      <c r="F7" s="10" t="s">
        <v>3</v>
      </c>
      <c r="G7" s="10" t="s">
        <v>4</v>
      </c>
      <c r="H7" s="10" t="s">
        <v>3</v>
      </c>
      <c r="I7" s="10" t="s">
        <v>4</v>
      </c>
      <c r="J7" s="10" t="s">
        <v>3</v>
      </c>
      <c r="K7" s="10" t="s">
        <v>4</v>
      </c>
      <c r="L7" s="10" t="s">
        <v>3</v>
      </c>
      <c r="M7" s="10" t="s">
        <v>4</v>
      </c>
      <c r="N7" s="10" t="s">
        <v>3</v>
      </c>
      <c r="O7" s="10" t="s">
        <v>3</v>
      </c>
      <c r="P7" s="10" t="s">
        <v>4</v>
      </c>
      <c r="Q7" s="28"/>
      <c r="R7" s="28"/>
      <c r="S7" s="10" t="s">
        <v>3</v>
      </c>
      <c r="T7" s="10" t="s">
        <v>4</v>
      </c>
    </row>
    <row r="8" spans="1:20" x14ac:dyDescent="0.2">
      <c r="A8" s="3" t="s">
        <v>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2">
      <c r="A9" s="5" t="s">
        <v>7</v>
      </c>
      <c r="B9" s="4">
        <v>11587.46</v>
      </c>
      <c r="C9" s="4">
        <v>2668.8</v>
      </c>
      <c r="D9" s="4">
        <v>309.60000000000002</v>
      </c>
      <c r="E9" s="4">
        <v>309.83999999999997</v>
      </c>
      <c r="F9" s="4">
        <v>0</v>
      </c>
      <c r="G9" s="4">
        <v>109.2</v>
      </c>
      <c r="H9" s="4">
        <v>1326</v>
      </c>
      <c r="I9" s="4">
        <v>0</v>
      </c>
      <c r="J9" s="4">
        <v>1072.8</v>
      </c>
      <c r="K9" s="4">
        <v>0</v>
      </c>
      <c r="L9" s="4">
        <v>0</v>
      </c>
      <c r="M9" s="4">
        <v>0</v>
      </c>
      <c r="N9" s="4">
        <v>0</v>
      </c>
      <c r="O9" s="4">
        <v>69254.399999999994</v>
      </c>
      <c r="P9" s="4">
        <v>0</v>
      </c>
      <c r="Q9" s="4">
        <v>5000.32</v>
      </c>
      <c r="R9" s="4">
        <v>0</v>
      </c>
      <c r="S9" s="4">
        <f>B9+D9+F9+H9+J9+L9+N9+O9+Q9</f>
        <v>88550.579999999987</v>
      </c>
      <c r="T9" s="4">
        <f>C9+E9+G9+I9+K9+M9+P9</f>
        <v>3087.84</v>
      </c>
    </row>
    <row r="10" spans="1:20" x14ac:dyDescent="0.2">
      <c r="A10" s="5" t="s">
        <v>18</v>
      </c>
      <c r="B10" s="4">
        <v>14123.06</v>
      </c>
      <c r="C10" s="4">
        <v>5334.48</v>
      </c>
      <c r="D10" s="4">
        <v>538.55999999999995</v>
      </c>
      <c r="E10" s="4">
        <v>538.79999999999995</v>
      </c>
      <c r="F10" s="4">
        <v>0</v>
      </c>
      <c r="G10" s="4">
        <v>176.28</v>
      </c>
      <c r="H10" s="4">
        <v>946.8</v>
      </c>
      <c r="I10" s="4">
        <v>0</v>
      </c>
      <c r="J10" s="4">
        <v>1061.1600000000001</v>
      </c>
      <c r="K10" s="4">
        <v>0</v>
      </c>
      <c r="L10" s="4">
        <v>0</v>
      </c>
      <c r="M10" s="4">
        <v>0</v>
      </c>
      <c r="N10" s="4">
        <v>0</v>
      </c>
      <c r="O10" s="4">
        <v>49319.28</v>
      </c>
      <c r="P10" s="4">
        <v>0</v>
      </c>
      <c r="Q10" s="4">
        <v>3834.91</v>
      </c>
      <c r="R10" s="4">
        <v>0</v>
      </c>
      <c r="S10" s="4">
        <f t="shared" ref="S10:S11" si="0">B10+D10+F10+H10+J10+L10+N10+O10+Q10</f>
        <v>69823.77</v>
      </c>
      <c r="T10" s="4">
        <f t="shared" ref="T10:T11" si="1">C10+E10+G10+I10+K10+M10+P10</f>
        <v>6049.5599999999995</v>
      </c>
    </row>
    <row r="11" spans="1:20" x14ac:dyDescent="0.2">
      <c r="A11" s="5" t="s">
        <v>12</v>
      </c>
      <c r="B11" s="4">
        <v>6177.5</v>
      </c>
      <c r="C11" s="4">
        <v>0</v>
      </c>
      <c r="D11" s="4">
        <v>174.84</v>
      </c>
      <c r="E11" s="4">
        <v>174.96</v>
      </c>
      <c r="F11" s="4">
        <v>0</v>
      </c>
      <c r="G11" s="4">
        <v>64.92</v>
      </c>
      <c r="H11" s="4">
        <v>936.12</v>
      </c>
      <c r="I11" s="4">
        <v>0</v>
      </c>
      <c r="J11" s="4">
        <v>1049.4000000000001</v>
      </c>
      <c r="K11" s="4">
        <v>0</v>
      </c>
      <c r="L11" s="4">
        <v>0</v>
      </c>
      <c r="M11" s="4">
        <v>0</v>
      </c>
      <c r="N11" s="4">
        <v>0</v>
      </c>
      <c r="O11" s="4">
        <v>48771.96</v>
      </c>
      <c r="P11" s="4">
        <v>0</v>
      </c>
      <c r="Q11" s="4">
        <v>3598.84</v>
      </c>
      <c r="R11" s="4">
        <v>0</v>
      </c>
      <c r="S11" s="4">
        <f t="shared" si="0"/>
        <v>60708.66</v>
      </c>
      <c r="T11" s="4">
        <f t="shared" si="1"/>
        <v>239.88</v>
      </c>
    </row>
    <row r="12" spans="1:20" ht="24" x14ac:dyDescent="0.2">
      <c r="A12" s="12" t="s">
        <v>36</v>
      </c>
      <c r="B12" s="25">
        <f t="shared" ref="B12:T12" si="2">SUM(B9:B11)</f>
        <v>31888.019999999997</v>
      </c>
      <c r="C12" s="25">
        <f t="shared" si="2"/>
        <v>8003.28</v>
      </c>
      <c r="D12" s="25">
        <f t="shared" si="2"/>
        <v>1023</v>
      </c>
      <c r="E12" s="25">
        <f t="shared" si="2"/>
        <v>1023.5999999999999</v>
      </c>
      <c r="F12" s="25">
        <f t="shared" si="2"/>
        <v>0</v>
      </c>
      <c r="G12" s="25">
        <f t="shared" si="2"/>
        <v>350.40000000000003</v>
      </c>
      <c r="H12" s="25">
        <f t="shared" si="2"/>
        <v>3208.92</v>
      </c>
      <c r="I12" s="25">
        <f t="shared" si="2"/>
        <v>0</v>
      </c>
      <c r="J12" s="25">
        <f t="shared" si="2"/>
        <v>3183.36</v>
      </c>
      <c r="K12" s="25">
        <f t="shared" si="2"/>
        <v>0</v>
      </c>
      <c r="L12" s="25">
        <f t="shared" si="2"/>
        <v>0</v>
      </c>
      <c r="M12" s="25">
        <f t="shared" si="2"/>
        <v>0</v>
      </c>
      <c r="N12" s="25">
        <f t="shared" si="2"/>
        <v>0</v>
      </c>
      <c r="O12" s="25">
        <f t="shared" si="2"/>
        <v>167345.63999999998</v>
      </c>
      <c r="P12" s="25">
        <f t="shared" si="2"/>
        <v>0</v>
      </c>
      <c r="Q12" s="25">
        <f t="shared" si="2"/>
        <v>12434.07</v>
      </c>
      <c r="R12" s="25">
        <f t="shared" si="2"/>
        <v>0</v>
      </c>
      <c r="S12" s="25">
        <f t="shared" si="2"/>
        <v>219083.00999999998</v>
      </c>
      <c r="T12" s="25">
        <f t="shared" si="2"/>
        <v>9377.2799999999988</v>
      </c>
    </row>
    <row r="13" spans="1:20" x14ac:dyDescent="0.2">
      <c r="A13" s="7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x14ac:dyDescent="0.2">
      <c r="A14" s="8" t="s">
        <v>31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idden="1" x14ac:dyDescent="0.2">
      <c r="A15" s="5" t="s">
        <v>9</v>
      </c>
      <c r="B15" s="4">
        <v>25822.41</v>
      </c>
      <c r="C15" s="4">
        <v>8891.58</v>
      </c>
      <c r="D15" s="4">
        <v>762.96</v>
      </c>
      <c r="E15" s="4">
        <v>763.3</v>
      </c>
      <c r="F15" s="4">
        <v>0</v>
      </c>
      <c r="G15" s="4">
        <v>304.33</v>
      </c>
      <c r="H15" s="4">
        <v>1070.04</v>
      </c>
      <c r="I15" s="4">
        <v>0</v>
      </c>
      <c r="J15" s="4">
        <v>1201.3499999999999</v>
      </c>
      <c r="K15" s="4">
        <v>0</v>
      </c>
      <c r="L15" s="4">
        <v>0</v>
      </c>
      <c r="M15" s="4">
        <v>0</v>
      </c>
      <c r="N15" s="4">
        <v>0</v>
      </c>
      <c r="O15" s="4">
        <v>28672.83</v>
      </c>
      <c r="P15" s="4">
        <v>0</v>
      </c>
      <c r="Q15" s="4">
        <v>4750.63</v>
      </c>
      <c r="R15" s="4">
        <v>0</v>
      </c>
      <c r="S15" s="4">
        <f t="shared" ref="S15:S16" si="3">B15+D15+F15+H15+J15+L15+N15+O15+Q15</f>
        <v>62280.219999999994</v>
      </c>
      <c r="T15" s="4">
        <f t="shared" ref="T15:T16" si="4">C15+E15+G15+I15+K15+M15+P15</f>
        <v>9959.2099999999991</v>
      </c>
    </row>
    <row r="16" spans="1:20" hidden="1" x14ac:dyDescent="0.2">
      <c r="A16" s="5" t="s">
        <v>10</v>
      </c>
      <c r="B16" s="4">
        <v>148246.03</v>
      </c>
      <c r="C16" s="4">
        <v>26728.16</v>
      </c>
      <c r="D16" s="4">
        <v>4735.88</v>
      </c>
      <c r="E16" s="4">
        <v>4738.82</v>
      </c>
      <c r="F16" s="4">
        <v>0</v>
      </c>
      <c r="G16" s="4">
        <v>1563.1</v>
      </c>
      <c r="H16" s="4">
        <v>7870.43</v>
      </c>
      <c r="I16" s="4">
        <v>0</v>
      </c>
      <c r="J16" s="4">
        <v>8823.76</v>
      </c>
      <c r="K16" s="4">
        <v>0</v>
      </c>
      <c r="L16" s="4">
        <v>0</v>
      </c>
      <c r="M16" s="4">
        <v>0</v>
      </c>
      <c r="N16" s="4">
        <v>1000</v>
      </c>
      <c r="O16" s="4">
        <v>220804.8</v>
      </c>
      <c r="P16" s="4">
        <v>0</v>
      </c>
      <c r="Q16" s="4">
        <v>28568.7</v>
      </c>
      <c r="R16" s="4">
        <v>0</v>
      </c>
      <c r="S16" s="4">
        <f t="shared" si="3"/>
        <v>420049.60000000003</v>
      </c>
      <c r="T16" s="4">
        <f t="shared" si="4"/>
        <v>33030.080000000002</v>
      </c>
    </row>
    <row r="17" spans="1:20" x14ac:dyDescent="0.2">
      <c r="A17" s="12" t="s">
        <v>32</v>
      </c>
      <c r="B17" s="25">
        <f t="shared" ref="B17:T17" si="5">SUM(B15:B16)</f>
        <v>174068.44</v>
      </c>
      <c r="C17" s="25">
        <f t="shared" si="5"/>
        <v>35619.74</v>
      </c>
      <c r="D17" s="25">
        <f t="shared" si="5"/>
        <v>5498.84</v>
      </c>
      <c r="E17" s="25">
        <f t="shared" si="5"/>
        <v>5502.12</v>
      </c>
      <c r="F17" s="25">
        <f t="shared" si="5"/>
        <v>0</v>
      </c>
      <c r="G17" s="25">
        <f t="shared" si="5"/>
        <v>1867.4299999999998</v>
      </c>
      <c r="H17" s="25">
        <f t="shared" si="5"/>
        <v>8940.4700000000012</v>
      </c>
      <c r="I17" s="25">
        <f t="shared" si="5"/>
        <v>0</v>
      </c>
      <c r="J17" s="25">
        <f t="shared" si="5"/>
        <v>10025.11</v>
      </c>
      <c r="K17" s="25">
        <f t="shared" si="5"/>
        <v>0</v>
      </c>
      <c r="L17" s="25">
        <f t="shared" si="5"/>
        <v>0</v>
      </c>
      <c r="M17" s="25">
        <f t="shared" si="5"/>
        <v>0</v>
      </c>
      <c r="N17" s="25">
        <f t="shared" si="5"/>
        <v>1000</v>
      </c>
      <c r="O17" s="25">
        <f t="shared" si="5"/>
        <v>249477.63</v>
      </c>
      <c r="P17" s="25">
        <f t="shared" si="5"/>
        <v>0</v>
      </c>
      <c r="Q17" s="25">
        <f t="shared" si="5"/>
        <v>33319.33</v>
      </c>
      <c r="R17" s="25">
        <f t="shared" si="5"/>
        <v>0</v>
      </c>
      <c r="S17" s="25">
        <f t="shared" si="5"/>
        <v>482329.82</v>
      </c>
      <c r="T17" s="25">
        <f t="shared" si="5"/>
        <v>42989.29</v>
      </c>
    </row>
    <row r="18" spans="1:20" x14ac:dyDescent="0.2">
      <c r="A18" s="1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x14ac:dyDescent="0.2">
      <c r="A19" s="8" t="s">
        <v>33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idden="1" x14ac:dyDescent="0.2">
      <c r="A20" s="5" t="s">
        <v>16</v>
      </c>
      <c r="B20" s="4">
        <v>5601.62</v>
      </c>
      <c r="C20" s="4">
        <v>0</v>
      </c>
      <c r="D20" s="4">
        <v>174.84</v>
      </c>
      <c r="E20" s="4">
        <v>174.96</v>
      </c>
      <c r="F20" s="4">
        <v>0</v>
      </c>
      <c r="G20" s="4">
        <v>64.92</v>
      </c>
      <c r="H20" s="4">
        <v>442.92</v>
      </c>
      <c r="I20" s="4">
        <v>0</v>
      </c>
      <c r="J20" s="4">
        <v>497.4</v>
      </c>
      <c r="K20" s="4">
        <v>0</v>
      </c>
      <c r="L20" s="4">
        <v>0</v>
      </c>
      <c r="M20" s="4">
        <v>0</v>
      </c>
      <c r="N20" s="4">
        <v>1000</v>
      </c>
      <c r="O20" s="4">
        <v>23115.599999999999</v>
      </c>
      <c r="P20" s="4">
        <v>0</v>
      </c>
      <c r="Q20" s="4">
        <v>1812.34</v>
      </c>
      <c r="R20" s="4">
        <v>0</v>
      </c>
      <c r="S20" s="4">
        <f t="shared" ref="S20:S22" si="6">B20+D20+F20+H20+J20+L20+N20+O20+Q20</f>
        <v>32644.719999999998</v>
      </c>
      <c r="T20" s="4">
        <f t="shared" ref="T20:T21" si="7">C20+E20+G20+I20+K20+M20+P20</f>
        <v>239.88</v>
      </c>
    </row>
    <row r="21" spans="1:20" ht="15.75" hidden="1" customHeight="1" x14ac:dyDescent="0.2">
      <c r="A21" s="5" t="s">
        <v>8</v>
      </c>
      <c r="B21" s="4">
        <v>64494.97</v>
      </c>
      <c r="C21" s="4">
        <v>8561.6200000000008</v>
      </c>
      <c r="D21" s="4">
        <v>2005.08</v>
      </c>
      <c r="E21" s="4">
        <v>2007.12</v>
      </c>
      <c r="F21" s="4">
        <v>0</v>
      </c>
      <c r="G21" s="4">
        <v>639.84</v>
      </c>
      <c r="H21" s="4">
        <v>2455.6799999999998</v>
      </c>
      <c r="I21" s="4">
        <v>0</v>
      </c>
      <c r="J21" s="4">
        <v>2750.28</v>
      </c>
      <c r="K21" s="4">
        <v>0</v>
      </c>
      <c r="L21" s="4">
        <v>0</v>
      </c>
      <c r="M21" s="4">
        <v>0</v>
      </c>
      <c r="N21" s="4">
        <v>0</v>
      </c>
      <c r="O21" s="4">
        <v>127821.36</v>
      </c>
      <c r="P21" s="4">
        <v>0</v>
      </c>
      <c r="Q21" s="4">
        <v>9616.49</v>
      </c>
      <c r="R21" s="4">
        <v>0</v>
      </c>
      <c r="S21" s="4">
        <f t="shared" si="6"/>
        <v>209143.86</v>
      </c>
      <c r="T21" s="4">
        <f t="shared" si="7"/>
        <v>11208.580000000002</v>
      </c>
    </row>
    <row r="22" spans="1:20" hidden="1" x14ac:dyDescent="0.2">
      <c r="A22" s="5" t="s">
        <v>17</v>
      </c>
      <c r="B22" s="4">
        <v>1080416.75</v>
      </c>
      <c r="C22" s="4">
        <v>252352.44</v>
      </c>
      <c r="D22" s="4">
        <v>34833.120000000003</v>
      </c>
      <c r="E22" s="4">
        <v>34395.480000000003</v>
      </c>
      <c r="F22" s="4">
        <v>0</v>
      </c>
      <c r="G22" s="4">
        <v>9874.68</v>
      </c>
      <c r="H22" s="4">
        <v>36116.230000000003</v>
      </c>
      <c r="I22" s="4">
        <v>0</v>
      </c>
      <c r="J22" s="4">
        <v>40013.58</v>
      </c>
      <c r="K22" s="4">
        <v>0</v>
      </c>
      <c r="L22" s="4">
        <v>0</v>
      </c>
      <c r="M22" s="4">
        <v>0</v>
      </c>
      <c r="N22" s="4">
        <v>4000</v>
      </c>
      <c r="O22" s="4">
        <v>1793481.08</v>
      </c>
      <c r="P22" s="4">
        <v>0</v>
      </c>
      <c r="Q22" s="4">
        <v>131482.85999999999</v>
      </c>
      <c r="R22" s="4">
        <v>0</v>
      </c>
      <c r="S22" s="4">
        <f t="shared" si="6"/>
        <v>3120343.62</v>
      </c>
      <c r="T22" s="4">
        <f>C22+E22+G22+I22+P22</f>
        <v>296622.59999999998</v>
      </c>
    </row>
    <row r="23" spans="1:20" ht="24" x14ac:dyDescent="0.2">
      <c r="A23" s="12" t="s">
        <v>34</v>
      </c>
      <c r="B23" s="25">
        <f t="shared" ref="B23:R23" si="8">SUM(B20:B22)</f>
        <v>1150513.3400000001</v>
      </c>
      <c r="C23" s="25">
        <f t="shared" si="8"/>
        <v>260914.06</v>
      </c>
      <c r="D23" s="25">
        <f t="shared" si="8"/>
        <v>37013.040000000001</v>
      </c>
      <c r="E23" s="25">
        <f t="shared" si="8"/>
        <v>36577.560000000005</v>
      </c>
      <c r="F23" s="25">
        <f t="shared" si="8"/>
        <v>0</v>
      </c>
      <c r="G23" s="25">
        <f t="shared" si="8"/>
        <v>10579.44</v>
      </c>
      <c r="H23" s="25">
        <f t="shared" si="8"/>
        <v>39014.83</v>
      </c>
      <c r="I23" s="25">
        <f t="shared" si="8"/>
        <v>0</v>
      </c>
      <c r="J23" s="25">
        <f t="shared" si="8"/>
        <v>43261.26</v>
      </c>
      <c r="K23" s="25">
        <f t="shared" si="8"/>
        <v>0</v>
      </c>
      <c r="L23" s="25">
        <f t="shared" si="8"/>
        <v>0</v>
      </c>
      <c r="M23" s="25">
        <f t="shared" si="8"/>
        <v>0</v>
      </c>
      <c r="N23" s="25">
        <f t="shared" si="8"/>
        <v>5000</v>
      </c>
      <c r="O23" s="25">
        <f t="shared" si="8"/>
        <v>1944418.04</v>
      </c>
      <c r="P23" s="25">
        <f t="shared" si="8"/>
        <v>0</v>
      </c>
      <c r="Q23" s="25">
        <f t="shared" si="8"/>
        <v>142911.68999999997</v>
      </c>
      <c r="R23" s="25">
        <f t="shared" si="8"/>
        <v>0</v>
      </c>
      <c r="S23" s="25">
        <f>SUM(S20:S22)</f>
        <v>3362132.2</v>
      </c>
      <c r="T23" s="25">
        <f>SUM(T20:T22)</f>
        <v>308071.06</v>
      </c>
    </row>
    <row r="24" spans="1:20" x14ac:dyDescent="0.2">
      <c r="A24" s="7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2">
      <c r="A25" s="3" t="s">
        <v>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2">
      <c r="A26" s="12" t="s">
        <v>6</v>
      </c>
      <c r="B26" s="25">
        <f>B12+B17+B23</f>
        <v>1356469.8</v>
      </c>
      <c r="C26" s="25">
        <f t="shared" ref="C26:T26" si="9">C12+C17+C23</f>
        <v>304537.08</v>
      </c>
      <c r="D26" s="25">
        <f t="shared" si="9"/>
        <v>43534.880000000005</v>
      </c>
      <c r="E26" s="25">
        <f t="shared" si="9"/>
        <v>43103.280000000006</v>
      </c>
      <c r="F26" s="25">
        <f t="shared" si="9"/>
        <v>0</v>
      </c>
      <c r="G26" s="25">
        <f t="shared" si="9"/>
        <v>12797.27</v>
      </c>
      <c r="H26" s="25">
        <f t="shared" si="9"/>
        <v>51164.22</v>
      </c>
      <c r="I26" s="25">
        <f t="shared" si="9"/>
        <v>0</v>
      </c>
      <c r="J26" s="25">
        <f t="shared" si="9"/>
        <v>56469.73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6000</v>
      </c>
      <c r="O26" s="25">
        <f t="shared" si="9"/>
        <v>2361241.31</v>
      </c>
      <c r="P26" s="25">
        <f t="shared" si="9"/>
        <v>0</v>
      </c>
      <c r="Q26" s="25">
        <f t="shared" si="9"/>
        <v>188665.08999999997</v>
      </c>
      <c r="R26" s="25">
        <f t="shared" si="9"/>
        <v>0</v>
      </c>
      <c r="S26" s="25">
        <f t="shared" si="9"/>
        <v>4063545.0300000003</v>
      </c>
      <c r="T26" s="25">
        <f t="shared" si="9"/>
        <v>360437.63</v>
      </c>
    </row>
    <row r="27" spans="1:20" x14ac:dyDescent="0.2">
      <c r="A27" s="27"/>
    </row>
  </sheetData>
  <mergeCells count="8">
    <mergeCell ref="S6:T6"/>
    <mergeCell ref="L6:M6"/>
    <mergeCell ref="O6:P6"/>
    <mergeCell ref="B6:C6"/>
    <mergeCell ref="D6:E6"/>
    <mergeCell ref="F6:G6"/>
    <mergeCell ref="H6:I6"/>
    <mergeCell ref="J6:K6"/>
  </mergeCells>
  <pageMargins left="0" right="0" top="0" bottom="0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2025</vt:lpstr>
      <vt:lpstr>2024</vt:lpstr>
      <vt:lpstr>2023</vt:lpstr>
      <vt:lpstr>2022</vt:lpstr>
      <vt:lpstr>2021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Herrman</dc:creator>
  <cp:lastModifiedBy>Carrie Bessinger</cp:lastModifiedBy>
  <cp:lastPrinted>2025-03-20T23:13:31Z</cp:lastPrinted>
  <dcterms:created xsi:type="dcterms:W3CDTF">2021-12-07T20:18:25Z</dcterms:created>
  <dcterms:modified xsi:type="dcterms:W3CDTF">2025-03-24T18:45:39Z</dcterms:modified>
</cp:coreProperties>
</file>