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Completed Responses\"/>
    </mc:Choice>
  </mc:AlternateContent>
  <xr:revisionPtr revIDLastSave="0" documentId="8_{AEA55638-B0E3-48E9-BC14-A363E083FD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cts Under 50 KW" sheetId="3" r:id="rId1"/>
  </sheets>
  <definedNames>
    <definedName name="_xlnm.Print_Area" localSheetId="0">'Accts Under 50 KW'!$A$4:$A$217</definedName>
    <definedName name="_xlnm.Print_Titles" localSheetId="0">'Accts Under 50 KW'!$3:$3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15" i="3" l="1"/>
  <c r="AG215" i="3"/>
  <c r="AD215" i="3"/>
  <c r="AA215" i="3"/>
  <c r="X215" i="3"/>
  <c r="U215" i="3"/>
  <c r="R215" i="3"/>
  <c r="AJ214" i="3"/>
  <c r="AG214" i="3"/>
  <c r="AD214" i="3"/>
  <c r="AA214" i="3"/>
  <c r="X214" i="3"/>
  <c r="U214" i="3"/>
  <c r="R214" i="3"/>
  <c r="O214" i="3"/>
  <c r="L214" i="3"/>
  <c r="I214" i="3"/>
  <c r="F214" i="3"/>
  <c r="L213" i="3"/>
  <c r="AJ213" i="3"/>
  <c r="AG213" i="3"/>
  <c r="AD213" i="3"/>
  <c r="AA213" i="3"/>
  <c r="X213" i="3"/>
  <c r="U213" i="3"/>
  <c r="R213" i="3"/>
  <c r="O213" i="3"/>
  <c r="I213" i="3"/>
  <c r="F213" i="3"/>
  <c r="C213" i="3"/>
  <c r="AI213" i="3"/>
  <c r="AF213" i="3"/>
  <c r="AC213" i="3"/>
  <c r="Z213" i="3"/>
  <c r="W213" i="3"/>
  <c r="T213" i="3"/>
  <c r="Q213" i="3"/>
  <c r="N213" i="3"/>
  <c r="K213" i="3"/>
  <c r="H213" i="3"/>
  <c r="E213" i="3"/>
  <c r="B213" i="3"/>
  <c r="AJ212" i="3"/>
  <c r="AG212" i="3"/>
  <c r="AD212" i="3"/>
  <c r="AA212" i="3"/>
  <c r="X212" i="3"/>
  <c r="U212" i="3"/>
  <c r="R212" i="3"/>
  <c r="O212" i="3"/>
  <c r="L212" i="3"/>
  <c r="I212" i="3"/>
  <c r="F212" i="3"/>
  <c r="C212" i="3"/>
  <c r="B212" i="3"/>
  <c r="AI212" i="3"/>
  <c r="AF212" i="3"/>
  <c r="AC212" i="3"/>
  <c r="Z212" i="3"/>
  <c r="W212" i="3"/>
  <c r="T212" i="3"/>
  <c r="Q212" i="3"/>
  <c r="N212" i="3"/>
  <c r="K212" i="3"/>
  <c r="H212" i="3"/>
  <c r="E212" i="3"/>
  <c r="AJ211" i="3"/>
  <c r="AG211" i="3"/>
  <c r="AD211" i="3"/>
  <c r="AA211" i="3"/>
  <c r="X211" i="3"/>
  <c r="U211" i="3"/>
  <c r="R211" i="3"/>
  <c r="O211" i="3"/>
  <c r="L211" i="3"/>
  <c r="I211" i="3"/>
  <c r="F211" i="3"/>
  <c r="C211" i="3"/>
  <c r="AI211" i="3"/>
  <c r="AF211" i="3"/>
  <c r="AC211" i="3"/>
  <c r="Z211" i="3"/>
  <c r="W211" i="3"/>
  <c r="T211" i="3"/>
  <c r="Q211" i="3"/>
  <c r="N211" i="3"/>
  <c r="K211" i="3"/>
  <c r="H211" i="3"/>
  <c r="E211" i="3"/>
  <c r="B211" i="3"/>
  <c r="AJ210" i="3"/>
  <c r="AG210" i="3"/>
  <c r="AD210" i="3"/>
  <c r="AA210" i="3"/>
  <c r="X210" i="3"/>
  <c r="U210" i="3"/>
  <c r="R210" i="3"/>
  <c r="O210" i="3"/>
  <c r="L210" i="3"/>
  <c r="I210" i="3"/>
  <c r="F210" i="3"/>
  <c r="C210" i="3"/>
  <c r="AI210" i="3"/>
  <c r="AF210" i="3"/>
  <c r="AC210" i="3"/>
  <c r="Z210" i="3"/>
  <c r="W210" i="3"/>
  <c r="T210" i="3"/>
  <c r="Q210" i="3"/>
  <c r="N210" i="3"/>
  <c r="K210" i="3"/>
  <c r="H210" i="3"/>
  <c r="E210" i="3"/>
  <c r="B210" i="3"/>
  <c r="AJ209" i="3"/>
  <c r="AG209" i="3"/>
  <c r="AD209" i="3"/>
  <c r="AA209" i="3"/>
  <c r="X209" i="3"/>
  <c r="U209" i="3"/>
  <c r="R209" i="3"/>
  <c r="O209" i="3"/>
  <c r="L209" i="3"/>
  <c r="I209" i="3"/>
  <c r="F209" i="3"/>
  <c r="C209" i="3"/>
  <c r="AJ208" i="3"/>
  <c r="AG208" i="3"/>
  <c r="AD208" i="3"/>
  <c r="AA208" i="3"/>
  <c r="X208" i="3"/>
  <c r="U208" i="3"/>
  <c r="R208" i="3"/>
  <c r="O208" i="3"/>
  <c r="L208" i="3"/>
  <c r="I208" i="3"/>
  <c r="F208" i="3"/>
  <c r="C208" i="3"/>
  <c r="O207" i="3"/>
  <c r="AJ207" i="3"/>
  <c r="AG207" i="3"/>
  <c r="AD207" i="3"/>
  <c r="AA207" i="3"/>
  <c r="X207" i="3"/>
  <c r="U207" i="3"/>
  <c r="R207" i="3"/>
  <c r="L207" i="3"/>
  <c r="I207" i="3"/>
  <c r="F207" i="3"/>
  <c r="C207" i="3"/>
  <c r="AJ206" i="3"/>
  <c r="AG206" i="3"/>
  <c r="AD206" i="3"/>
  <c r="AA206" i="3"/>
  <c r="X206" i="3"/>
  <c r="U206" i="3"/>
  <c r="R206" i="3"/>
  <c r="O206" i="3"/>
  <c r="L206" i="3"/>
  <c r="I206" i="3"/>
  <c r="F206" i="3"/>
  <c r="C206" i="3"/>
  <c r="AI206" i="3"/>
  <c r="AF206" i="3"/>
  <c r="AC206" i="3"/>
  <c r="Z206" i="3"/>
  <c r="W206" i="3"/>
  <c r="T206" i="3"/>
  <c r="Q206" i="3"/>
  <c r="N206" i="3"/>
  <c r="K206" i="3"/>
  <c r="H206" i="3"/>
  <c r="E206" i="3"/>
  <c r="B206" i="3"/>
  <c r="AJ205" i="3"/>
  <c r="AG205" i="3"/>
  <c r="AD205" i="3"/>
  <c r="AA205" i="3"/>
  <c r="X205" i="3"/>
  <c r="U205" i="3"/>
  <c r="R205" i="3"/>
  <c r="O205" i="3"/>
  <c r="L205" i="3"/>
  <c r="I205" i="3"/>
  <c r="F205" i="3"/>
  <c r="C205" i="3"/>
  <c r="AJ204" i="3"/>
  <c r="AG204" i="3"/>
  <c r="AD204" i="3"/>
  <c r="AA204" i="3"/>
  <c r="X204" i="3"/>
  <c r="U204" i="3"/>
  <c r="R204" i="3"/>
  <c r="O204" i="3"/>
  <c r="L204" i="3"/>
  <c r="I204" i="3"/>
  <c r="F204" i="3"/>
  <c r="C204" i="3"/>
  <c r="AJ203" i="3"/>
  <c r="AG203" i="3"/>
  <c r="AD203" i="3"/>
  <c r="AA203" i="3"/>
  <c r="X203" i="3"/>
  <c r="U203" i="3"/>
  <c r="R203" i="3"/>
  <c r="O203" i="3"/>
  <c r="L203" i="3"/>
  <c r="I203" i="3"/>
  <c r="F203" i="3"/>
  <c r="C203" i="3"/>
  <c r="AI203" i="3"/>
  <c r="AF203" i="3"/>
  <c r="AC203" i="3"/>
  <c r="Z203" i="3"/>
  <c r="W203" i="3"/>
  <c r="T203" i="3"/>
  <c r="Q203" i="3"/>
  <c r="N203" i="3"/>
  <c r="K203" i="3"/>
  <c r="H203" i="3"/>
  <c r="E203" i="3"/>
  <c r="B203" i="3"/>
  <c r="AJ202" i="3"/>
  <c r="AG202" i="3"/>
  <c r="AD202" i="3"/>
  <c r="AA202" i="3"/>
  <c r="X202" i="3"/>
  <c r="U202" i="3"/>
  <c r="R202" i="3"/>
  <c r="O202" i="3"/>
  <c r="L202" i="3"/>
  <c r="I202" i="3"/>
  <c r="F202" i="3"/>
  <c r="C202" i="3"/>
  <c r="AJ201" i="3"/>
  <c r="AG201" i="3"/>
  <c r="AD201" i="3"/>
  <c r="AA201" i="3"/>
  <c r="X201" i="3"/>
  <c r="U201" i="3"/>
  <c r="R201" i="3"/>
  <c r="O201" i="3"/>
  <c r="L201" i="3"/>
  <c r="I201" i="3"/>
  <c r="F201" i="3"/>
  <c r="C201" i="3"/>
  <c r="AI201" i="3"/>
  <c r="AF201" i="3"/>
  <c r="AC201" i="3"/>
  <c r="Z201" i="3"/>
  <c r="W201" i="3"/>
  <c r="T201" i="3"/>
  <c r="Q201" i="3"/>
  <c r="N201" i="3"/>
  <c r="K201" i="3"/>
  <c r="H201" i="3"/>
  <c r="E201" i="3"/>
  <c r="B201" i="3"/>
  <c r="AJ200" i="3"/>
  <c r="AG200" i="3"/>
  <c r="AD200" i="3"/>
  <c r="AA200" i="3"/>
  <c r="X200" i="3"/>
  <c r="U200" i="3"/>
  <c r="R200" i="3"/>
  <c r="O200" i="3"/>
  <c r="L200" i="3"/>
  <c r="I200" i="3"/>
  <c r="F200" i="3"/>
  <c r="C200" i="3"/>
  <c r="AC200" i="3"/>
  <c r="AI200" i="3"/>
  <c r="AF200" i="3"/>
  <c r="Z200" i="3"/>
  <c r="W200" i="3"/>
  <c r="T200" i="3"/>
  <c r="Q200" i="3"/>
  <c r="N200" i="3"/>
  <c r="K200" i="3"/>
  <c r="H200" i="3"/>
  <c r="E200" i="3"/>
  <c r="B200" i="3"/>
  <c r="AJ199" i="3"/>
  <c r="AG199" i="3"/>
  <c r="AD199" i="3"/>
  <c r="AA199" i="3"/>
  <c r="X199" i="3"/>
  <c r="U199" i="3"/>
  <c r="R199" i="3"/>
  <c r="O199" i="3"/>
  <c r="L199" i="3"/>
  <c r="I199" i="3"/>
  <c r="F199" i="3"/>
  <c r="C199" i="3"/>
  <c r="W199" i="3"/>
  <c r="AI199" i="3"/>
  <c r="AF199" i="3"/>
  <c r="AC199" i="3"/>
  <c r="Z199" i="3"/>
  <c r="T199" i="3"/>
  <c r="Q199" i="3"/>
  <c r="N199" i="3"/>
  <c r="K199" i="3"/>
  <c r="H199" i="3"/>
  <c r="E199" i="3"/>
  <c r="B199" i="3"/>
  <c r="AJ198" i="3"/>
  <c r="AG198" i="3"/>
  <c r="AD198" i="3"/>
  <c r="AA198" i="3"/>
  <c r="X198" i="3"/>
  <c r="U198" i="3"/>
  <c r="R198" i="3"/>
  <c r="O198" i="3"/>
  <c r="L198" i="3"/>
  <c r="I198" i="3"/>
  <c r="F198" i="3"/>
  <c r="C198" i="3"/>
  <c r="AJ197" i="3"/>
  <c r="AG197" i="3"/>
  <c r="AD197" i="3"/>
  <c r="AA197" i="3"/>
  <c r="X197" i="3"/>
  <c r="U197" i="3"/>
  <c r="R197" i="3"/>
  <c r="O197" i="3"/>
  <c r="L197" i="3"/>
  <c r="I197" i="3"/>
  <c r="F197" i="3"/>
  <c r="C197" i="3"/>
  <c r="AJ196" i="3"/>
  <c r="AG196" i="3"/>
  <c r="AD196" i="3"/>
  <c r="AA196" i="3"/>
  <c r="X196" i="3"/>
  <c r="U196" i="3"/>
  <c r="R196" i="3"/>
  <c r="O196" i="3"/>
  <c r="L196" i="3"/>
  <c r="I196" i="3"/>
  <c r="F196" i="3"/>
  <c r="C196" i="3"/>
  <c r="AJ195" i="3"/>
  <c r="AG195" i="3"/>
  <c r="AD195" i="3"/>
  <c r="AA195" i="3"/>
  <c r="X195" i="3"/>
  <c r="U195" i="3"/>
  <c r="R195" i="3"/>
  <c r="O195" i="3"/>
  <c r="L195" i="3"/>
  <c r="I195" i="3"/>
  <c r="F195" i="3"/>
  <c r="C195" i="3"/>
  <c r="AI195" i="3"/>
  <c r="AF195" i="3"/>
  <c r="AC195" i="3"/>
  <c r="Z195" i="3"/>
  <c r="W195" i="3"/>
  <c r="T195" i="3"/>
  <c r="Q195" i="3"/>
  <c r="N195" i="3"/>
  <c r="K195" i="3"/>
  <c r="H195" i="3"/>
  <c r="E195" i="3"/>
  <c r="B195" i="3"/>
  <c r="AJ194" i="3"/>
  <c r="AG194" i="3"/>
  <c r="AD194" i="3"/>
  <c r="AA194" i="3"/>
  <c r="X194" i="3"/>
  <c r="U194" i="3"/>
  <c r="R194" i="3"/>
  <c r="O194" i="3"/>
  <c r="L194" i="3"/>
  <c r="I194" i="3"/>
  <c r="F194" i="3"/>
  <c r="C194" i="3"/>
  <c r="AJ193" i="3"/>
  <c r="AG193" i="3"/>
  <c r="AD193" i="3"/>
  <c r="AA193" i="3"/>
  <c r="X193" i="3"/>
  <c r="U193" i="3"/>
  <c r="R193" i="3"/>
  <c r="O193" i="3"/>
  <c r="L193" i="3"/>
  <c r="I193" i="3"/>
  <c r="F193" i="3"/>
  <c r="C193" i="3"/>
  <c r="AJ192" i="3"/>
  <c r="AG192" i="3"/>
  <c r="AD192" i="3"/>
  <c r="AA192" i="3"/>
  <c r="X192" i="3"/>
  <c r="U192" i="3"/>
  <c r="R192" i="3"/>
  <c r="O192" i="3"/>
  <c r="L192" i="3"/>
  <c r="I192" i="3"/>
  <c r="F192" i="3"/>
  <c r="C192" i="3"/>
  <c r="AJ191" i="3"/>
  <c r="AG191" i="3"/>
  <c r="AD191" i="3"/>
  <c r="AA191" i="3"/>
  <c r="X191" i="3"/>
  <c r="U191" i="3"/>
  <c r="R191" i="3"/>
  <c r="O191" i="3"/>
  <c r="L191" i="3"/>
  <c r="I191" i="3"/>
  <c r="F191" i="3"/>
  <c r="C191" i="3"/>
  <c r="AI191" i="3"/>
  <c r="AF191" i="3"/>
  <c r="AC191" i="3"/>
  <c r="Z191" i="3"/>
  <c r="W191" i="3"/>
  <c r="T191" i="3"/>
  <c r="Q191" i="3"/>
  <c r="N191" i="3"/>
  <c r="K191" i="3"/>
  <c r="H191" i="3"/>
  <c r="E191" i="3"/>
  <c r="B191" i="3"/>
  <c r="O190" i="3"/>
  <c r="AJ190" i="3"/>
  <c r="AG190" i="3"/>
  <c r="AD190" i="3"/>
  <c r="AA190" i="3"/>
  <c r="X190" i="3"/>
  <c r="U190" i="3"/>
  <c r="R190" i="3"/>
  <c r="L190" i="3"/>
  <c r="I190" i="3"/>
  <c r="F190" i="3"/>
  <c r="C190" i="3"/>
  <c r="AI190" i="3"/>
  <c r="AF190" i="3"/>
  <c r="AC190" i="3"/>
  <c r="Z190" i="3"/>
  <c r="W190" i="3"/>
  <c r="T190" i="3"/>
  <c r="Q190" i="3"/>
  <c r="N190" i="3"/>
  <c r="K190" i="3"/>
  <c r="H190" i="3"/>
  <c r="E190" i="3"/>
  <c r="B190" i="3"/>
  <c r="AJ189" i="3"/>
  <c r="AG189" i="3"/>
  <c r="AD189" i="3"/>
  <c r="AA189" i="3"/>
  <c r="X189" i="3"/>
  <c r="U189" i="3"/>
  <c r="R189" i="3"/>
  <c r="O189" i="3"/>
  <c r="L189" i="3"/>
  <c r="I189" i="3"/>
  <c r="F189" i="3"/>
  <c r="C189" i="3"/>
  <c r="AF189" i="3"/>
  <c r="Z189" i="3"/>
  <c r="W189" i="3"/>
  <c r="Q189" i="3"/>
  <c r="K189" i="3"/>
  <c r="E189" i="3"/>
  <c r="AJ188" i="3"/>
  <c r="AG188" i="3"/>
  <c r="AD188" i="3"/>
  <c r="AA188" i="3"/>
  <c r="X188" i="3"/>
  <c r="U188" i="3"/>
  <c r="R188" i="3"/>
  <c r="O188" i="3"/>
  <c r="L188" i="3"/>
  <c r="I188" i="3"/>
  <c r="F188" i="3"/>
  <c r="C188" i="3"/>
  <c r="AJ187" i="3"/>
  <c r="AG187" i="3"/>
  <c r="AD187" i="3"/>
  <c r="AA187" i="3"/>
  <c r="X187" i="3"/>
  <c r="U187" i="3"/>
  <c r="R187" i="3"/>
  <c r="O187" i="3"/>
  <c r="L187" i="3"/>
  <c r="I187" i="3"/>
  <c r="F187" i="3"/>
  <c r="C187" i="3"/>
  <c r="AJ186" i="3"/>
  <c r="AG186" i="3"/>
  <c r="AD186" i="3"/>
  <c r="AA186" i="3"/>
  <c r="X186" i="3"/>
  <c r="U186" i="3"/>
  <c r="R186" i="3"/>
  <c r="O186" i="3"/>
  <c r="L186" i="3"/>
  <c r="I186" i="3"/>
  <c r="F186" i="3"/>
  <c r="C186" i="3"/>
  <c r="AJ185" i="3"/>
  <c r="AG185" i="3"/>
  <c r="AD185" i="3"/>
  <c r="AA185" i="3"/>
  <c r="X185" i="3"/>
  <c r="U185" i="3"/>
  <c r="R185" i="3"/>
  <c r="O185" i="3"/>
  <c r="L185" i="3"/>
  <c r="I185" i="3"/>
  <c r="F185" i="3"/>
  <c r="C185" i="3"/>
  <c r="AJ184" i="3"/>
  <c r="AG184" i="3"/>
  <c r="AD184" i="3"/>
  <c r="AA184" i="3"/>
  <c r="X184" i="3"/>
  <c r="U184" i="3"/>
  <c r="R184" i="3"/>
  <c r="O184" i="3"/>
  <c r="L184" i="3"/>
  <c r="I184" i="3"/>
  <c r="F184" i="3"/>
  <c r="C184" i="3"/>
  <c r="U183" i="3"/>
  <c r="AJ183" i="3"/>
  <c r="AG183" i="3"/>
  <c r="AD183" i="3"/>
  <c r="AA183" i="3"/>
  <c r="X183" i="3"/>
  <c r="R183" i="3"/>
  <c r="O183" i="3"/>
  <c r="L183" i="3"/>
  <c r="I183" i="3"/>
  <c r="F183" i="3"/>
  <c r="C183" i="3"/>
  <c r="AJ182" i="3"/>
  <c r="AG182" i="3"/>
  <c r="AD182" i="3"/>
  <c r="AA182" i="3"/>
  <c r="X182" i="3"/>
  <c r="U182" i="3"/>
  <c r="R182" i="3"/>
  <c r="O182" i="3"/>
  <c r="L182" i="3"/>
  <c r="I182" i="3"/>
  <c r="F182" i="3"/>
  <c r="C182" i="3"/>
  <c r="AJ181" i="3"/>
  <c r="AG181" i="3"/>
  <c r="AD181" i="3"/>
  <c r="AA181" i="3"/>
  <c r="X181" i="3"/>
  <c r="U181" i="3"/>
  <c r="R181" i="3"/>
  <c r="O181" i="3"/>
  <c r="L181" i="3"/>
  <c r="I181" i="3"/>
  <c r="F181" i="3"/>
  <c r="C181" i="3"/>
  <c r="H181" i="3"/>
  <c r="E181" i="3"/>
  <c r="AI181" i="3"/>
  <c r="AF181" i="3"/>
  <c r="AC181" i="3"/>
  <c r="Z181" i="3"/>
  <c r="W181" i="3"/>
  <c r="T181" i="3"/>
  <c r="Q181" i="3"/>
  <c r="N181" i="3"/>
  <c r="K181" i="3"/>
  <c r="B181" i="3"/>
  <c r="AJ180" i="3"/>
  <c r="AG180" i="3"/>
  <c r="AD180" i="3"/>
  <c r="AA180" i="3"/>
  <c r="X180" i="3"/>
  <c r="U180" i="3"/>
  <c r="R180" i="3"/>
  <c r="O180" i="3"/>
  <c r="L180" i="3"/>
  <c r="I180" i="3"/>
  <c r="F180" i="3"/>
  <c r="C180" i="3"/>
  <c r="AJ179" i="3"/>
  <c r="AG179" i="3"/>
  <c r="AD179" i="3"/>
  <c r="AA179" i="3"/>
  <c r="X179" i="3"/>
  <c r="U179" i="3"/>
  <c r="R179" i="3"/>
  <c r="O179" i="3"/>
  <c r="L179" i="3"/>
  <c r="I179" i="3"/>
  <c r="F179" i="3"/>
  <c r="C179" i="3"/>
  <c r="AJ178" i="3"/>
  <c r="AG178" i="3"/>
  <c r="AD178" i="3"/>
  <c r="AA178" i="3"/>
  <c r="X178" i="3"/>
  <c r="U178" i="3"/>
  <c r="R178" i="3"/>
  <c r="O178" i="3"/>
  <c r="L178" i="3"/>
  <c r="I178" i="3"/>
  <c r="F178" i="3"/>
  <c r="C178" i="3"/>
  <c r="AJ177" i="3"/>
  <c r="AG177" i="3"/>
  <c r="AD177" i="3"/>
  <c r="AA177" i="3"/>
  <c r="X177" i="3"/>
  <c r="U177" i="3"/>
  <c r="R177" i="3"/>
  <c r="O177" i="3"/>
  <c r="L177" i="3"/>
  <c r="I177" i="3"/>
  <c r="F177" i="3"/>
  <c r="C177" i="3"/>
  <c r="AJ176" i="3"/>
  <c r="AG176" i="3"/>
  <c r="AD176" i="3"/>
  <c r="AA176" i="3"/>
  <c r="X176" i="3"/>
  <c r="U176" i="3"/>
  <c r="R176" i="3"/>
  <c r="O176" i="3"/>
  <c r="L176" i="3"/>
  <c r="I176" i="3"/>
  <c r="F176" i="3"/>
  <c r="C176" i="3"/>
  <c r="AJ175" i="3"/>
  <c r="AG175" i="3"/>
  <c r="AD175" i="3"/>
  <c r="AA175" i="3"/>
  <c r="X175" i="3"/>
  <c r="U175" i="3"/>
  <c r="R175" i="3"/>
  <c r="O175" i="3"/>
  <c r="L175" i="3"/>
  <c r="I175" i="3"/>
  <c r="F175" i="3"/>
  <c r="C175" i="3"/>
  <c r="AI175" i="3"/>
  <c r="AF175" i="3"/>
  <c r="AC175" i="3"/>
  <c r="Z175" i="3"/>
  <c r="W175" i="3"/>
  <c r="T175" i="3"/>
  <c r="Q175" i="3"/>
  <c r="N175" i="3"/>
  <c r="K175" i="3"/>
  <c r="H175" i="3"/>
  <c r="E175" i="3"/>
  <c r="B175" i="3"/>
  <c r="AJ174" i="3"/>
  <c r="AG174" i="3"/>
  <c r="AD174" i="3"/>
  <c r="AA174" i="3"/>
  <c r="X174" i="3"/>
  <c r="U174" i="3"/>
  <c r="R174" i="3"/>
  <c r="O174" i="3"/>
  <c r="L174" i="3"/>
  <c r="I174" i="3"/>
  <c r="F174" i="3"/>
  <c r="C174" i="3"/>
  <c r="AJ173" i="3"/>
  <c r="AG173" i="3"/>
  <c r="AD173" i="3"/>
  <c r="AA173" i="3"/>
  <c r="X173" i="3"/>
  <c r="U173" i="3"/>
  <c r="R173" i="3"/>
  <c r="O173" i="3"/>
  <c r="L173" i="3"/>
  <c r="I173" i="3"/>
  <c r="F173" i="3"/>
  <c r="C173" i="3"/>
  <c r="AJ172" i="3"/>
  <c r="AG172" i="3"/>
  <c r="AD172" i="3"/>
  <c r="AA172" i="3"/>
  <c r="X172" i="3"/>
  <c r="U172" i="3"/>
  <c r="R172" i="3"/>
  <c r="O172" i="3"/>
  <c r="L172" i="3"/>
  <c r="I172" i="3"/>
  <c r="F172" i="3"/>
  <c r="C172" i="3"/>
  <c r="AI172" i="3"/>
  <c r="AF172" i="3"/>
  <c r="AC172" i="3"/>
  <c r="Z172" i="3"/>
  <c r="W172" i="3"/>
  <c r="T172" i="3"/>
  <c r="Q172" i="3"/>
  <c r="N172" i="3"/>
  <c r="K172" i="3"/>
  <c r="H172" i="3"/>
  <c r="B172" i="3"/>
  <c r="AJ171" i="3"/>
  <c r="AG171" i="3"/>
  <c r="AD171" i="3"/>
  <c r="AA171" i="3"/>
  <c r="X171" i="3"/>
  <c r="U171" i="3"/>
  <c r="R171" i="3"/>
  <c r="O171" i="3"/>
  <c r="L171" i="3"/>
  <c r="I171" i="3"/>
  <c r="F171" i="3"/>
  <c r="C171" i="3"/>
  <c r="AJ170" i="3"/>
  <c r="AG170" i="3"/>
  <c r="AD170" i="3"/>
  <c r="AA170" i="3"/>
  <c r="X170" i="3"/>
  <c r="U170" i="3"/>
  <c r="R170" i="3"/>
  <c r="O170" i="3"/>
  <c r="L170" i="3"/>
  <c r="I170" i="3"/>
  <c r="F170" i="3"/>
  <c r="C170" i="3"/>
  <c r="AJ169" i="3"/>
  <c r="AG169" i="3"/>
  <c r="AD169" i="3"/>
  <c r="AA169" i="3"/>
  <c r="X169" i="3"/>
  <c r="U169" i="3"/>
  <c r="R169" i="3"/>
  <c r="O169" i="3"/>
  <c r="L169" i="3"/>
  <c r="I169" i="3"/>
  <c r="F169" i="3"/>
  <c r="C169" i="3"/>
  <c r="AI169" i="3"/>
  <c r="AF169" i="3"/>
  <c r="AC169" i="3"/>
  <c r="Z169" i="3"/>
  <c r="W169" i="3"/>
  <c r="T169" i="3"/>
  <c r="Q169" i="3"/>
  <c r="N169" i="3"/>
  <c r="K169" i="3"/>
  <c r="H169" i="3"/>
  <c r="E169" i="3"/>
  <c r="B169" i="3"/>
  <c r="AJ168" i="3"/>
  <c r="AG168" i="3"/>
  <c r="AD168" i="3"/>
  <c r="AA168" i="3"/>
  <c r="X168" i="3"/>
  <c r="U168" i="3"/>
  <c r="R168" i="3"/>
  <c r="O168" i="3"/>
  <c r="L168" i="3"/>
  <c r="I168" i="3"/>
  <c r="F168" i="3"/>
  <c r="C168" i="3"/>
  <c r="AJ167" i="3"/>
  <c r="AG167" i="3"/>
  <c r="AD167" i="3"/>
  <c r="AA167" i="3"/>
  <c r="X167" i="3"/>
  <c r="U167" i="3"/>
  <c r="R167" i="3"/>
  <c r="O167" i="3"/>
  <c r="L167" i="3"/>
  <c r="I167" i="3"/>
  <c r="F167" i="3"/>
  <c r="C167" i="3"/>
  <c r="AJ166" i="3"/>
  <c r="AG166" i="3"/>
  <c r="AD166" i="3"/>
  <c r="AA166" i="3"/>
  <c r="X166" i="3"/>
  <c r="U166" i="3"/>
  <c r="R166" i="3"/>
  <c r="O166" i="3"/>
  <c r="L166" i="3"/>
  <c r="I166" i="3"/>
  <c r="F166" i="3"/>
  <c r="C166" i="3"/>
  <c r="AI166" i="3"/>
  <c r="AF166" i="3"/>
  <c r="AC166" i="3"/>
  <c r="Z166" i="3"/>
  <c r="W166" i="3"/>
  <c r="T166" i="3"/>
  <c r="Q166" i="3"/>
  <c r="N166" i="3"/>
  <c r="K166" i="3"/>
  <c r="H166" i="3"/>
  <c r="E166" i="3"/>
  <c r="B166" i="3"/>
  <c r="AJ165" i="3"/>
  <c r="AG165" i="3"/>
  <c r="AD165" i="3"/>
  <c r="AA165" i="3"/>
  <c r="X165" i="3"/>
  <c r="U165" i="3"/>
  <c r="R165" i="3"/>
  <c r="O165" i="3"/>
  <c r="L165" i="3"/>
  <c r="I165" i="3"/>
  <c r="F165" i="3"/>
  <c r="C165" i="3"/>
  <c r="AJ164" i="3"/>
  <c r="AG164" i="3"/>
  <c r="AD164" i="3"/>
  <c r="AA164" i="3"/>
  <c r="X164" i="3"/>
  <c r="U164" i="3"/>
  <c r="R164" i="3"/>
  <c r="O164" i="3"/>
  <c r="L164" i="3"/>
  <c r="I164" i="3"/>
  <c r="F164" i="3"/>
  <c r="C164" i="3"/>
  <c r="AJ163" i="3"/>
  <c r="AG163" i="3"/>
  <c r="AD163" i="3"/>
  <c r="AA163" i="3"/>
  <c r="X163" i="3"/>
  <c r="U163" i="3"/>
  <c r="R163" i="3"/>
  <c r="O163" i="3"/>
  <c r="L163" i="3"/>
  <c r="I163" i="3"/>
  <c r="F163" i="3"/>
  <c r="C163" i="3"/>
  <c r="AJ162" i="3"/>
  <c r="AG162" i="3"/>
  <c r="AD162" i="3"/>
  <c r="AA162" i="3"/>
  <c r="X162" i="3"/>
  <c r="U162" i="3"/>
  <c r="R162" i="3"/>
  <c r="O162" i="3"/>
  <c r="L162" i="3"/>
  <c r="I162" i="3"/>
  <c r="F162" i="3"/>
  <c r="C162" i="3"/>
  <c r="AJ161" i="3"/>
  <c r="AG161" i="3"/>
  <c r="AD161" i="3"/>
  <c r="AA161" i="3"/>
  <c r="X161" i="3"/>
  <c r="U161" i="3"/>
  <c r="R161" i="3"/>
  <c r="O161" i="3"/>
  <c r="L161" i="3"/>
  <c r="I161" i="3"/>
  <c r="F161" i="3"/>
  <c r="C161" i="3"/>
  <c r="AJ160" i="3"/>
  <c r="AG160" i="3"/>
  <c r="AD160" i="3"/>
  <c r="AA160" i="3"/>
  <c r="X160" i="3"/>
  <c r="U160" i="3"/>
  <c r="R160" i="3"/>
  <c r="O160" i="3"/>
  <c r="L160" i="3"/>
  <c r="I160" i="3"/>
  <c r="F160" i="3"/>
  <c r="C160" i="3"/>
  <c r="AJ159" i="3"/>
  <c r="AG159" i="3"/>
  <c r="AD159" i="3"/>
  <c r="AA159" i="3"/>
  <c r="X159" i="3"/>
  <c r="U159" i="3"/>
  <c r="R159" i="3"/>
  <c r="O159" i="3"/>
  <c r="L159" i="3"/>
  <c r="I159" i="3"/>
  <c r="F159" i="3"/>
  <c r="C159" i="3"/>
  <c r="AJ158" i="3"/>
  <c r="AG158" i="3"/>
  <c r="AD158" i="3"/>
  <c r="AA158" i="3"/>
  <c r="X158" i="3"/>
  <c r="U158" i="3"/>
  <c r="R158" i="3"/>
  <c r="O158" i="3"/>
  <c r="L158" i="3"/>
  <c r="I158" i="3"/>
  <c r="F158" i="3"/>
  <c r="C158" i="3"/>
  <c r="AJ157" i="3"/>
  <c r="AG157" i="3"/>
  <c r="AD157" i="3"/>
  <c r="AA157" i="3"/>
  <c r="X157" i="3"/>
  <c r="U157" i="3"/>
  <c r="R157" i="3"/>
  <c r="O157" i="3"/>
  <c r="L157" i="3"/>
  <c r="I157" i="3"/>
  <c r="F157" i="3"/>
  <c r="C157" i="3"/>
  <c r="AI157" i="3"/>
  <c r="AF157" i="3"/>
  <c r="AC157" i="3"/>
  <c r="Z157" i="3"/>
  <c r="W157" i="3"/>
  <c r="T157" i="3"/>
  <c r="Q157" i="3"/>
  <c r="N157" i="3"/>
  <c r="K157" i="3"/>
  <c r="H157" i="3"/>
  <c r="E157" i="3"/>
  <c r="B157" i="3"/>
  <c r="AJ156" i="3"/>
  <c r="AG156" i="3"/>
  <c r="AD156" i="3"/>
  <c r="AA156" i="3"/>
  <c r="X156" i="3"/>
  <c r="U156" i="3"/>
  <c r="R156" i="3"/>
  <c r="O156" i="3"/>
  <c r="L156" i="3"/>
  <c r="I156" i="3"/>
  <c r="F156" i="3"/>
  <c r="C156" i="3"/>
  <c r="AJ155" i="3"/>
  <c r="AG155" i="3"/>
  <c r="AD155" i="3"/>
  <c r="AA155" i="3"/>
  <c r="X155" i="3"/>
  <c r="U155" i="3"/>
  <c r="R155" i="3"/>
  <c r="O155" i="3"/>
  <c r="L155" i="3"/>
  <c r="I155" i="3"/>
  <c r="F155" i="3"/>
  <c r="C155" i="3"/>
  <c r="AI155" i="3"/>
  <c r="AF155" i="3"/>
  <c r="AC155" i="3"/>
  <c r="Z155" i="3"/>
  <c r="W155" i="3"/>
  <c r="T155" i="3"/>
  <c r="Q155" i="3"/>
  <c r="N155" i="3"/>
  <c r="K155" i="3"/>
  <c r="H155" i="3"/>
  <c r="E155" i="3"/>
  <c r="B155" i="3"/>
  <c r="AJ154" i="3"/>
  <c r="AG154" i="3"/>
  <c r="AD154" i="3"/>
  <c r="AA154" i="3"/>
  <c r="X154" i="3"/>
  <c r="U154" i="3"/>
  <c r="R154" i="3"/>
  <c r="O154" i="3"/>
  <c r="L154" i="3"/>
  <c r="I154" i="3"/>
  <c r="F154" i="3"/>
  <c r="C154" i="3"/>
  <c r="AF154" i="3"/>
  <c r="Z154" i="3"/>
  <c r="W154" i="3"/>
  <c r="T154" i="3"/>
  <c r="Q154" i="3"/>
  <c r="N154" i="3"/>
  <c r="K154" i="3"/>
  <c r="H154" i="3"/>
  <c r="E154" i="3"/>
  <c r="B154" i="3"/>
  <c r="AJ153" i="3"/>
  <c r="AG153" i="3"/>
  <c r="AD153" i="3"/>
  <c r="AA153" i="3"/>
  <c r="X153" i="3"/>
  <c r="U153" i="3"/>
  <c r="R153" i="3"/>
  <c r="O153" i="3"/>
  <c r="L153" i="3"/>
  <c r="I153" i="3"/>
  <c r="F153" i="3"/>
  <c r="C153" i="3"/>
  <c r="AI153" i="3"/>
  <c r="AF153" i="3"/>
  <c r="AC153" i="3"/>
  <c r="Z153" i="3"/>
  <c r="W153" i="3"/>
  <c r="T153" i="3"/>
  <c r="Q153" i="3"/>
  <c r="N153" i="3"/>
  <c r="K153" i="3"/>
  <c r="H153" i="3"/>
  <c r="E153" i="3"/>
  <c r="B153" i="3"/>
  <c r="C152" i="3"/>
  <c r="AJ152" i="3"/>
  <c r="AG152" i="3"/>
  <c r="AD152" i="3"/>
  <c r="AA152" i="3"/>
  <c r="X152" i="3"/>
  <c r="U152" i="3"/>
  <c r="R152" i="3"/>
  <c r="O152" i="3"/>
  <c r="L152" i="3"/>
  <c r="I152" i="3"/>
  <c r="F152" i="3"/>
  <c r="F151" i="3"/>
  <c r="AJ151" i="3"/>
  <c r="AG151" i="3"/>
  <c r="AD151" i="3"/>
  <c r="AA151" i="3"/>
  <c r="X151" i="3"/>
  <c r="U151" i="3"/>
  <c r="R151" i="3"/>
  <c r="O151" i="3"/>
  <c r="L151" i="3"/>
  <c r="I151" i="3"/>
  <c r="C151" i="3"/>
  <c r="AJ150" i="3"/>
  <c r="AG150" i="3"/>
  <c r="AD150" i="3"/>
  <c r="AA150" i="3"/>
  <c r="X150" i="3"/>
  <c r="U150" i="3"/>
  <c r="R150" i="3"/>
  <c r="O150" i="3"/>
  <c r="L150" i="3"/>
  <c r="I150" i="3"/>
  <c r="F150" i="3"/>
  <c r="C150" i="3"/>
  <c r="AL150" i="3"/>
  <c r="AJ149" i="3"/>
  <c r="AG149" i="3"/>
  <c r="AD149" i="3"/>
  <c r="AA149" i="3"/>
  <c r="X149" i="3"/>
  <c r="U149" i="3"/>
  <c r="R149" i="3"/>
  <c r="O149" i="3"/>
  <c r="L149" i="3"/>
  <c r="I149" i="3"/>
  <c r="F149" i="3"/>
  <c r="C149" i="3"/>
  <c r="AJ148" i="3"/>
  <c r="AG148" i="3"/>
  <c r="AD148" i="3"/>
  <c r="AA148" i="3"/>
  <c r="X148" i="3"/>
  <c r="U148" i="3"/>
  <c r="R148" i="3"/>
  <c r="O148" i="3"/>
  <c r="L148" i="3"/>
  <c r="I148" i="3"/>
  <c r="F148" i="3"/>
  <c r="C148" i="3"/>
  <c r="AJ147" i="3"/>
  <c r="AG147" i="3"/>
  <c r="AD147" i="3"/>
  <c r="AA147" i="3"/>
  <c r="X147" i="3"/>
  <c r="U147" i="3"/>
  <c r="R147" i="3"/>
  <c r="O147" i="3"/>
  <c r="L147" i="3"/>
  <c r="I147" i="3"/>
  <c r="F147" i="3"/>
  <c r="C147" i="3"/>
  <c r="AJ146" i="3"/>
  <c r="AG146" i="3"/>
  <c r="AD146" i="3"/>
  <c r="AA146" i="3"/>
  <c r="X146" i="3"/>
  <c r="U146" i="3"/>
  <c r="R146" i="3"/>
  <c r="O146" i="3"/>
  <c r="L146" i="3"/>
  <c r="I146" i="3"/>
  <c r="F146" i="3"/>
  <c r="C146" i="3"/>
  <c r="AJ145" i="3"/>
  <c r="AG145" i="3"/>
  <c r="AD145" i="3"/>
  <c r="AA145" i="3"/>
  <c r="X145" i="3"/>
  <c r="U145" i="3"/>
  <c r="R145" i="3"/>
  <c r="O145" i="3"/>
  <c r="L145" i="3"/>
  <c r="I145" i="3"/>
  <c r="F145" i="3"/>
  <c r="C145" i="3"/>
  <c r="AI145" i="3"/>
  <c r="AF145" i="3"/>
  <c r="AC145" i="3"/>
  <c r="Z145" i="3"/>
  <c r="W145" i="3"/>
  <c r="T145" i="3"/>
  <c r="Q145" i="3"/>
  <c r="N145" i="3"/>
  <c r="K145" i="3"/>
  <c r="H145" i="3"/>
  <c r="E145" i="3"/>
  <c r="B145" i="3"/>
  <c r="AJ144" i="3"/>
  <c r="AG144" i="3"/>
  <c r="AD144" i="3"/>
  <c r="AA144" i="3"/>
  <c r="X144" i="3"/>
  <c r="U144" i="3"/>
  <c r="R144" i="3"/>
  <c r="O144" i="3"/>
  <c r="L144" i="3"/>
  <c r="I144" i="3"/>
  <c r="F144" i="3"/>
  <c r="C144" i="3"/>
  <c r="AJ143" i="3"/>
  <c r="AG143" i="3"/>
  <c r="AD143" i="3"/>
  <c r="AA143" i="3"/>
  <c r="X143" i="3"/>
  <c r="U143" i="3"/>
  <c r="R143" i="3"/>
  <c r="O143" i="3"/>
  <c r="L143" i="3"/>
  <c r="I143" i="3"/>
  <c r="F143" i="3"/>
  <c r="C143" i="3"/>
  <c r="AI143" i="3"/>
  <c r="AF143" i="3"/>
  <c r="AC143" i="3"/>
  <c r="Z143" i="3"/>
  <c r="W143" i="3"/>
  <c r="T143" i="3"/>
  <c r="Q143" i="3"/>
  <c r="N143" i="3"/>
  <c r="K143" i="3"/>
  <c r="H143" i="3"/>
  <c r="E143" i="3"/>
  <c r="B143" i="3"/>
  <c r="AJ142" i="3"/>
  <c r="AG142" i="3"/>
  <c r="AD142" i="3"/>
  <c r="AA142" i="3"/>
  <c r="X142" i="3"/>
  <c r="U142" i="3"/>
  <c r="R142" i="3"/>
  <c r="O142" i="3"/>
  <c r="L142" i="3"/>
  <c r="I142" i="3"/>
  <c r="F142" i="3"/>
  <c r="C142" i="3"/>
  <c r="AJ141" i="3"/>
  <c r="AG141" i="3"/>
  <c r="AD141" i="3"/>
  <c r="AA141" i="3"/>
  <c r="X141" i="3"/>
  <c r="U141" i="3"/>
  <c r="R141" i="3"/>
  <c r="O141" i="3"/>
  <c r="L141" i="3"/>
  <c r="I141" i="3"/>
  <c r="F141" i="3"/>
  <c r="C141" i="3"/>
  <c r="AJ140" i="3"/>
  <c r="AG140" i="3"/>
  <c r="AD140" i="3"/>
  <c r="AA140" i="3"/>
  <c r="X140" i="3"/>
  <c r="U140" i="3"/>
  <c r="R140" i="3"/>
  <c r="O140" i="3"/>
  <c r="L140" i="3"/>
  <c r="I140" i="3"/>
  <c r="F140" i="3"/>
  <c r="C140" i="3"/>
  <c r="AJ139" i="3"/>
  <c r="AG139" i="3"/>
  <c r="AD139" i="3"/>
  <c r="AA139" i="3"/>
  <c r="X139" i="3"/>
  <c r="U139" i="3"/>
  <c r="R139" i="3"/>
  <c r="O139" i="3"/>
  <c r="L139" i="3"/>
  <c r="I139" i="3"/>
  <c r="F139" i="3"/>
  <c r="C139" i="3"/>
  <c r="AJ138" i="3"/>
  <c r="AG138" i="3"/>
  <c r="AD138" i="3"/>
  <c r="AA138" i="3"/>
  <c r="X138" i="3"/>
  <c r="U138" i="3"/>
  <c r="R138" i="3"/>
  <c r="O138" i="3"/>
  <c r="L138" i="3"/>
  <c r="I138" i="3"/>
  <c r="F138" i="3"/>
  <c r="C138" i="3"/>
  <c r="AI138" i="3"/>
  <c r="AF138" i="3"/>
  <c r="AC138" i="3"/>
  <c r="Z138" i="3"/>
  <c r="W138" i="3"/>
  <c r="T138" i="3"/>
  <c r="Q138" i="3"/>
  <c r="N138" i="3"/>
  <c r="K138" i="3"/>
  <c r="H138" i="3"/>
  <c r="E138" i="3"/>
  <c r="B138" i="3"/>
  <c r="AJ137" i="3"/>
  <c r="AG137" i="3"/>
  <c r="AD137" i="3"/>
  <c r="AA137" i="3"/>
  <c r="X137" i="3"/>
  <c r="U137" i="3"/>
  <c r="R137" i="3"/>
  <c r="O137" i="3"/>
  <c r="L137" i="3"/>
  <c r="I137" i="3"/>
  <c r="F137" i="3"/>
  <c r="C137" i="3"/>
  <c r="U136" i="3"/>
  <c r="AJ136" i="3"/>
  <c r="AG136" i="3"/>
  <c r="AD136" i="3"/>
  <c r="AA136" i="3"/>
  <c r="X136" i="3"/>
  <c r="R136" i="3"/>
  <c r="O136" i="3"/>
  <c r="L136" i="3"/>
  <c r="I136" i="3"/>
  <c r="F136" i="3"/>
  <c r="C136" i="3"/>
  <c r="AI136" i="3"/>
  <c r="AF136" i="3"/>
  <c r="AC136" i="3"/>
  <c r="Z136" i="3"/>
  <c r="W136" i="3"/>
  <c r="T136" i="3"/>
  <c r="Q136" i="3"/>
  <c r="N136" i="3"/>
  <c r="K136" i="3"/>
  <c r="H136" i="3"/>
  <c r="E136" i="3"/>
  <c r="B136" i="3"/>
  <c r="AJ135" i="3"/>
  <c r="AG135" i="3"/>
  <c r="AD135" i="3"/>
  <c r="AA135" i="3"/>
  <c r="X135" i="3"/>
  <c r="U135" i="3"/>
  <c r="R135" i="3"/>
  <c r="O135" i="3"/>
  <c r="L135" i="3"/>
  <c r="I135" i="3"/>
  <c r="F135" i="3"/>
  <c r="C135" i="3"/>
  <c r="AJ134" i="3"/>
  <c r="AG134" i="3"/>
  <c r="AD134" i="3"/>
  <c r="AA134" i="3"/>
  <c r="X134" i="3"/>
  <c r="U134" i="3"/>
  <c r="R134" i="3"/>
  <c r="O134" i="3"/>
  <c r="L134" i="3"/>
  <c r="I134" i="3"/>
  <c r="F134" i="3"/>
  <c r="C134" i="3"/>
  <c r="AI134" i="3"/>
  <c r="AF134" i="3"/>
  <c r="AC134" i="3"/>
  <c r="Z134" i="3"/>
  <c r="W134" i="3"/>
  <c r="T134" i="3"/>
  <c r="Q134" i="3"/>
  <c r="N134" i="3"/>
  <c r="K134" i="3"/>
  <c r="H134" i="3"/>
  <c r="E134" i="3"/>
  <c r="B134" i="3"/>
  <c r="AI133" i="3"/>
  <c r="AF133" i="3"/>
  <c r="AC133" i="3"/>
  <c r="Z133" i="3"/>
  <c r="W133" i="3"/>
  <c r="T133" i="3"/>
  <c r="Q133" i="3"/>
  <c r="N133" i="3"/>
  <c r="K133" i="3"/>
  <c r="H133" i="3"/>
  <c r="E133" i="3"/>
  <c r="B133" i="3"/>
  <c r="AJ133" i="3"/>
  <c r="AG133" i="3"/>
  <c r="AD133" i="3"/>
  <c r="AA133" i="3"/>
  <c r="X133" i="3"/>
  <c r="U133" i="3"/>
  <c r="R133" i="3"/>
  <c r="O133" i="3"/>
  <c r="L133" i="3"/>
  <c r="I133" i="3"/>
  <c r="F133" i="3"/>
  <c r="C133" i="3"/>
  <c r="AJ132" i="3"/>
  <c r="AG132" i="3"/>
  <c r="AD132" i="3"/>
  <c r="AA132" i="3"/>
  <c r="X132" i="3"/>
  <c r="U132" i="3"/>
  <c r="R132" i="3"/>
  <c r="O132" i="3"/>
  <c r="L132" i="3"/>
  <c r="I132" i="3"/>
  <c r="F132" i="3"/>
  <c r="C132" i="3"/>
  <c r="AL132" i="3"/>
  <c r="AJ131" i="3"/>
  <c r="AG131" i="3"/>
  <c r="AD131" i="3"/>
  <c r="AA131" i="3"/>
  <c r="X131" i="3"/>
  <c r="U131" i="3"/>
  <c r="R131" i="3"/>
  <c r="O131" i="3"/>
  <c r="L131" i="3"/>
  <c r="I131" i="3"/>
  <c r="F131" i="3"/>
  <c r="C131" i="3"/>
  <c r="AJ130" i="3"/>
  <c r="AG130" i="3"/>
  <c r="AD130" i="3"/>
  <c r="AA130" i="3"/>
  <c r="X130" i="3"/>
  <c r="U130" i="3"/>
  <c r="R130" i="3"/>
  <c r="O130" i="3"/>
  <c r="L130" i="3"/>
  <c r="I130" i="3"/>
  <c r="F130" i="3"/>
  <c r="C130" i="3"/>
  <c r="AJ129" i="3"/>
  <c r="AG129" i="3"/>
  <c r="AD129" i="3"/>
  <c r="AA129" i="3"/>
  <c r="X129" i="3"/>
  <c r="U129" i="3"/>
  <c r="R129" i="3"/>
  <c r="O129" i="3"/>
  <c r="L129" i="3"/>
  <c r="I129" i="3"/>
  <c r="F129" i="3"/>
  <c r="C129" i="3"/>
  <c r="AJ128" i="3"/>
  <c r="AG128" i="3"/>
  <c r="AD128" i="3"/>
  <c r="AA128" i="3"/>
  <c r="X128" i="3"/>
  <c r="U128" i="3"/>
  <c r="R128" i="3"/>
  <c r="O128" i="3"/>
  <c r="L128" i="3"/>
  <c r="I128" i="3"/>
  <c r="F128" i="3"/>
  <c r="C128" i="3"/>
  <c r="AA127" i="3"/>
  <c r="I127" i="3"/>
  <c r="AJ127" i="3"/>
  <c r="AG127" i="3"/>
  <c r="AD127" i="3"/>
  <c r="X127" i="3"/>
  <c r="U127" i="3"/>
  <c r="R127" i="3"/>
  <c r="O127" i="3"/>
  <c r="L127" i="3"/>
  <c r="F127" i="3"/>
  <c r="C127" i="3"/>
  <c r="AI127" i="3"/>
  <c r="AF127" i="3"/>
  <c r="AC127" i="3"/>
  <c r="Z127" i="3"/>
  <c r="W127" i="3"/>
  <c r="T127" i="3"/>
  <c r="Q127" i="3"/>
  <c r="N127" i="3"/>
  <c r="K127" i="3"/>
  <c r="H127" i="3"/>
  <c r="E127" i="3"/>
  <c r="B127" i="3"/>
  <c r="AJ126" i="3"/>
  <c r="AG126" i="3"/>
  <c r="AD126" i="3"/>
  <c r="AA126" i="3"/>
  <c r="X126" i="3"/>
  <c r="U126" i="3"/>
  <c r="R126" i="3"/>
  <c r="O126" i="3"/>
  <c r="L126" i="3"/>
  <c r="I126" i="3"/>
  <c r="F126" i="3"/>
  <c r="C126" i="3"/>
  <c r="AJ125" i="3"/>
  <c r="AG125" i="3"/>
  <c r="AD125" i="3"/>
  <c r="AA125" i="3"/>
  <c r="X125" i="3"/>
  <c r="U125" i="3"/>
  <c r="R125" i="3"/>
  <c r="O125" i="3"/>
  <c r="L125" i="3"/>
  <c r="I125" i="3"/>
  <c r="F125" i="3"/>
  <c r="C125" i="3"/>
  <c r="AJ124" i="3"/>
  <c r="AG124" i="3"/>
  <c r="AD124" i="3"/>
  <c r="AA124" i="3"/>
  <c r="X124" i="3"/>
  <c r="U124" i="3"/>
  <c r="R124" i="3"/>
  <c r="O124" i="3"/>
  <c r="L124" i="3"/>
  <c r="I124" i="3"/>
  <c r="F124" i="3"/>
  <c r="C124" i="3"/>
  <c r="AJ123" i="3"/>
  <c r="AG123" i="3"/>
  <c r="AD123" i="3"/>
  <c r="AA123" i="3"/>
  <c r="X123" i="3"/>
  <c r="U123" i="3"/>
  <c r="R123" i="3"/>
  <c r="O123" i="3"/>
  <c r="L123" i="3"/>
  <c r="I123" i="3"/>
  <c r="F123" i="3"/>
  <c r="C123" i="3"/>
  <c r="AJ122" i="3"/>
  <c r="AG122" i="3"/>
  <c r="AD122" i="3"/>
  <c r="AA122" i="3"/>
  <c r="X122" i="3"/>
  <c r="U122" i="3"/>
  <c r="R122" i="3"/>
  <c r="O122" i="3"/>
  <c r="L122" i="3"/>
  <c r="I122" i="3"/>
  <c r="F122" i="3"/>
  <c r="C122" i="3"/>
  <c r="AJ121" i="3"/>
  <c r="AG121" i="3"/>
  <c r="AD121" i="3"/>
  <c r="AA121" i="3"/>
  <c r="X121" i="3"/>
  <c r="U121" i="3"/>
  <c r="R121" i="3"/>
  <c r="O121" i="3"/>
  <c r="L121" i="3"/>
  <c r="I121" i="3"/>
  <c r="F121" i="3"/>
  <c r="C121" i="3"/>
  <c r="H121" i="3"/>
  <c r="AI121" i="3"/>
  <c r="AF121" i="3"/>
  <c r="AC121" i="3"/>
  <c r="Z121" i="3"/>
  <c r="W121" i="3"/>
  <c r="T121" i="3"/>
  <c r="Q121" i="3"/>
  <c r="N121" i="3"/>
  <c r="K121" i="3"/>
  <c r="E121" i="3"/>
  <c r="B121" i="3"/>
  <c r="AJ120" i="3"/>
  <c r="AG120" i="3"/>
  <c r="AD120" i="3"/>
  <c r="AA120" i="3"/>
  <c r="X120" i="3"/>
  <c r="U120" i="3"/>
  <c r="R120" i="3"/>
  <c r="O120" i="3"/>
  <c r="L120" i="3"/>
  <c r="I120" i="3"/>
  <c r="F120" i="3"/>
  <c r="C120" i="3"/>
  <c r="AI120" i="3"/>
  <c r="AF120" i="3"/>
  <c r="AC120" i="3"/>
  <c r="Z120" i="3"/>
  <c r="W120" i="3"/>
  <c r="T120" i="3"/>
  <c r="Q120" i="3"/>
  <c r="N120" i="3"/>
  <c r="K120" i="3"/>
  <c r="H120" i="3"/>
  <c r="E120" i="3"/>
  <c r="B120" i="3"/>
  <c r="AJ119" i="3"/>
  <c r="AG119" i="3"/>
  <c r="AD119" i="3"/>
  <c r="AA119" i="3"/>
  <c r="X119" i="3"/>
  <c r="U119" i="3"/>
  <c r="R119" i="3"/>
  <c r="O119" i="3"/>
  <c r="L119" i="3"/>
  <c r="I119" i="3"/>
  <c r="F119" i="3"/>
  <c r="C119" i="3"/>
  <c r="AI119" i="3"/>
  <c r="AF119" i="3"/>
  <c r="AC119" i="3"/>
  <c r="Z119" i="3"/>
  <c r="W119" i="3"/>
  <c r="T119" i="3"/>
  <c r="Q119" i="3"/>
  <c r="N119" i="3"/>
  <c r="K119" i="3"/>
  <c r="H119" i="3"/>
  <c r="E119" i="3"/>
  <c r="B119" i="3"/>
  <c r="AJ118" i="3"/>
  <c r="AG118" i="3"/>
  <c r="AD118" i="3"/>
  <c r="AA118" i="3"/>
  <c r="X118" i="3"/>
  <c r="U118" i="3"/>
  <c r="R118" i="3"/>
  <c r="O118" i="3"/>
  <c r="L118" i="3"/>
  <c r="I118" i="3"/>
  <c r="F118" i="3"/>
  <c r="C118" i="3"/>
  <c r="O117" i="3"/>
  <c r="AJ117" i="3"/>
  <c r="AG117" i="3"/>
  <c r="AD117" i="3"/>
  <c r="AA117" i="3"/>
  <c r="X117" i="3"/>
  <c r="U117" i="3"/>
  <c r="R117" i="3"/>
  <c r="L117" i="3"/>
  <c r="I117" i="3"/>
  <c r="F117" i="3"/>
  <c r="C117" i="3"/>
  <c r="AL215" i="3"/>
  <c r="AL214" i="3"/>
  <c r="AL209" i="3"/>
  <c r="AL208" i="3"/>
  <c r="AL207" i="3"/>
  <c r="AL205" i="3"/>
  <c r="AL204" i="3"/>
  <c r="AL202" i="3"/>
  <c r="AL198" i="3"/>
  <c r="AL197" i="3"/>
  <c r="AL196" i="3"/>
  <c r="AL194" i="3"/>
  <c r="AL193" i="3"/>
  <c r="AL192" i="3"/>
  <c r="AL188" i="3"/>
  <c r="AL187" i="3"/>
  <c r="AL186" i="3"/>
  <c r="AL185" i="3"/>
  <c r="AL184" i="3"/>
  <c r="AL183" i="3"/>
  <c r="AL182" i="3"/>
  <c r="AL180" i="3"/>
  <c r="AL179" i="3"/>
  <c r="AL178" i="3"/>
  <c r="AL177" i="3"/>
  <c r="AL176" i="3"/>
  <c r="AL174" i="3"/>
  <c r="AL173" i="3"/>
  <c r="AL171" i="3"/>
  <c r="AL170" i="3"/>
  <c r="AL168" i="3"/>
  <c r="AL167" i="3"/>
  <c r="AL165" i="3"/>
  <c r="AL164" i="3"/>
  <c r="AL163" i="3"/>
  <c r="AL161" i="3"/>
  <c r="AL160" i="3"/>
  <c r="AL159" i="3"/>
  <c r="AL158" i="3"/>
  <c r="AL156" i="3"/>
  <c r="AL152" i="3"/>
  <c r="AL151" i="3"/>
  <c r="AL149" i="3"/>
  <c r="AL148" i="3"/>
  <c r="AL147" i="3"/>
  <c r="AL146" i="3"/>
  <c r="AL144" i="3"/>
  <c r="AL142" i="3"/>
  <c r="AL141" i="3"/>
  <c r="AL140" i="3"/>
  <c r="AL139" i="3"/>
  <c r="AL137" i="3"/>
  <c r="AL135" i="3"/>
  <c r="AL131" i="3"/>
  <c r="AL130" i="3"/>
  <c r="AL129" i="3"/>
  <c r="AL128" i="3"/>
  <c r="AL126" i="3"/>
  <c r="AL125" i="3"/>
  <c r="AL124" i="3"/>
  <c r="AL123" i="3"/>
  <c r="AL122" i="3"/>
  <c r="AL118" i="3"/>
  <c r="AI117" i="3"/>
  <c r="AF117" i="3"/>
  <c r="AC117" i="3"/>
  <c r="Z117" i="3"/>
  <c r="W117" i="3"/>
  <c r="T117" i="3"/>
  <c r="Q117" i="3"/>
  <c r="N117" i="3"/>
  <c r="K117" i="3"/>
  <c r="H117" i="3"/>
  <c r="E117" i="3"/>
  <c r="B117" i="3"/>
  <c r="AJ116" i="3"/>
  <c r="AG116" i="3"/>
  <c r="AD116" i="3"/>
  <c r="AA116" i="3"/>
  <c r="X116" i="3"/>
  <c r="U116" i="3"/>
  <c r="R116" i="3"/>
  <c r="O116" i="3"/>
  <c r="L116" i="3"/>
  <c r="I116" i="3"/>
  <c r="F116" i="3"/>
  <c r="C116" i="3"/>
  <c r="AJ115" i="3"/>
  <c r="AG115" i="3"/>
  <c r="AD115" i="3"/>
  <c r="AA115" i="3"/>
  <c r="X115" i="3"/>
  <c r="U115" i="3"/>
  <c r="R115" i="3"/>
  <c r="O115" i="3"/>
  <c r="L115" i="3"/>
  <c r="I115" i="3"/>
  <c r="F115" i="3"/>
  <c r="C115" i="3"/>
  <c r="AI115" i="3"/>
  <c r="AF115" i="3"/>
  <c r="AC115" i="3"/>
  <c r="Z115" i="3"/>
  <c r="W115" i="3"/>
  <c r="T115" i="3"/>
  <c r="Q115" i="3"/>
  <c r="N115" i="3"/>
  <c r="K115" i="3"/>
  <c r="H115" i="3"/>
  <c r="E115" i="3"/>
  <c r="B115" i="3"/>
  <c r="AJ114" i="3"/>
  <c r="AG114" i="3"/>
  <c r="AD114" i="3"/>
  <c r="AA114" i="3"/>
  <c r="X114" i="3"/>
  <c r="U114" i="3"/>
  <c r="R114" i="3"/>
  <c r="O114" i="3"/>
  <c r="L114" i="3"/>
  <c r="I114" i="3"/>
  <c r="F114" i="3"/>
  <c r="C114" i="3"/>
  <c r="AJ113" i="3"/>
  <c r="AG113" i="3"/>
  <c r="AD113" i="3"/>
  <c r="AA113" i="3"/>
  <c r="X113" i="3"/>
  <c r="U113" i="3"/>
  <c r="R113" i="3"/>
  <c r="O113" i="3"/>
  <c r="L113" i="3"/>
  <c r="I113" i="3"/>
  <c r="F113" i="3"/>
  <c r="C113" i="3"/>
  <c r="AJ112" i="3"/>
  <c r="AG112" i="3"/>
  <c r="AD112" i="3"/>
  <c r="AA112" i="3"/>
  <c r="X112" i="3"/>
  <c r="U112" i="3"/>
  <c r="R112" i="3"/>
  <c r="O112" i="3"/>
  <c r="L112" i="3"/>
  <c r="I112" i="3"/>
  <c r="F112" i="3"/>
  <c r="C112" i="3"/>
  <c r="AJ111" i="3"/>
  <c r="AG111" i="3"/>
  <c r="AD111" i="3"/>
  <c r="AA111" i="3"/>
  <c r="X111" i="3"/>
  <c r="U111" i="3"/>
  <c r="R111" i="3"/>
  <c r="O111" i="3"/>
  <c r="L111" i="3"/>
  <c r="I111" i="3"/>
  <c r="F111" i="3"/>
  <c r="C111" i="3"/>
  <c r="AJ110" i="3"/>
  <c r="AG110" i="3"/>
  <c r="AD110" i="3"/>
  <c r="AA110" i="3"/>
  <c r="X110" i="3"/>
  <c r="U110" i="3"/>
  <c r="R110" i="3"/>
  <c r="O110" i="3"/>
  <c r="L110" i="3"/>
  <c r="I110" i="3"/>
  <c r="F110" i="3"/>
  <c r="C110" i="3"/>
  <c r="AJ109" i="3"/>
  <c r="AG109" i="3"/>
  <c r="AD109" i="3"/>
  <c r="AA109" i="3"/>
  <c r="X109" i="3"/>
  <c r="U109" i="3"/>
  <c r="R109" i="3"/>
  <c r="O109" i="3"/>
  <c r="L109" i="3"/>
  <c r="I109" i="3"/>
  <c r="F109" i="3"/>
  <c r="C109" i="3"/>
  <c r="AJ108" i="3"/>
  <c r="AG108" i="3"/>
  <c r="AD108" i="3"/>
  <c r="AA108" i="3"/>
  <c r="X108" i="3"/>
  <c r="U108" i="3"/>
  <c r="R108" i="3"/>
  <c r="O108" i="3"/>
  <c r="L108" i="3"/>
  <c r="I108" i="3"/>
  <c r="F108" i="3"/>
  <c r="C108" i="3"/>
  <c r="AJ107" i="3"/>
  <c r="AG107" i="3"/>
  <c r="AD107" i="3"/>
  <c r="AA107" i="3"/>
  <c r="X107" i="3"/>
  <c r="U107" i="3"/>
  <c r="R107" i="3"/>
  <c r="O107" i="3"/>
  <c r="L107" i="3"/>
  <c r="I107" i="3"/>
  <c r="F107" i="3"/>
  <c r="C107" i="3"/>
  <c r="F106" i="3"/>
  <c r="AJ106" i="3"/>
  <c r="AG106" i="3"/>
  <c r="AD106" i="3"/>
  <c r="AA106" i="3"/>
  <c r="X106" i="3"/>
  <c r="U106" i="3"/>
  <c r="R106" i="3"/>
  <c r="O106" i="3"/>
  <c r="L106" i="3"/>
  <c r="I106" i="3"/>
  <c r="C106" i="3"/>
  <c r="AJ105" i="3"/>
  <c r="AG105" i="3"/>
  <c r="AD105" i="3"/>
  <c r="AA105" i="3"/>
  <c r="X105" i="3"/>
  <c r="U105" i="3"/>
  <c r="R105" i="3"/>
  <c r="O105" i="3"/>
  <c r="L105" i="3"/>
  <c r="I105" i="3"/>
  <c r="F105" i="3"/>
  <c r="C105" i="3"/>
  <c r="AJ104" i="3"/>
  <c r="AG104" i="3"/>
  <c r="AD104" i="3"/>
  <c r="AA104" i="3"/>
  <c r="X104" i="3"/>
  <c r="U104" i="3"/>
  <c r="R104" i="3"/>
  <c r="O104" i="3"/>
  <c r="L104" i="3"/>
  <c r="I104" i="3"/>
  <c r="F104" i="3"/>
  <c r="C104" i="3"/>
  <c r="AJ103" i="3"/>
  <c r="AG103" i="3"/>
  <c r="AD103" i="3"/>
  <c r="AA103" i="3"/>
  <c r="X103" i="3"/>
  <c r="U103" i="3"/>
  <c r="R103" i="3"/>
  <c r="O103" i="3"/>
  <c r="L103" i="3"/>
  <c r="I103" i="3"/>
  <c r="F103" i="3"/>
  <c r="C103" i="3"/>
  <c r="AJ102" i="3"/>
  <c r="AG102" i="3"/>
  <c r="AD102" i="3"/>
  <c r="AA102" i="3"/>
  <c r="X102" i="3"/>
  <c r="U102" i="3"/>
  <c r="R102" i="3"/>
  <c r="O102" i="3"/>
  <c r="L102" i="3"/>
  <c r="I102" i="3"/>
  <c r="F102" i="3"/>
  <c r="C102" i="3"/>
  <c r="AJ101" i="3"/>
  <c r="AG101" i="3"/>
  <c r="AD101" i="3"/>
  <c r="AA101" i="3"/>
  <c r="X101" i="3"/>
  <c r="U101" i="3"/>
  <c r="R101" i="3"/>
  <c r="O101" i="3"/>
  <c r="L101" i="3"/>
  <c r="I101" i="3"/>
  <c r="F101" i="3"/>
  <c r="C101" i="3"/>
  <c r="AJ100" i="3"/>
  <c r="AG100" i="3"/>
  <c r="AD100" i="3"/>
  <c r="AA100" i="3"/>
  <c r="X100" i="3"/>
  <c r="U100" i="3"/>
  <c r="R100" i="3"/>
  <c r="O100" i="3"/>
  <c r="L100" i="3"/>
  <c r="I100" i="3"/>
  <c r="F100" i="3"/>
  <c r="C100" i="3"/>
  <c r="AJ99" i="3"/>
  <c r="AG99" i="3"/>
  <c r="AD99" i="3"/>
  <c r="AA99" i="3"/>
  <c r="X99" i="3"/>
  <c r="U99" i="3"/>
  <c r="R99" i="3"/>
  <c r="O99" i="3"/>
  <c r="L99" i="3"/>
  <c r="I99" i="3"/>
  <c r="F99" i="3"/>
  <c r="C99" i="3"/>
  <c r="AJ98" i="3"/>
  <c r="AG98" i="3"/>
  <c r="AD98" i="3"/>
  <c r="AA98" i="3"/>
  <c r="X98" i="3"/>
  <c r="U98" i="3"/>
  <c r="R98" i="3"/>
  <c r="O98" i="3"/>
  <c r="L98" i="3"/>
  <c r="I98" i="3"/>
  <c r="F98" i="3"/>
  <c r="C98" i="3"/>
  <c r="AI98" i="3"/>
  <c r="AF98" i="3"/>
  <c r="AC98" i="3"/>
  <c r="Z98" i="3"/>
  <c r="W98" i="3"/>
  <c r="T98" i="3"/>
  <c r="Q98" i="3"/>
  <c r="N98" i="3"/>
  <c r="K98" i="3"/>
  <c r="H98" i="3"/>
  <c r="E98" i="3"/>
  <c r="B98" i="3"/>
  <c r="O97" i="3"/>
  <c r="AJ97" i="3"/>
  <c r="AG97" i="3"/>
  <c r="AD97" i="3"/>
  <c r="AA97" i="3"/>
  <c r="X97" i="3"/>
  <c r="U97" i="3"/>
  <c r="R97" i="3"/>
  <c r="L97" i="3"/>
  <c r="I97" i="3"/>
  <c r="F97" i="3"/>
  <c r="C97" i="3"/>
  <c r="AJ96" i="3"/>
  <c r="AG96" i="3"/>
  <c r="AD96" i="3"/>
  <c r="AA96" i="3"/>
  <c r="X96" i="3"/>
  <c r="U96" i="3"/>
  <c r="R96" i="3"/>
  <c r="O96" i="3"/>
  <c r="L96" i="3"/>
  <c r="I96" i="3"/>
  <c r="F96" i="3"/>
  <c r="C96" i="3"/>
  <c r="AJ95" i="3"/>
  <c r="AG95" i="3"/>
  <c r="AD95" i="3"/>
  <c r="AA95" i="3"/>
  <c r="X95" i="3"/>
  <c r="U95" i="3"/>
  <c r="R95" i="3"/>
  <c r="O95" i="3"/>
  <c r="L95" i="3"/>
  <c r="I95" i="3"/>
  <c r="F95" i="3"/>
  <c r="C95" i="3"/>
  <c r="AL95" i="3"/>
  <c r="AJ94" i="3"/>
  <c r="AG94" i="3"/>
  <c r="AD94" i="3"/>
  <c r="AA94" i="3"/>
  <c r="X94" i="3"/>
  <c r="U94" i="3"/>
  <c r="R94" i="3"/>
  <c r="O94" i="3"/>
  <c r="L94" i="3"/>
  <c r="I94" i="3"/>
  <c r="F94" i="3"/>
  <c r="C94" i="3"/>
  <c r="AJ93" i="3"/>
  <c r="AG93" i="3"/>
  <c r="AD93" i="3"/>
  <c r="AA93" i="3"/>
  <c r="X93" i="3"/>
  <c r="U93" i="3"/>
  <c r="R93" i="3"/>
  <c r="O93" i="3"/>
  <c r="L93" i="3"/>
  <c r="I93" i="3"/>
  <c r="F93" i="3"/>
  <c r="C93" i="3"/>
  <c r="AI93" i="3"/>
  <c r="AF93" i="3"/>
  <c r="AC93" i="3"/>
  <c r="Z93" i="3"/>
  <c r="W93" i="3"/>
  <c r="T93" i="3"/>
  <c r="Q93" i="3"/>
  <c r="N93" i="3"/>
  <c r="K93" i="3"/>
  <c r="H93" i="3"/>
  <c r="E93" i="3"/>
  <c r="B93" i="3"/>
  <c r="AJ92" i="3"/>
  <c r="AG92" i="3"/>
  <c r="AD92" i="3"/>
  <c r="AA92" i="3"/>
  <c r="X92" i="3"/>
  <c r="U92" i="3"/>
  <c r="R92" i="3"/>
  <c r="O92" i="3"/>
  <c r="L92" i="3"/>
  <c r="I92" i="3"/>
  <c r="F92" i="3"/>
  <c r="C92" i="3"/>
  <c r="AJ91" i="3"/>
  <c r="AG91" i="3"/>
  <c r="AD91" i="3"/>
  <c r="AA91" i="3"/>
  <c r="X91" i="3"/>
  <c r="U91" i="3"/>
  <c r="R91" i="3"/>
  <c r="O91" i="3"/>
  <c r="L91" i="3"/>
  <c r="I91" i="3"/>
  <c r="F91" i="3"/>
  <c r="C91" i="3"/>
  <c r="AJ90" i="3"/>
  <c r="AG90" i="3"/>
  <c r="AD90" i="3"/>
  <c r="AA90" i="3"/>
  <c r="X90" i="3"/>
  <c r="U90" i="3"/>
  <c r="R90" i="3"/>
  <c r="O90" i="3"/>
  <c r="L90" i="3"/>
  <c r="I90" i="3"/>
  <c r="F90" i="3"/>
  <c r="C90" i="3"/>
  <c r="N90" i="3"/>
  <c r="AI90" i="3"/>
  <c r="AF90" i="3"/>
  <c r="AC90" i="3"/>
  <c r="Z90" i="3"/>
  <c r="W90" i="3"/>
  <c r="T90" i="3"/>
  <c r="Q90" i="3"/>
  <c r="K90" i="3"/>
  <c r="H90" i="3"/>
  <c r="E90" i="3"/>
  <c r="B90" i="3"/>
  <c r="L89" i="3"/>
  <c r="AJ89" i="3"/>
  <c r="AG89" i="3"/>
  <c r="AD89" i="3"/>
  <c r="AA89" i="3"/>
  <c r="X89" i="3"/>
  <c r="U89" i="3"/>
  <c r="R89" i="3"/>
  <c r="O89" i="3"/>
  <c r="I89" i="3"/>
  <c r="F89" i="3"/>
  <c r="C89" i="3"/>
  <c r="AI89" i="3"/>
  <c r="AF89" i="3"/>
  <c r="AC89" i="3"/>
  <c r="Z89" i="3"/>
  <c r="W89" i="3"/>
  <c r="T89" i="3"/>
  <c r="Q89" i="3"/>
  <c r="N89" i="3"/>
  <c r="K89" i="3"/>
  <c r="H89" i="3"/>
  <c r="E89" i="3"/>
  <c r="B89" i="3"/>
  <c r="AJ88" i="3"/>
  <c r="AG88" i="3"/>
  <c r="AD88" i="3"/>
  <c r="AA88" i="3"/>
  <c r="X88" i="3"/>
  <c r="U88" i="3"/>
  <c r="R88" i="3"/>
  <c r="O88" i="3"/>
  <c r="L88" i="3"/>
  <c r="I88" i="3"/>
  <c r="F88" i="3"/>
  <c r="C88" i="3"/>
  <c r="AJ87" i="3"/>
  <c r="AG87" i="3"/>
  <c r="AD87" i="3"/>
  <c r="AA87" i="3"/>
  <c r="X87" i="3"/>
  <c r="U87" i="3"/>
  <c r="R87" i="3"/>
  <c r="O87" i="3"/>
  <c r="L87" i="3"/>
  <c r="I87" i="3"/>
  <c r="F87" i="3"/>
  <c r="C87" i="3"/>
  <c r="AI87" i="3"/>
  <c r="AF87" i="3"/>
  <c r="AC87" i="3"/>
  <c r="Z87" i="3"/>
  <c r="W87" i="3"/>
  <c r="T87" i="3"/>
  <c r="Q87" i="3"/>
  <c r="N87" i="3"/>
  <c r="K87" i="3"/>
  <c r="H87" i="3"/>
  <c r="B87" i="3"/>
  <c r="E87" i="3"/>
  <c r="AJ86" i="3"/>
  <c r="AG86" i="3"/>
  <c r="AD86" i="3"/>
  <c r="AA86" i="3"/>
  <c r="X86" i="3"/>
  <c r="U86" i="3"/>
  <c r="R86" i="3"/>
  <c r="O86" i="3"/>
  <c r="L86" i="3"/>
  <c r="I86" i="3"/>
  <c r="F86" i="3"/>
  <c r="C86" i="3"/>
  <c r="AJ85" i="3"/>
  <c r="AG85" i="3"/>
  <c r="AD85" i="3"/>
  <c r="AA85" i="3"/>
  <c r="X85" i="3"/>
  <c r="U85" i="3"/>
  <c r="R85" i="3"/>
  <c r="O85" i="3"/>
  <c r="L85" i="3"/>
  <c r="I85" i="3"/>
  <c r="F85" i="3"/>
  <c r="C85" i="3"/>
  <c r="AI85" i="3"/>
  <c r="AF85" i="3"/>
  <c r="AC85" i="3"/>
  <c r="Z85" i="3"/>
  <c r="W85" i="3"/>
  <c r="T85" i="3"/>
  <c r="Q85" i="3"/>
  <c r="N85" i="3"/>
  <c r="K85" i="3"/>
  <c r="H85" i="3"/>
  <c r="E85" i="3"/>
  <c r="B85" i="3"/>
  <c r="AJ84" i="3"/>
  <c r="AG84" i="3"/>
  <c r="AD84" i="3"/>
  <c r="AA84" i="3"/>
  <c r="X84" i="3"/>
  <c r="U84" i="3"/>
  <c r="R84" i="3"/>
  <c r="O84" i="3"/>
  <c r="L84" i="3"/>
  <c r="I84" i="3"/>
  <c r="F84" i="3"/>
  <c r="C84" i="3"/>
  <c r="I83" i="3"/>
  <c r="AJ83" i="3"/>
  <c r="AG83" i="3"/>
  <c r="AD83" i="3"/>
  <c r="AA83" i="3"/>
  <c r="X83" i="3"/>
  <c r="U83" i="3"/>
  <c r="R83" i="3"/>
  <c r="O83" i="3"/>
  <c r="L83" i="3"/>
  <c r="F83" i="3"/>
  <c r="C83" i="3"/>
  <c r="AI83" i="3"/>
  <c r="AF83" i="3"/>
  <c r="AC83" i="3"/>
  <c r="Z83" i="3"/>
  <c r="W83" i="3"/>
  <c r="AL83" i="3" s="1"/>
  <c r="AJ82" i="3"/>
  <c r="AG82" i="3"/>
  <c r="AD82" i="3"/>
  <c r="O82" i="3"/>
  <c r="AA82" i="3"/>
  <c r="X82" i="3"/>
  <c r="U82" i="3"/>
  <c r="R82" i="3"/>
  <c r="L82" i="3"/>
  <c r="I82" i="3"/>
  <c r="F82" i="3"/>
  <c r="C82" i="3"/>
  <c r="AJ81" i="3"/>
  <c r="AG81" i="3"/>
  <c r="AD81" i="3"/>
  <c r="AA81" i="3"/>
  <c r="X81" i="3"/>
  <c r="U81" i="3"/>
  <c r="R81" i="3"/>
  <c r="O81" i="3"/>
  <c r="L81" i="3"/>
  <c r="I81" i="3"/>
  <c r="F81" i="3"/>
  <c r="C81" i="3"/>
  <c r="AJ80" i="3"/>
  <c r="AG80" i="3"/>
  <c r="AD80" i="3"/>
  <c r="AA80" i="3"/>
  <c r="X80" i="3"/>
  <c r="U80" i="3"/>
  <c r="R80" i="3"/>
  <c r="O80" i="3"/>
  <c r="L80" i="3"/>
  <c r="I80" i="3"/>
  <c r="F80" i="3"/>
  <c r="C80" i="3"/>
  <c r="AJ79" i="3"/>
  <c r="AG79" i="3"/>
  <c r="AD79" i="3"/>
  <c r="AA79" i="3"/>
  <c r="X79" i="3"/>
  <c r="U79" i="3"/>
  <c r="R79" i="3"/>
  <c r="O79" i="3"/>
  <c r="L79" i="3"/>
  <c r="I79" i="3"/>
  <c r="F79" i="3"/>
  <c r="C79" i="3"/>
  <c r="AJ78" i="3"/>
  <c r="AG78" i="3"/>
  <c r="AD78" i="3"/>
  <c r="AA78" i="3"/>
  <c r="X78" i="3"/>
  <c r="U78" i="3"/>
  <c r="R78" i="3"/>
  <c r="O78" i="3"/>
  <c r="L78" i="3"/>
  <c r="I78" i="3"/>
  <c r="F78" i="3"/>
  <c r="C78" i="3"/>
  <c r="AJ77" i="3"/>
  <c r="AG77" i="3"/>
  <c r="AD77" i="3"/>
  <c r="AA77" i="3"/>
  <c r="X77" i="3"/>
  <c r="U77" i="3"/>
  <c r="R77" i="3"/>
  <c r="O77" i="3"/>
  <c r="L77" i="3"/>
  <c r="I77" i="3"/>
  <c r="F77" i="3"/>
  <c r="C77" i="3"/>
  <c r="AJ76" i="3"/>
  <c r="AG76" i="3"/>
  <c r="AD76" i="3"/>
  <c r="AA76" i="3"/>
  <c r="X76" i="3"/>
  <c r="U76" i="3"/>
  <c r="R76" i="3"/>
  <c r="O76" i="3"/>
  <c r="L76" i="3"/>
  <c r="I76" i="3"/>
  <c r="F76" i="3"/>
  <c r="C76" i="3"/>
  <c r="AJ75" i="3"/>
  <c r="AG75" i="3"/>
  <c r="AD75" i="3"/>
  <c r="AA75" i="3"/>
  <c r="X75" i="3"/>
  <c r="U75" i="3"/>
  <c r="R75" i="3"/>
  <c r="O75" i="3"/>
  <c r="L75" i="3"/>
  <c r="I75" i="3"/>
  <c r="F75" i="3"/>
  <c r="C75" i="3"/>
  <c r="AJ74" i="3"/>
  <c r="AG74" i="3"/>
  <c r="AD74" i="3"/>
  <c r="AA74" i="3"/>
  <c r="X74" i="3"/>
  <c r="U74" i="3"/>
  <c r="R74" i="3"/>
  <c r="O74" i="3"/>
  <c r="L74" i="3"/>
  <c r="I74" i="3"/>
  <c r="F74" i="3"/>
  <c r="C74" i="3"/>
  <c r="AJ73" i="3"/>
  <c r="AG73" i="3"/>
  <c r="AD73" i="3"/>
  <c r="AA73" i="3"/>
  <c r="X73" i="3"/>
  <c r="U73" i="3"/>
  <c r="R73" i="3"/>
  <c r="O73" i="3"/>
  <c r="L73" i="3"/>
  <c r="I73" i="3"/>
  <c r="F73" i="3"/>
  <c r="C73" i="3"/>
  <c r="AJ72" i="3"/>
  <c r="AG72" i="3"/>
  <c r="AD72" i="3"/>
  <c r="AA72" i="3"/>
  <c r="X72" i="3"/>
  <c r="U72" i="3"/>
  <c r="R72" i="3"/>
  <c r="O72" i="3"/>
  <c r="L72" i="3"/>
  <c r="I72" i="3"/>
  <c r="F72" i="3"/>
  <c r="C72" i="3"/>
  <c r="AJ71" i="3"/>
  <c r="AG71" i="3"/>
  <c r="AD71" i="3"/>
  <c r="AA71" i="3"/>
  <c r="X71" i="3"/>
  <c r="U71" i="3"/>
  <c r="R71" i="3"/>
  <c r="O71" i="3"/>
  <c r="L71" i="3"/>
  <c r="I71" i="3"/>
  <c r="F71" i="3"/>
  <c r="C71" i="3"/>
  <c r="AJ70" i="3"/>
  <c r="AG70" i="3"/>
  <c r="AD70" i="3"/>
  <c r="AA70" i="3"/>
  <c r="X70" i="3"/>
  <c r="U70" i="3"/>
  <c r="R70" i="3"/>
  <c r="O70" i="3"/>
  <c r="L70" i="3"/>
  <c r="I70" i="3"/>
  <c r="F70" i="3"/>
  <c r="C70" i="3"/>
  <c r="AI70" i="3"/>
  <c r="AF70" i="3"/>
  <c r="AC70" i="3"/>
  <c r="Z70" i="3"/>
  <c r="W70" i="3"/>
  <c r="T70" i="3"/>
  <c r="Q70" i="3"/>
  <c r="N70" i="3"/>
  <c r="K70" i="3"/>
  <c r="H70" i="3"/>
  <c r="E70" i="3"/>
  <c r="B70" i="3"/>
  <c r="AJ69" i="3"/>
  <c r="AG69" i="3"/>
  <c r="AD69" i="3"/>
  <c r="AA69" i="3"/>
  <c r="X69" i="3"/>
  <c r="U69" i="3"/>
  <c r="R69" i="3"/>
  <c r="O69" i="3"/>
  <c r="L69" i="3"/>
  <c r="I69" i="3"/>
  <c r="F69" i="3"/>
  <c r="C69" i="3"/>
  <c r="AJ68" i="3"/>
  <c r="AG68" i="3"/>
  <c r="AD68" i="3"/>
  <c r="AA68" i="3"/>
  <c r="X68" i="3"/>
  <c r="U68" i="3"/>
  <c r="R68" i="3"/>
  <c r="O68" i="3"/>
  <c r="L68" i="3"/>
  <c r="I68" i="3"/>
  <c r="F68" i="3"/>
  <c r="C68" i="3"/>
  <c r="AI68" i="3"/>
  <c r="AF68" i="3"/>
  <c r="AC68" i="3"/>
  <c r="Z68" i="3"/>
  <c r="W68" i="3"/>
  <c r="T68" i="3"/>
  <c r="Q68" i="3"/>
  <c r="N68" i="3"/>
  <c r="K68" i="3"/>
  <c r="H68" i="3"/>
  <c r="E68" i="3"/>
  <c r="B68" i="3"/>
  <c r="C67" i="3"/>
  <c r="AJ67" i="3"/>
  <c r="AG67" i="3"/>
  <c r="AD67" i="3"/>
  <c r="AA67" i="3"/>
  <c r="X67" i="3"/>
  <c r="U67" i="3"/>
  <c r="R67" i="3"/>
  <c r="O67" i="3"/>
  <c r="L67" i="3"/>
  <c r="I67" i="3"/>
  <c r="F67" i="3"/>
  <c r="AJ66" i="3"/>
  <c r="AG66" i="3"/>
  <c r="AD66" i="3"/>
  <c r="AA66" i="3"/>
  <c r="X66" i="3"/>
  <c r="U66" i="3"/>
  <c r="R66" i="3"/>
  <c r="O66" i="3"/>
  <c r="L66" i="3"/>
  <c r="I66" i="3"/>
  <c r="F66" i="3"/>
  <c r="C66" i="3"/>
  <c r="AJ65" i="3"/>
  <c r="AG65" i="3"/>
  <c r="AD65" i="3"/>
  <c r="AA65" i="3"/>
  <c r="X65" i="3"/>
  <c r="U65" i="3"/>
  <c r="R65" i="3"/>
  <c r="O65" i="3"/>
  <c r="L65" i="3"/>
  <c r="I65" i="3"/>
  <c r="F65" i="3"/>
  <c r="C65" i="3"/>
  <c r="AI65" i="3"/>
  <c r="AF65" i="3"/>
  <c r="AC65" i="3"/>
  <c r="Z65" i="3"/>
  <c r="W65" i="3"/>
  <c r="T65" i="3"/>
  <c r="Q65" i="3"/>
  <c r="N65" i="3"/>
  <c r="K65" i="3"/>
  <c r="H65" i="3"/>
  <c r="E65" i="3"/>
  <c r="B65" i="3"/>
  <c r="AJ64" i="3"/>
  <c r="AG64" i="3"/>
  <c r="AD64" i="3"/>
  <c r="AA64" i="3"/>
  <c r="X64" i="3"/>
  <c r="U64" i="3"/>
  <c r="R64" i="3"/>
  <c r="L64" i="3"/>
  <c r="O64" i="3"/>
  <c r="I64" i="3"/>
  <c r="F64" i="3"/>
  <c r="C64" i="3"/>
  <c r="AI64" i="3"/>
  <c r="AF64" i="3"/>
  <c r="AC64" i="3"/>
  <c r="Z64" i="3"/>
  <c r="W64" i="3"/>
  <c r="T64" i="3"/>
  <c r="Q64" i="3"/>
  <c r="N64" i="3"/>
  <c r="K64" i="3"/>
  <c r="H64" i="3"/>
  <c r="E64" i="3"/>
  <c r="B64" i="3"/>
  <c r="R63" i="3"/>
  <c r="AJ63" i="3"/>
  <c r="AG63" i="3"/>
  <c r="AD63" i="3"/>
  <c r="AA63" i="3"/>
  <c r="X63" i="3"/>
  <c r="U63" i="3"/>
  <c r="Q63" i="3"/>
  <c r="O63" i="3"/>
  <c r="L63" i="3"/>
  <c r="I63" i="3"/>
  <c r="F63" i="3"/>
  <c r="C63" i="3"/>
  <c r="AI63" i="3"/>
  <c r="AF63" i="3"/>
  <c r="AC63" i="3"/>
  <c r="Z63" i="3"/>
  <c r="W63" i="3"/>
  <c r="T63" i="3"/>
  <c r="N63" i="3"/>
  <c r="K63" i="3"/>
  <c r="H63" i="3"/>
  <c r="E63" i="3"/>
  <c r="B63" i="3"/>
  <c r="AJ62" i="3"/>
  <c r="AG62" i="3"/>
  <c r="AD62" i="3"/>
  <c r="AA62" i="3"/>
  <c r="X62" i="3"/>
  <c r="U62" i="3"/>
  <c r="R62" i="3"/>
  <c r="O62" i="3"/>
  <c r="L62" i="3"/>
  <c r="I62" i="3"/>
  <c r="F62" i="3"/>
  <c r="C62" i="3"/>
  <c r="AI62" i="3"/>
  <c r="AF62" i="3"/>
  <c r="AC62" i="3"/>
  <c r="Z62" i="3"/>
  <c r="W62" i="3"/>
  <c r="T62" i="3"/>
  <c r="Q62" i="3"/>
  <c r="N62" i="3"/>
  <c r="K62" i="3"/>
  <c r="H62" i="3"/>
  <c r="E62" i="3"/>
  <c r="B62" i="3"/>
  <c r="AJ61" i="3"/>
  <c r="AG61" i="3"/>
  <c r="AD61" i="3"/>
  <c r="AA61" i="3"/>
  <c r="X61" i="3"/>
  <c r="U61" i="3"/>
  <c r="R61" i="3"/>
  <c r="O61" i="3"/>
  <c r="L61" i="3"/>
  <c r="I61" i="3"/>
  <c r="F61" i="3"/>
  <c r="C61" i="3"/>
  <c r="AJ60" i="3"/>
  <c r="AG60" i="3"/>
  <c r="AD60" i="3"/>
  <c r="AA60" i="3"/>
  <c r="X60" i="3"/>
  <c r="U60" i="3"/>
  <c r="R60" i="3"/>
  <c r="O60" i="3"/>
  <c r="L60" i="3"/>
  <c r="I60" i="3"/>
  <c r="F60" i="3"/>
  <c r="C60" i="3"/>
  <c r="AJ59" i="3"/>
  <c r="AG59" i="3"/>
  <c r="AD59" i="3"/>
  <c r="AA59" i="3"/>
  <c r="X59" i="3"/>
  <c r="U59" i="3"/>
  <c r="R59" i="3"/>
  <c r="O59" i="3"/>
  <c r="L59" i="3"/>
  <c r="I59" i="3"/>
  <c r="F59" i="3"/>
  <c r="C59" i="3"/>
  <c r="AJ58" i="3"/>
  <c r="AG58" i="3"/>
  <c r="AD58" i="3"/>
  <c r="AA58" i="3"/>
  <c r="X58" i="3"/>
  <c r="U58" i="3"/>
  <c r="R58" i="3"/>
  <c r="O58" i="3"/>
  <c r="L58" i="3"/>
  <c r="I58" i="3"/>
  <c r="F58" i="3"/>
  <c r="C58" i="3"/>
  <c r="AI58" i="3"/>
  <c r="AF58" i="3"/>
  <c r="AC58" i="3"/>
  <c r="Z58" i="3"/>
  <c r="W58" i="3"/>
  <c r="T58" i="3"/>
  <c r="Q58" i="3"/>
  <c r="N58" i="3"/>
  <c r="K58" i="3"/>
  <c r="H58" i="3"/>
  <c r="E58" i="3"/>
  <c r="B58" i="3"/>
  <c r="AJ57" i="3"/>
  <c r="AG57" i="3"/>
  <c r="AD57" i="3"/>
  <c r="AA57" i="3"/>
  <c r="X57" i="3"/>
  <c r="U57" i="3"/>
  <c r="R57" i="3"/>
  <c r="O57" i="3"/>
  <c r="L57" i="3"/>
  <c r="I57" i="3"/>
  <c r="F57" i="3"/>
  <c r="C57" i="3"/>
  <c r="AJ56" i="3"/>
  <c r="AG56" i="3"/>
  <c r="AD56" i="3"/>
  <c r="AA56" i="3"/>
  <c r="X56" i="3"/>
  <c r="U56" i="3"/>
  <c r="R56" i="3"/>
  <c r="O56" i="3"/>
  <c r="L56" i="3"/>
  <c r="I56" i="3"/>
  <c r="F56" i="3"/>
  <c r="C56" i="3"/>
  <c r="AJ55" i="3"/>
  <c r="AG55" i="3"/>
  <c r="AD55" i="3"/>
  <c r="AA55" i="3"/>
  <c r="X55" i="3"/>
  <c r="U55" i="3"/>
  <c r="R55" i="3"/>
  <c r="O55" i="3"/>
  <c r="L55" i="3"/>
  <c r="I55" i="3"/>
  <c r="F55" i="3"/>
  <c r="C55" i="3"/>
  <c r="AJ54" i="3"/>
  <c r="AG54" i="3"/>
  <c r="AD54" i="3"/>
  <c r="AA54" i="3"/>
  <c r="X54" i="3"/>
  <c r="U54" i="3"/>
  <c r="R54" i="3"/>
  <c r="O54" i="3"/>
  <c r="L54" i="3"/>
  <c r="I54" i="3"/>
  <c r="F54" i="3"/>
  <c r="C54" i="3"/>
  <c r="AJ53" i="3"/>
  <c r="AG53" i="3"/>
  <c r="AD53" i="3"/>
  <c r="AA53" i="3"/>
  <c r="X53" i="3"/>
  <c r="U53" i="3"/>
  <c r="R53" i="3"/>
  <c r="O53" i="3"/>
  <c r="L53" i="3"/>
  <c r="I53" i="3"/>
  <c r="F53" i="3"/>
  <c r="C53" i="3"/>
  <c r="AJ52" i="3"/>
  <c r="AG52" i="3"/>
  <c r="AD52" i="3"/>
  <c r="AA52" i="3"/>
  <c r="X52" i="3"/>
  <c r="U52" i="3"/>
  <c r="R52" i="3"/>
  <c r="O52" i="3"/>
  <c r="L52" i="3"/>
  <c r="I52" i="3"/>
  <c r="F52" i="3"/>
  <c r="C52" i="3"/>
  <c r="AJ51" i="3"/>
  <c r="AG51" i="3"/>
  <c r="AD51" i="3"/>
  <c r="AA51" i="3"/>
  <c r="X51" i="3"/>
  <c r="U51" i="3"/>
  <c r="R51" i="3"/>
  <c r="O51" i="3"/>
  <c r="L51" i="3"/>
  <c r="I51" i="3"/>
  <c r="F51" i="3"/>
  <c r="C51" i="3"/>
  <c r="AJ50" i="3"/>
  <c r="AG50" i="3"/>
  <c r="AD50" i="3"/>
  <c r="AA50" i="3"/>
  <c r="X50" i="3"/>
  <c r="U50" i="3"/>
  <c r="R50" i="3"/>
  <c r="O50" i="3"/>
  <c r="L50" i="3"/>
  <c r="I50" i="3"/>
  <c r="F50" i="3"/>
  <c r="C50" i="3"/>
  <c r="AJ49" i="3"/>
  <c r="AG49" i="3"/>
  <c r="AD49" i="3"/>
  <c r="AA49" i="3"/>
  <c r="X49" i="3"/>
  <c r="U49" i="3"/>
  <c r="R49" i="3"/>
  <c r="O49" i="3"/>
  <c r="L49" i="3"/>
  <c r="I49" i="3"/>
  <c r="F49" i="3"/>
  <c r="C49" i="3"/>
  <c r="AJ48" i="3"/>
  <c r="AG48" i="3"/>
  <c r="AD48" i="3"/>
  <c r="AA48" i="3"/>
  <c r="X48" i="3"/>
  <c r="U48" i="3"/>
  <c r="R48" i="3"/>
  <c r="O48" i="3"/>
  <c r="L48" i="3"/>
  <c r="I48" i="3"/>
  <c r="F48" i="3"/>
  <c r="C48" i="3"/>
  <c r="AJ47" i="3"/>
  <c r="AG47" i="3"/>
  <c r="AD47" i="3"/>
  <c r="AA47" i="3"/>
  <c r="X47" i="3"/>
  <c r="U47" i="3"/>
  <c r="R47" i="3"/>
  <c r="O47" i="3"/>
  <c r="L47" i="3"/>
  <c r="I47" i="3"/>
  <c r="F47" i="3"/>
  <c r="C47" i="3"/>
  <c r="AJ46" i="3"/>
  <c r="AG46" i="3"/>
  <c r="AD46" i="3"/>
  <c r="AA46" i="3"/>
  <c r="X46" i="3"/>
  <c r="U46" i="3"/>
  <c r="R46" i="3"/>
  <c r="O46" i="3"/>
  <c r="L46" i="3"/>
  <c r="I46" i="3"/>
  <c r="F46" i="3"/>
  <c r="C46" i="3"/>
  <c r="AJ45" i="3"/>
  <c r="AG45" i="3"/>
  <c r="AD45" i="3"/>
  <c r="AA45" i="3"/>
  <c r="X45" i="3"/>
  <c r="U45" i="3"/>
  <c r="R45" i="3"/>
  <c r="O45" i="3"/>
  <c r="L45" i="3"/>
  <c r="I45" i="3"/>
  <c r="F45" i="3"/>
  <c r="C45" i="3"/>
  <c r="AI45" i="3"/>
  <c r="AF45" i="3"/>
  <c r="AC45" i="3"/>
  <c r="Z45" i="3"/>
  <c r="W45" i="3"/>
  <c r="T45" i="3"/>
  <c r="Q45" i="3"/>
  <c r="N45" i="3"/>
  <c r="K45" i="3"/>
  <c r="H45" i="3"/>
  <c r="E45" i="3"/>
  <c r="B45" i="3"/>
  <c r="AJ44" i="3"/>
  <c r="AG44" i="3"/>
  <c r="AD44" i="3"/>
  <c r="AA44" i="3"/>
  <c r="X44" i="3"/>
  <c r="U44" i="3"/>
  <c r="R44" i="3"/>
  <c r="O44" i="3"/>
  <c r="L44" i="3"/>
  <c r="I44" i="3"/>
  <c r="F44" i="3"/>
  <c r="C44" i="3"/>
  <c r="AJ43" i="3"/>
  <c r="AG43" i="3"/>
  <c r="AD43" i="3"/>
  <c r="AA43" i="3"/>
  <c r="X43" i="3"/>
  <c r="U43" i="3"/>
  <c r="R43" i="3"/>
  <c r="O43" i="3"/>
  <c r="L43" i="3"/>
  <c r="I43" i="3"/>
  <c r="F43" i="3"/>
  <c r="C43" i="3"/>
  <c r="AI43" i="3"/>
  <c r="AF43" i="3"/>
  <c r="AC43" i="3"/>
  <c r="Z43" i="3"/>
  <c r="W43" i="3"/>
  <c r="T43" i="3"/>
  <c r="Q43" i="3"/>
  <c r="N43" i="3"/>
  <c r="K43" i="3"/>
  <c r="H43" i="3"/>
  <c r="E43" i="3"/>
  <c r="B43" i="3"/>
  <c r="AG42" i="3"/>
  <c r="AJ42" i="3"/>
  <c r="AD42" i="3"/>
  <c r="AA42" i="3"/>
  <c r="X42" i="3"/>
  <c r="U42" i="3"/>
  <c r="R42" i="3"/>
  <c r="O42" i="3"/>
  <c r="L42" i="3"/>
  <c r="I42" i="3"/>
  <c r="F42" i="3"/>
  <c r="C42" i="3"/>
  <c r="AI42" i="3"/>
  <c r="AF42" i="3"/>
  <c r="AC42" i="3"/>
  <c r="Z42" i="3"/>
  <c r="W42" i="3"/>
  <c r="T42" i="3"/>
  <c r="Q42" i="3"/>
  <c r="N42" i="3"/>
  <c r="K42" i="3"/>
  <c r="H42" i="3"/>
  <c r="E42" i="3"/>
  <c r="B42" i="3"/>
  <c r="AJ41" i="3"/>
  <c r="I41" i="3"/>
  <c r="AG41" i="3"/>
  <c r="AD41" i="3"/>
  <c r="AA41" i="3"/>
  <c r="X41" i="3"/>
  <c r="U41" i="3"/>
  <c r="R41" i="3"/>
  <c r="O41" i="3"/>
  <c r="L41" i="3"/>
  <c r="F41" i="3"/>
  <c r="C41" i="3"/>
  <c r="AI41" i="3"/>
  <c r="AF41" i="3"/>
  <c r="AC41" i="3"/>
  <c r="Z41" i="3"/>
  <c r="W41" i="3"/>
  <c r="T41" i="3"/>
  <c r="Q41" i="3"/>
  <c r="N41" i="3"/>
  <c r="K41" i="3"/>
  <c r="H41" i="3"/>
  <c r="E41" i="3"/>
  <c r="B41" i="3"/>
  <c r="AJ40" i="3"/>
  <c r="AG40" i="3"/>
  <c r="AD40" i="3"/>
  <c r="AA40" i="3"/>
  <c r="X40" i="3"/>
  <c r="U40" i="3"/>
  <c r="R40" i="3"/>
  <c r="O40" i="3"/>
  <c r="L40" i="3"/>
  <c r="I40" i="3"/>
  <c r="F40" i="3"/>
  <c r="C40" i="3"/>
  <c r="X39" i="3"/>
  <c r="U39" i="3"/>
  <c r="AJ39" i="3"/>
  <c r="AG39" i="3"/>
  <c r="AD39" i="3"/>
  <c r="AA39" i="3"/>
  <c r="R39" i="3"/>
  <c r="O39" i="3"/>
  <c r="L39" i="3"/>
  <c r="I39" i="3"/>
  <c r="F39" i="3"/>
  <c r="C39" i="3"/>
  <c r="AA38" i="3"/>
  <c r="AJ38" i="3"/>
  <c r="AG38" i="3"/>
  <c r="AD38" i="3"/>
  <c r="X38" i="3"/>
  <c r="U38" i="3"/>
  <c r="R38" i="3"/>
  <c r="O38" i="3"/>
  <c r="L38" i="3"/>
  <c r="I38" i="3"/>
  <c r="F38" i="3"/>
  <c r="C38" i="3"/>
  <c r="AJ37" i="3"/>
  <c r="AG37" i="3"/>
  <c r="AD37" i="3"/>
  <c r="AA37" i="3"/>
  <c r="X37" i="3"/>
  <c r="U37" i="3"/>
  <c r="R37" i="3"/>
  <c r="O37" i="3"/>
  <c r="L37" i="3"/>
  <c r="I37" i="3"/>
  <c r="F37" i="3"/>
  <c r="C37" i="3"/>
  <c r="AL116" i="3"/>
  <c r="AL114" i="3"/>
  <c r="AL113" i="3"/>
  <c r="AL112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7" i="3"/>
  <c r="AL96" i="3"/>
  <c r="AL94" i="3"/>
  <c r="AL92" i="3"/>
  <c r="AL91" i="3"/>
  <c r="AL88" i="3"/>
  <c r="AL86" i="3"/>
  <c r="AL84" i="3"/>
  <c r="AL81" i="3"/>
  <c r="AL80" i="3"/>
  <c r="AL79" i="3"/>
  <c r="AL78" i="3"/>
  <c r="AL77" i="3"/>
  <c r="AL76" i="3"/>
  <c r="AL75" i="3"/>
  <c r="AL74" i="3"/>
  <c r="AL73" i="3"/>
  <c r="AL72" i="3"/>
  <c r="AL71" i="3"/>
  <c r="AL69" i="3"/>
  <c r="AL67" i="3"/>
  <c r="AL66" i="3"/>
  <c r="AL61" i="3"/>
  <c r="AL60" i="3"/>
  <c r="AL59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4" i="3"/>
  <c r="AL40" i="3"/>
  <c r="AL39" i="3"/>
  <c r="AL38" i="3"/>
  <c r="AI37" i="3"/>
  <c r="AF37" i="3"/>
  <c r="AC37" i="3"/>
  <c r="Z37" i="3"/>
  <c r="W37" i="3"/>
  <c r="T37" i="3"/>
  <c r="Q37" i="3"/>
  <c r="N37" i="3"/>
  <c r="K37" i="3"/>
  <c r="H37" i="3"/>
  <c r="E37" i="3"/>
  <c r="B37" i="3"/>
  <c r="AJ36" i="3"/>
  <c r="AG36" i="3"/>
  <c r="AD36" i="3"/>
  <c r="AA36" i="3"/>
  <c r="X36" i="3"/>
  <c r="U36" i="3"/>
  <c r="R36" i="3"/>
  <c r="O36" i="3"/>
  <c r="L36" i="3"/>
  <c r="I36" i="3"/>
  <c r="F36" i="3"/>
  <c r="C36" i="3"/>
  <c r="AJ35" i="3"/>
  <c r="AG35" i="3"/>
  <c r="AD35" i="3"/>
  <c r="AA35" i="3"/>
  <c r="X35" i="3"/>
  <c r="U35" i="3"/>
  <c r="R35" i="3"/>
  <c r="O35" i="3"/>
  <c r="L35" i="3"/>
  <c r="I35" i="3"/>
  <c r="F35" i="3"/>
  <c r="C35" i="3"/>
  <c r="AJ34" i="3"/>
  <c r="AG34" i="3"/>
  <c r="AD34" i="3"/>
  <c r="AA34" i="3"/>
  <c r="X34" i="3"/>
  <c r="U34" i="3"/>
  <c r="R34" i="3"/>
  <c r="O34" i="3"/>
  <c r="L34" i="3"/>
  <c r="I34" i="3"/>
  <c r="F34" i="3"/>
  <c r="C34" i="3"/>
  <c r="AJ33" i="3"/>
  <c r="AG33" i="3"/>
  <c r="AD33" i="3"/>
  <c r="AA33" i="3"/>
  <c r="X33" i="3"/>
  <c r="U33" i="3"/>
  <c r="R33" i="3"/>
  <c r="O33" i="3"/>
  <c r="L33" i="3"/>
  <c r="I33" i="3"/>
  <c r="F33" i="3"/>
  <c r="C33" i="3"/>
  <c r="AJ32" i="3"/>
  <c r="AG32" i="3"/>
  <c r="AD32" i="3"/>
  <c r="AA32" i="3"/>
  <c r="X32" i="3"/>
  <c r="U32" i="3"/>
  <c r="R32" i="3"/>
  <c r="O32" i="3"/>
  <c r="L32" i="3"/>
  <c r="I32" i="3"/>
  <c r="F32" i="3"/>
  <c r="C32" i="3"/>
  <c r="AI32" i="3"/>
  <c r="AF32" i="3"/>
  <c r="AC32" i="3"/>
  <c r="Z32" i="3"/>
  <c r="W32" i="3"/>
  <c r="T32" i="3"/>
  <c r="Q32" i="3"/>
  <c r="N32" i="3"/>
  <c r="K32" i="3"/>
  <c r="H32" i="3"/>
  <c r="E32" i="3"/>
  <c r="B32" i="3"/>
  <c r="AJ31" i="3"/>
  <c r="AG31" i="3"/>
  <c r="AD31" i="3"/>
  <c r="AA31" i="3"/>
  <c r="X31" i="3"/>
  <c r="U31" i="3"/>
  <c r="R31" i="3"/>
  <c r="O31" i="3"/>
  <c r="L31" i="3"/>
  <c r="I31" i="3"/>
  <c r="F31" i="3"/>
  <c r="C31" i="3"/>
  <c r="AJ30" i="3"/>
  <c r="AG30" i="3"/>
  <c r="AD30" i="3"/>
  <c r="AA30" i="3"/>
  <c r="X30" i="3"/>
  <c r="U30" i="3"/>
  <c r="R30" i="3"/>
  <c r="O30" i="3"/>
  <c r="L30" i="3"/>
  <c r="I30" i="3"/>
  <c r="F30" i="3"/>
  <c r="C30" i="3"/>
  <c r="F29" i="3"/>
  <c r="AJ29" i="3"/>
  <c r="AG29" i="3"/>
  <c r="AD29" i="3"/>
  <c r="AA29" i="3"/>
  <c r="X29" i="3"/>
  <c r="U29" i="3"/>
  <c r="R29" i="3"/>
  <c r="O29" i="3"/>
  <c r="L29" i="3"/>
  <c r="I29" i="3"/>
  <c r="C29" i="3"/>
  <c r="AJ28" i="3"/>
  <c r="AG28" i="3"/>
  <c r="AD28" i="3"/>
  <c r="AA28" i="3"/>
  <c r="X28" i="3"/>
  <c r="U28" i="3"/>
  <c r="R28" i="3"/>
  <c r="O28" i="3"/>
  <c r="L28" i="3"/>
  <c r="I28" i="3"/>
  <c r="F28" i="3"/>
  <c r="C28" i="3"/>
  <c r="AJ27" i="3"/>
  <c r="AG27" i="3"/>
  <c r="AD27" i="3"/>
  <c r="AA27" i="3"/>
  <c r="X27" i="3"/>
  <c r="U27" i="3"/>
  <c r="R27" i="3"/>
  <c r="O27" i="3"/>
  <c r="L27" i="3"/>
  <c r="I27" i="3"/>
  <c r="F27" i="3"/>
  <c r="C27" i="3"/>
  <c r="L26" i="3"/>
  <c r="AJ26" i="3"/>
  <c r="AG26" i="3"/>
  <c r="AD26" i="3"/>
  <c r="AA26" i="3"/>
  <c r="X26" i="3"/>
  <c r="U26" i="3"/>
  <c r="R26" i="3"/>
  <c r="O26" i="3"/>
  <c r="I26" i="3"/>
  <c r="F26" i="3"/>
  <c r="C26" i="3"/>
  <c r="C25" i="3"/>
  <c r="AJ25" i="3"/>
  <c r="AG25" i="3"/>
  <c r="AD25" i="3"/>
  <c r="AA25" i="3"/>
  <c r="X25" i="3"/>
  <c r="U25" i="3"/>
  <c r="R25" i="3"/>
  <c r="O25" i="3"/>
  <c r="L25" i="3"/>
  <c r="I25" i="3"/>
  <c r="F25" i="3"/>
  <c r="Q25" i="3"/>
  <c r="AI25" i="3"/>
  <c r="AF25" i="3"/>
  <c r="AC25" i="3"/>
  <c r="Z25" i="3"/>
  <c r="W25" i="3"/>
  <c r="T25" i="3"/>
  <c r="N25" i="3"/>
  <c r="K25" i="3"/>
  <c r="H25" i="3"/>
  <c r="E25" i="3"/>
  <c r="B25" i="3"/>
  <c r="AJ24" i="3"/>
  <c r="AG24" i="3"/>
  <c r="AD24" i="3"/>
  <c r="AA24" i="3"/>
  <c r="X24" i="3"/>
  <c r="U24" i="3"/>
  <c r="R24" i="3"/>
  <c r="O24" i="3"/>
  <c r="L24" i="3"/>
  <c r="I24" i="3"/>
  <c r="F24" i="3"/>
  <c r="C24" i="3"/>
  <c r="AJ23" i="3"/>
  <c r="AG23" i="3"/>
  <c r="AD23" i="3"/>
  <c r="AA23" i="3"/>
  <c r="X23" i="3"/>
  <c r="U23" i="3"/>
  <c r="R23" i="3"/>
  <c r="O23" i="3"/>
  <c r="L23" i="3"/>
  <c r="I23" i="3"/>
  <c r="F23" i="3"/>
  <c r="C23" i="3"/>
  <c r="AJ22" i="3"/>
  <c r="AG22" i="3"/>
  <c r="AD22" i="3"/>
  <c r="AA22" i="3"/>
  <c r="X22" i="3"/>
  <c r="U22" i="3"/>
  <c r="R22" i="3"/>
  <c r="O22" i="3"/>
  <c r="L22" i="3"/>
  <c r="I22" i="3"/>
  <c r="F22" i="3"/>
  <c r="C22" i="3"/>
  <c r="AJ21" i="3"/>
  <c r="AG21" i="3"/>
  <c r="AD21" i="3"/>
  <c r="AA21" i="3"/>
  <c r="X21" i="3"/>
  <c r="U21" i="3"/>
  <c r="R21" i="3"/>
  <c r="O21" i="3"/>
  <c r="L21" i="3"/>
  <c r="I21" i="3"/>
  <c r="F21" i="3"/>
  <c r="C21" i="3"/>
  <c r="AJ20" i="3"/>
  <c r="AG20" i="3"/>
  <c r="AD20" i="3"/>
  <c r="AA20" i="3"/>
  <c r="X20" i="3"/>
  <c r="U20" i="3"/>
  <c r="R20" i="3"/>
  <c r="O20" i="3"/>
  <c r="L20" i="3"/>
  <c r="I20" i="3"/>
  <c r="F20" i="3"/>
  <c r="C20" i="3"/>
  <c r="AJ19" i="3"/>
  <c r="AG19" i="3"/>
  <c r="AD19" i="3"/>
  <c r="AA19" i="3"/>
  <c r="X19" i="3"/>
  <c r="U19" i="3"/>
  <c r="R19" i="3"/>
  <c r="O19" i="3"/>
  <c r="L19" i="3"/>
  <c r="I19" i="3"/>
  <c r="F19" i="3"/>
  <c r="C19" i="3"/>
  <c r="AJ18" i="3"/>
  <c r="AG18" i="3"/>
  <c r="AD18" i="3"/>
  <c r="AA18" i="3"/>
  <c r="X18" i="3"/>
  <c r="U18" i="3"/>
  <c r="R18" i="3"/>
  <c r="O18" i="3"/>
  <c r="L18" i="3"/>
  <c r="I18" i="3"/>
  <c r="F18" i="3"/>
  <c r="C18" i="3"/>
  <c r="AJ17" i="3"/>
  <c r="AG17" i="3"/>
  <c r="AD17" i="3"/>
  <c r="AA17" i="3"/>
  <c r="X17" i="3"/>
  <c r="U17" i="3"/>
  <c r="R17" i="3"/>
  <c r="O17" i="3"/>
  <c r="L17" i="3"/>
  <c r="I17" i="3"/>
  <c r="F17" i="3"/>
  <c r="C17" i="3"/>
  <c r="AL189" i="3" l="1"/>
  <c r="AM193" i="3"/>
  <c r="AL89" i="3"/>
  <c r="AM94" i="3"/>
  <c r="AL58" i="3"/>
  <c r="AM64" i="3"/>
  <c r="AL70" i="3"/>
  <c r="AM74" i="3"/>
  <c r="AL117" i="3"/>
  <c r="AM135" i="3"/>
  <c r="AM150" i="3"/>
  <c r="AM166" i="3"/>
  <c r="AM175" i="3"/>
  <c r="AM183" i="3"/>
  <c r="AM203" i="3"/>
  <c r="AM211" i="3"/>
  <c r="AM60" i="3"/>
  <c r="AM85" i="3"/>
  <c r="AM88" i="3"/>
  <c r="AM90" i="3"/>
  <c r="AM92" i="3"/>
  <c r="AM100" i="3"/>
  <c r="AM102" i="3"/>
  <c r="AM104" i="3"/>
  <c r="AM106" i="3"/>
  <c r="AM108" i="3"/>
  <c r="AM112" i="3"/>
  <c r="AM114" i="3"/>
  <c r="AM115" i="3"/>
  <c r="AM46" i="3"/>
  <c r="AM133" i="3"/>
  <c r="AM144" i="3"/>
  <c r="AM149" i="3"/>
  <c r="AM156" i="3"/>
  <c r="AM157" i="3"/>
  <c r="AM161" i="3"/>
  <c r="AM163" i="3"/>
  <c r="AM168" i="3"/>
  <c r="AM169" i="3"/>
  <c r="AM171" i="3"/>
  <c r="AM172" i="3"/>
  <c r="AM174" i="3"/>
  <c r="AM177" i="3"/>
  <c r="AM179" i="3"/>
  <c r="AM182" i="3"/>
  <c r="AM184" i="3"/>
  <c r="AM186" i="3"/>
  <c r="AM188" i="3"/>
  <c r="AM51" i="3"/>
  <c r="AM50" i="3"/>
  <c r="AM56" i="3"/>
  <c r="AL63" i="3"/>
  <c r="AM63" i="3"/>
  <c r="AL64" i="3"/>
  <c r="AM66" i="3"/>
  <c r="AL68" i="3"/>
  <c r="AM70" i="3"/>
  <c r="AM72" i="3"/>
  <c r="AM76" i="3"/>
  <c r="AM53" i="3"/>
  <c r="AM119" i="3"/>
  <c r="AM120" i="3"/>
  <c r="AM121" i="3"/>
  <c r="AM125" i="3"/>
  <c r="AM130" i="3"/>
  <c r="AM134" i="3"/>
  <c r="AM138" i="3"/>
  <c r="AM140" i="3"/>
  <c r="AM142" i="3"/>
  <c r="AL145" i="3"/>
  <c r="AM146" i="3"/>
  <c r="AM148" i="3"/>
  <c r="AM154" i="3"/>
  <c r="AM162" i="3"/>
  <c r="AM164" i="3"/>
  <c r="AM167" i="3"/>
  <c r="AM170" i="3"/>
  <c r="AL172" i="3"/>
  <c r="AM176" i="3"/>
  <c r="AM178" i="3"/>
  <c r="AM180" i="3"/>
  <c r="AM181" i="3"/>
  <c r="AM185" i="3"/>
  <c r="AM189" i="3"/>
  <c r="AM190" i="3"/>
  <c r="AM196" i="3"/>
  <c r="AM199" i="3"/>
  <c r="AM200" i="3"/>
  <c r="AM201" i="3"/>
  <c r="AM204" i="3"/>
  <c r="AM207" i="3"/>
  <c r="AM209" i="3"/>
  <c r="AM210" i="3"/>
  <c r="AM212" i="3"/>
  <c r="AM213" i="3"/>
  <c r="AM215" i="3"/>
  <c r="AM57" i="3"/>
  <c r="AM52" i="3"/>
  <c r="AM62" i="3"/>
  <c r="AM67" i="3"/>
  <c r="AM68" i="3"/>
  <c r="AM73" i="3"/>
  <c r="AM79" i="3"/>
  <c r="AL90" i="3"/>
  <c r="AM91" i="3"/>
  <c r="AL98" i="3"/>
  <c r="AM99" i="3"/>
  <c r="AM101" i="3"/>
  <c r="AM109" i="3"/>
  <c r="AM113" i="3"/>
  <c r="AM43" i="3"/>
  <c r="AL181" i="3"/>
  <c r="AL190" i="3"/>
  <c r="AM192" i="3"/>
  <c r="AM194" i="3"/>
  <c r="AM197" i="3"/>
  <c r="AM202" i="3"/>
  <c r="AM205" i="3"/>
  <c r="AM206" i="3"/>
  <c r="AM208" i="3"/>
  <c r="AL210" i="3"/>
  <c r="AL212" i="3"/>
  <c r="AM214" i="3"/>
  <c r="AM137" i="3"/>
  <c r="AM37" i="3"/>
  <c r="AL42" i="3"/>
  <c r="AM44" i="3"/>
  <c r="AM118" i="3"/>
  <c r="AL199" i="3"/>
  <c r="AL213" i="3"/>
  <c r="AL85" i="3"/>
  <c r="AL120" i="3"/>
  <c r="AL121" i="3"/>
  <c r="AM122" i="3"/>
  <c r="AM129" i="3"/>
  <c r="AM173" i="3"/>
  <c r="AL37" i="3"/>
  <c r="AL211" i="3"/>
  <c r="AL206" i="3"/>
  <c r="AL203" i="3"/>
  <c r="AL201" i="3"/>
  <c r="AL200" i="3"/>
  <c r="AM198" i="3"/>
  <c r="AM195" i="3"/>
  <c r="AL195" i="3"/>
  <c r="AM191" i="3"/>
  <c r="AL191" i="3"/>
  <c r="AM187" i="3"/>
  <c r="AL175" i="3"/>
  <c r="AL169" i="3"/>
  <c r="AL166" i="3"/>
  <c r="AM165" i="3"/>
  <c r="AL162" i="3"/>
  <c r="AM160" i="3"/>
  <c r="AM159" i="3"/>
  <c r="AM158" i="3"/>
  <c r="AL157" i="3"/>
  <c r="AM155" i="3"/>
  <c r="AL155" i="3"/>
  <c r="AL154" i="3"/>
  <c r="AM153" i="3"/>
  <c r="AL153" i="3"/>
  <c r="AM152" i="3"/>
  <c r="AM151" i="3"/>
  <c r="AM147" i="3"/>
  <c r="AM145" i="3"/>
  <c r="AM143" i="3"/>
  <c r="AL143" i="3"/>
  <c r="AM141" i="3"/>
  <c r="AM139" i="3"/>
  <c r="AL138" i="3"/>
  <c r="AM136" i="3"/>
  <c r="AL136" i="3"/>
  <c r="AL134" i="3"/>
  <c r="AL133" i="3"/>
  <c r="AM132" i="3"/>
  <c r="AM131" i="3"/>
  <c r="AM128" i="3"/>
  <c r="AM127" i="3"/>
  <c r="AL127" i="3"/>
  <c r="AM126" i="3"/>
  <c r="AM124" i="3"/>
  <c r="AM123" i="3"/>
  <c r="AL119" i="3"/>
  <c r="AM117" i="3"/>
  <c r="AM116" i="3"/>
  <c r="AL115" i="3"/>
  <c r="AM111" i="3"/>
  <c r="AM110" i="3"/>
  <c r="AM107" i="3"/>
  <c r="AM105" i="3"/>
  <c r="AM103" i="3"/>
  <c r="AM98" i="3"/>
  <c r="AM97" i="3"/>
  <c r="AM96" i="3"/>
  <c r="AM95" i="3"/>
  <c r="AM93" i="3"/>
  <c r="AL93" i="3"/>
  <c r="AM89" i="3"/>
  <c r="AM87" i="3"/>
  <c r="AL87" i="3"/>
  <c r="AM86" i="3"/>
  <c r="AM84" i="3"/>
  <c r="AM83" i="3"/>
  <c r="AM82" i="3"/>
  <c r="AM81" i="3"/>
  <c r="AM80" i="3"/>
  <c r="AM78" i="3"/>
  <c r="AM77" i="3"/>
  <c r="AM75" i="3"/>
  <c r="AM71" i="3"/>
  <c r="AM69" i="3"/>
  <c r="AM65" i="3"/>
  <c r="AL65" i="3"/>
  <c r="AL62" i="3"/>
  <c r="AM61" i="3"/>
  <c r="AM59" i="3"/>
  <c r="AM58" i="3"/>
  <c r="AM55" i="3"/>
  <c r="AM54" i="3"/>
  <c r="AM49" i="3"/>
  <c r="AM48" i="3"/>
  <c r="AM47" i="3"/>
  <c r="AM39" i="3"/>
  <c r="AL43" i="3"/>
  <c r="AM45" i="3"/>
  <c r="AL45" i="3"/>
  <c r="AM42" i="3"/>
  <c r="AM41" i="3"/>
  <c r="AL41" i="3"/>
  <c r="AM40" i="3"/>
  <c r="AM38" i="3"/>
  <c r="AJ16" i="3"/>
  <c r="AG16" i="3"/>
  <c r="AD16" i="3"/>
  <c r="AA16" i="3"/>
  <c r="X16" i="3"/>
  <c r="U16" i="3"/>
  <c r="R16" i="3"/>
  <c r="O16" i="3"/>
  <c r="L16" i="3"/>
  <c r="I16" i="3"/>
  <c r="F16" i="3"/>
  <c r="C16" i="3"/>
  <c r="AJ15" i="3"/>
  <c r="AG15" i="3"/>
  <c r="AD15" i="3"/>
  <c r="AA15" i="3"/>
  <c r="X15" i="3"/>
  <c r="U15" i="3"/>
  <c r="R15" i="3"/>
  <c r="O15" i="3"/>
  <c r="L15" i="3"/>
  <c r="I15" i="3"/>
  <c r="F15" i="3"/>
  <c r="C15" i="3"/>
  <c r="O14" i="3"/>
  <c r="AJ14" i="3"/>
  <c r="AG14" i="3"/>
  <c r="AD14" i="3"/>
  <c r="AA14" i="3"/>
  <c r="X14" i="3"/>
  <c r="U14" i="3"/>
  <c r="R14" i="3"/>
  <c r="L14" i="3"/>
  <c r="I14" i="3"/>
  <c r="F14" i="3"/>
  <c r="C14" i="3"/>
  <c r="AJ13" i="3"/>
  <c r="AG13" i="3"/>
  <c r="AD13" i="3"/>
  <c r="AA13" i="3"/>
  <c r="X13" i="3"/>
  <c r="U13" i="3"/>
  <c r="R13" i="3"/>
  <c r="O13" i="3"/>
  <c r="L13" i="3"/>
  <c r="I13" i="3"/>
  <c r="F13" i="3"/>
  <c r="C13" i="3"/>
  <c r="AJ12" i="3"/>
  <c r="AG12" i="3"/>
  <c r="AD12" i="3"/>
  <c r="AA12" i="3"/>
  <c r="X12" i="3"/>
  <c r="U12" i="3"/>
  <c r="R12" i="3"/>
  <c r="O12" i="3"/>
  <c r="L12" i="3"/>
  <c r="I12" i="3"/>
  <c r="F12" i="3"/>
  <c r="C12" i="3"/>
  <c r="AJ10" i="3"/>
  <c r="AG10" i="3"/>
  <c r="AD10" i="3"/>
  <c r="AA10" i="3"/>
  <c r="X10" i="3"/>
  <c r="U10" i="3"/>
  <c r="R10" i="3"/>
  <c r="O10" i="3"/>
  <c r="L10" i="3"/>
  <c r="I10" i="3"/>
  <c r="F10" i="3"/>
  <c r="C10" i="3"/>
  <c r="AI10" i="3"/>
  <c r="AF10" i="3"/>
  <c r="AC10" i="3"/>
  <c r="Z10" i="3"/>
  <c r="W10" i="3"/>
  <c r="T10" i="3"/>
  <c r="Q10" i="3"/>
  <c r="N10" i="3"/>
  <c r="K10" i="3"/>
  <c r="H10" i="3"/>
  <c r="E10" i="3"/>
  <c r="B10" i="3"/>
  <c r="AJ9" i="3"/>
  <c r="AG9" i="3"/>
  <c r="AD9" i="3"/>
  <c r="AA9" i="3"/>
  <c r="X9" i="3"/>
  <c r="U9" i="3"/>
  <c r="R9" i="3"/>
  <c r="O9" i="3"/>
  <c r="L9" i="3"/>
  <c r="I9" i="3"/>
  <c r="F9" i="3"/>
  <c r="C9" i="3"/>
  <c r="AJ8" i="3"/>
  <c r="AG8" i="3"/>
  <c r="AD8" i="3"/>
  <c r="AA8" i="3"/>
  <c r="X8" i="3"/>
  <c r="U8" i="3"/>
  <c r="R8" i="3"/>
  <c r="O8" i="3"/>
  <c r="L8" i="3"/>
  <c r="I8" i="3"/>
  <c r="F8" i="3"/>
  <c r="C8" i="3"/>
  <c r="AI8" i="3"/>
  <c r="AF8" i="3"/>
  <c r="AC8" i="3"/>
  <c r="Z8" i="3"/>
  <c r="W8" i="3"/>
  <c r="T8" i="3"/>
  <c r="Q8" i="3"/>
  <c r="N8" i="3"/>
  <c r="K8" i="3"/>
  <c r="H8" i="3"/>
  <c r="E8" i="3"/>
  <c r="B8" i="3"/>
  <c r="AJ7" i="3"/>
  <c r="AG7" i="3"/>
  <c r="AD7" i="3"/>
  <c r="AA7" i="3"/>
  <c r="X7" i="3"/>
  <c r="U7" i="3"/>
  <c r="R7" i="3"/>
  <c r="O7" i="3"/>
  <c r="L7" i="3"/>
  <c r="I7" i="3"/>
  <c r="F7" i="3"/>
  <c r="C7" i="3"/>
  <c r="AI7" i="3"/>
  <c r="AF7" i="3"/>
  <c r="AC7" i="3"/>
  <c r="Z7" i="3"/>
  <c r="W7" i="3"/>
  <c r="T7" i="3"/>
  <c r="Q7" i="3"/>
  <c r="N7" i="3"/>
  <c r="K7" i="3"/>
  <c r="H7" i="3"/>
  <c r="E7" i="3"/>
  <c r="B7" i="3"/>
  <c r="AJ6" i="3"/>
  <c r="AG6" i="3"/>
  <c r="AD6" i="3"/>
  <c r="AA6" i="3"/>
  <c r="X6" i="3"/>
  <c r="U6" i="3"/>
  <c r="R6" i="3"/>
  <c r="O6" i="3"/>
  <c r="L6" i="3"/>
  <c r="I6" i="3"/>
  <c r="F6" i="3"/>
  <c r="C6" i="3"/>
  <c r="AI6" i="3"/>
  <c r="AF6" i="3"/>
  <c r="AC6" i="3"/>
  <c r="Z6" i="3"/>
  <c r="W6" i="3"/>
  <c r="T6" i="3"/>
  <c r="Q6" i="3"/>
  <c r="N6" i="3"/>
  <c r="K6" i="3"/>
  <c r="H6" i="3"/>
  <c r="E6" i="3"/>
  <c r="B6" i="3"/>
  <c r="AJ5" i="3"/>
  <c r="AG5" i="3"/>
  <c r="AD5" i="3"/>
  <c r="AA5" i="3"/>
  <c r="X5" i="3"/>
  <c r="U5" i="3"/>
  <c r="R5" i="3"/>
  <c r="O5" i="3"/>
  <c r="L5" i="3"/>
  <c r="I5" i="3"/>
  <c r="F5" i="3"/>
  <c r="C5" i="3"/>
  <c r="AL9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I5" i="3"/>
  <c r="AF5" i="3"/>
  <c r="AC5" i="3"/>
  <c r="Z5" i="3"/>
  <c r="W5" i="3"/>
  <c r="T5" i="3"/>
  <c r="Q5" i="3"/>
  <c r="N5" i="3"/>
  <c r="K5" i="3"/>
  <c r="H5" i="3"/>
  <c r="E5" i="3"/>
  <c r="B5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1" i="3"/>
  <c r="AJ4" i="3"/>
  <c r="AG4" i="3"/>
  <c r="AD4" i="3"/>
  <c r="AA4" i="3"/>
  <c r="X4" i="3"/>
  <c r="U4" i="3"/>
  <c r="R4" i="3"/>
  <c r="O4" i="3"/>
  <c r="L4" i="3"/>
  <c r="I4" i="3"/>
  <c r="F4" i="3"/>
  <c r="C4" i="3"/>
  <c r="AL4" i="3"/>
  <c r="AM16" i="3" l="1"/>
  <c r="AM15" i="3"/>
  <c r="AM4" i="3"/>
  <c r="AM14" i="3"/>
  <c r="AM13" i="3"/>
  <c r="AM12" i="3"/>
  <c r="AM10" i="3"/>
  <c r="AL10" i="3"/>
  <c r="AM9" i="3"/>
  <c r="AM8" i="3"/>
  <c r="AL8" i="3"/>
  <c r="AM7" i="3"/>
  <c r="AL7" i="3"/>
  <c r="AM6" i="3"/>
  <c r="AL6" i="3"/>
  <c r="AM5" i="3"/>
  <c r="AL5" i="3"/>
</calcChain>
</file>

<file path=xl/sharedStrings.xml><?xml version="1.0" encoding="utf-8"?>
<sst xmlns="http://schemas.openxmlformats.org/spreadsheetml/2006/main" count="28" uniqueCount="4">
  <si>
    <t>Account</t>
  </si>
  <si>
    <t>KWH</t>
  </si>
  <si>
    <t>Revenue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</si>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</sst>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42" applyNumberFormat="1" applyFont="1"/>
    <xf numFmtId="165" fontId="0" fillId="0" borderId="0" xfId="0" applyNumberFormat="1"/>
    <xf numFmtId="165" fontId="0" fillId="0" borderId="0" xfId="42" applyNumberFormat="1" applyFont="1"/>
    <xf numFmtId="39" fontId="0" fillId="0" borderId="0" xfId="42" applyNumberFormat="1" applyFont="1"/>
    <xf numFmtId="3" fontId="0" fillId="0" borderId="0" xfId="42" applyNumberFormat="1" applyFont="1"/>
    <xf numFmtId="3" fontId="0" fillId="0" borderId="0" xfId="0" applyNumberFormat="1"/>
    <xf numFmtId="37" fontId="0" fillId="0" borderId="0" xfId="42" applyNumberFormat="1" applyFont="1"/>
    <xf numFmtId="37" fontId="0" fillId="0" borderId="0" xfId="0" applyNumberFormat="1"/>
    <xf numFmtId="164" fontId="18" fillId="0" borderId="0" xfId="42" applyNumberFormat="1" applyFont="1"/>
    <xf numFmtId="0" fontId="0" fillId="0" borderId="0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A9B4-9140-4672-8446-8333C99BE963}">
  <dimension ref="A1:AN215"/>
  <sheetViews>
    <sheetView tabSelected="1" workbookViewId="0">
      <pane xSplit="1" ySplit="3" topLeftCell="B4" activePane="bottomRight" state="frozen"/>
      <selection activeCell="B1" sqref="B1"/>
      <selection pane="topRight" activeCell="L1" sqref="L1"/>
      <selection pane="bottomLeft" activeCell="B5" sqref="B5"/>
      <selection pane="bottomRight" activeCell="A217" sqref="A217"/>
    </sheetView>
  </sheetViews>
  <sheetFormatPr defaultRowHeight="15" x14ac:dyDescent="0.25"/>
  <cols>
    <col min="1" max="1" width="8.140625" style="11" bestFit="1" customWidth="1"/>
    <col min="2" max="2" width="9.5703125" style="7" bestFit="1" customWidth="1"/>
    <col min="3" max="3" width="9.85546875" style="3" bestFit="1" customWidth="1"/>
    <col min="4" max="4" width="4" customWidth="1"/>
    <col min="5" max="5" width="9.5703125" bestFit="1" customWidth="1"/>
    <col min="6" max="6" width="9.140625" style="3"/>
    <col min="7" max="7" width="4" customWidth="1"/>
    <col min="8" max="8" width="9.5703125" bestFit="1" customWidth="1"/>
    <col min="9" max="9" width="9.140625" style="3"/>
    <col min="10" max="10" width="4" customWidth="1"/>
    <col min="11" max="11" width="10.140625" bestFit="1" customWidth="1"/>
    <col min="12" max="12" width="9.85546875" style="3" bestFit="1" customWidth="1"/>
    <col min="13" max="13" width="4" customWidth="1"/>
    <col min="14" max="14" width="9.5703125" bestFit="1" customWidth="1"/>
    <col min="15" max="15" width="11.140625" style="3" bestFit="1" customWidth="1"/>
    <col min="16" max="16" width="4" customWidth="1"/>
    <col min="17" max="17" width="9.5703125" bestFit="1" customWidth="1"/>
    <col min="18" max="18" width="9.140625" style="3"/>
    <col min="19" max="19" width="4" customWidth="1"/>
    <col min="20" max="20" width="9.85546875" bestFit="1" customWidth="1"/>
    <col min="21" max="21" width="9.85546875" style="3" bestFit="1" customWidth="1"/>
    <col min="22" max="22" width="4" customWidth="1"/>
    <col min="23" max="23" width="9.5703125" bestFit="1" customWidth="1"/>
    <col min="24" max="24" width="9.85546875" style="3" bestFit="1" customWidth="1"/>
    <col min="25" max="25" width="4" customWidth="1"/>
    <col min="26" max="26" width="10.5703125" bestFit="1" customWidth="1"/>
    <col min="27" max="27" width="9.140625" style="3"/>
    <col min="28" max="28" width="4" customWidth="1"/>
    <col min="29" max="29" width="9.5703125" bestFit="1" customWidth="1"/>
    <col min="30" max="30" width="9.140625" style="3"/>
    <col min="31" max="31" width="4" customWidth="1"/>
    <col min="32" max="32" width="9.5703125" bestFit="1" customWidth="1"/>
    <col min="33" max="33" width="10.140625" style="3" bestFit="1" customWidth="1"/>
    <col min="34" max="34" width="4" customWidth="1"/>
    <col min="35" max="35" width="9.5703125" bestFit="1" customWidth="1"/>
    <col min="36" max="36" width="9.140625" style="3"/>
    <col min="37" max="37" width="4" customWidth="1"/>
    <col min="38" max="38" width="10.5703125" bestFit="1" customWidth="1"/>
    <col min="39" max="39" width="9.85546875" style="3" bestFit="1" customWidth="1"/>
  </cols>
  <sheetData>
    <row r="1" spans="1:40" x14ac:dyDescent="0.25">
      <c r="E1" s="1"/>
      <c r="H1" s="1"/>
      <c r="K1" s="1"/>
      <c r="N1" s="1"/>
      <c r="Q1" s="1"/>
      <c r="T1" s="1"/>
      <c r="W1" s="1"/>
      <c r="Z1" s="1"/>
      <c r="AC1" s="1"/>
      <c r="AF1" s="1"/>
      <c r="AI1" s="1"/>
      <c r="AL1" s="1"/>
    </row>
    <row r="2" spans="1:40" x14ac:dyDescent="0.25">
      <c r="B2" s="1">
        <v>45078</v>
      </c>
      <c r="E2" s="1">
        <v>45108</v>
      </c>
      <c r="H2" s="1">
        <v>45139</v>
      </c>
      <c r="K2" s="1">
        <v>45170</v>
      </c>
      <c r="N2" s="1">
        <v>45200</v>
      </c>
      <c r="Q2" s="1">
        <v>45231</v>
      </c>
      <c r="T2" s="1">
        <v>45261</v>
      </c>
      <c r="W2" s="1">
        <v>45292</v>
      </c>
      <c r="Z2" s="1">
        <v>45323</v>
      </c>
      <c r="AC2" s="1">
        <v>45352</v>
      </c>
      <c r="AF2" s="1">
        <v>45383</v>
      </c>
      <c r="AI2" s="1">
        <v>45413</v>
      </c>
      <c r="AL2" s="1" t="s">
        <v>3</v>
      </c>
    </row>
    <row r="3" spans="1:40" x14ac:dyDescent="0.25">
      <c r="A3" s="11" t="s">
        <v>0</v>
      </c>
      <c r="B3" s="7" t="s">
        <v>1</v>
      </c>
      <c r="C3" s="3" t="s">
        <v>2</v>
      </c>
      <c r="E3" t="s">
        <v>1</v>
      </c>
      <c r="F3" s="3" t="s">
        <v>2</v>
      </c>
      <c r="H3" t="s">
        <v>1</v>
      </c>
      <c r="I3" s="3" t="s">
        <v>2</v>
      </c>
      <c r="K3" t="s">
        <v>1</v>
      </c>
      <c r="L3" s="3" t="s">
        <v>2</v>
      </c>
      <c r="N3" t="s">
        <v>1</v>
      </c>
      <c r="O3" s="3" t="s">
        <v>2</v>
      </c>
      <c r="Q3" t="s">
        <v>1</v>
      </c>
      <c r="R3" s="3" t="s">
        <v>2</v>
      </c>
      <c r="T3" t="s">
        <v>1</v>
      </c>
      <c r="U3" s="3" t="s">
        <v>2</v>
      </c>
      <c r="W3" t="s">
        <v>1</v>
      </c>
      <c r="X3" s="3" t="s">
        <v>2</v>
      </c>
      <c r="Z3" t="s">
        <v>1</v>
      </c>
      <c r="AA3" s="3" t="s">
        <v>2</v>
      </c>
      <c r="AC3" t="s">
        <v>1</v>
      </c>
      <c r="AD3" s="3" t="s">
        <v>2</v>
      </c>
      <c r="AF3" t="s">
        <v>1</v>
      </c>
      <c r="AG3" s="3" t="s">
        <v>2</v>
      </c>
      <c r="AI3" t="s">
        <v>1</v>
      </c>
      <c r="AJ3" s="3" t="s">
        <v>2</v>
      </c>
      <c r="AL3" t="s">
        <v>1</v>
      </c>
      <c r="AM3" s="3" t="s">
        <v>2</v>
      </c>
    </row>
    <row r="4" spans="1:40" x14ac:dyDescent="0.25">
      <c r="A4" s="11">
        <v>1</v>
      </c>
      <c r="B4" s="6">
        <v>4960</v>
      </c>
      <c r="C4" s="4">
        <f>776.34-58.5</f>
        <v>717.84</v>
      </c>
      <c r="D4" s="2"/>
      <c r="E4" s="2">
        <v>6080</v>
      </c>
      <c r="F4" s="4">
        <f>776.34-58.5</f>
        <v>717.84</v>
      </c>
      <c r="G4" s="2"/>
      <c r="H4" s="2">
        <v>8480</v>
      </c>
      <c r="I4" s="4">
        <f>776.34-58.5</f>
        <v>717.84</v>
      </c>
      <c r="J4" s="2"/>
      <c r="K4" s="2">
        <v>8400</v>
      </c>
      <c r="L4" s="4">
        <f>776.34-58.5</f>
        <v>717.84</v>
      </c>
      <c r="M4" s="2"/>
      <c r="N4" s="8">
        <v>5680</v>
      </c>
      <c r="O4" s="4">
        <f>776.34-58.5</f>
        <v>717.84</v>
      </c>
      <c r="P4" s="2"/>
      <c r="Q4" s="8">
        <v>4240</v>
      </c>
      <c r="R4" s="4">
        <f>776.34-58.5</f>
        <v>717.84</v>
      </c>
      <c r="S4" s="2"/>
      <c r="T4" s="8">
        <v>5600</v>
      </c>
      <c r="U4" s="4">
        <f>776.34-58.5</f>
        <v>717.84</v>
      </c>
      <c r="V4" s="2"/>
      <c r="W4" s="6">
        <v>8080</v>
      </c>
      <c r="X4" s="4">
        <f>776.34-58.5</f>
        <v>717.84</v>
      </c>
      <c r="Y4" s="2"/>
      <c r="Z4" s="8">
        <v>11280</v>
      </c>
      <c r="AA4" s="4">
        <f>776.34-58.5</f>
        <v>717.84</v>
      </c>
      <c r="AB4" s="2"/>
      <c r="AC4" s="8">
        <v>7680</v>
      </c>
      <c r="AD4" s="4">
        <f>776.34-58.5</f>
        <v>717.84</v>
      </c>
      <c r="AE4" s="2"/>
      <c r="AF4" s="6">
        <v>5520</v>
      </c>
      <c r="AG4" s="4">
        <f>776.34-58.5</f>
        <v>717.84</v>
      </c>
      <c r="AH4" s="2"/>
      <c r="AI4" s="8">
        <v>4320</v>
      </c>
      <c r="AJ4" s="4">
        <f>776.34-58.5</f>
        <v>717.84</v>
      </c>
      <c r="AK4" s="2"/>
      <c r="AL4" s="2">
        <f>+B4+E4+H4+K4+N4+Q4+T4+W4+Z4+AC4+AF4+AI4</f>
        <v>80320</v>
      </c>
      <c r="AM4" s="5">
        <f>+C4+F4+I4+L4+O4+R4+U4+X4+AA4+AD4+AG4+AJ4</f>
        <v>8614.08</v>
      </c>
      <c r="AN4" s="2"/>
    </row>
    <row r="5" spans="1:40" x14ac:dyDescent="0.25">
      <c r="A5" s="11">
        <v>2</v>
      </c>
      <c r="B5" s="6">
        <f>518+1560</f>
        <v>2078</v>
      </c>
      <c r="C5" s="3">
        <f>375.45-28.3</f>
        <v>347.15</v>
      </c>
      <c r="E5" s="2">
        <f>1440+518</f>
        <v>1958</v>
      </c>
      <c r="F5" s="3">
        <f>386.86-29.16</f>
        <v>357.7</v>
      </c>
      <c r="H5" s="2">
        <f>1800+518</f>
        <v>2318</v>
      </c>
      <c r="I5" s="3">
        <f>378.67-28.54</f>
        <v>350.13</v>
      </c>
      <c r="K5" s="2">
        <f>1800+518</f>
        <v>2318</v>
      </c>
      <c r="L5" s="3">
        <f>407.7-30.72</f>
        <v>376.98</v>
      </c>
      <c r="N5" s="8">
        <f>1440+518</f>
        <v>1958</v>
      </c>
      <c r="O5" s="3">
        <f>356.92-26.9</f>
        <v>330.02000000000004</v>
      </c>
      <c r="Q5" s="8">
        <f>1440+518</f>
        <v>1958</v>
      </c>
      <c r="R5" s="3">
        <f>357.74-26.96</f>
        <v>330.78000000000003</v>
      </c>
      <c r="T5" s="8">
        <f>1320+518</f>
        <v>1838</v>
      </c>
      <c r="U5" s="3">
        <f>383.58-28.9</f>
        <v>354.68</v>
      </c>
      <c r="W5" s="6">
        <f>1560+518</f>
        <v>2078</v>
      </c>
      <c r="X5" s="3">
        <f>385.8-29.08</f>
        <v>356.72</v>
      </c>
      <c r="Z5" s="8">
        <f>2160+518</f>
        <v>2678</v>
      </c>
      <c r="AA5" s="3">
        <f>426.16-32.11</f>
        <v>394.05</v>
      </c>
      <c r="AC5" s="8">
        <f>1560+518</f>
        <v>2078</v>
      </c>
      <c r="AD5" s="3">
        <f>455.01-34.29</f>
        <v>420.71999999999997</v>
      </c>
      <c r="AF5" s="6">
        <f>1680+518</f>
        <v>2198</v>
      </c>
      <c r="AG5" s="3">
        <f>345.66-26.05</f>
        <v>319.61</v>
      </c>
      <c r="AI5" s="8">
        <f>1560+518</f>
        <v>2078</v>
      </c>
      <c r="AJ5" s="3">
        <f>344.92-26</f>
        <v>318.92</v>
      </c>
      <c r="AL5" s="2">
        <f t="shared" ref="AL5:AL36" si="0">+B5+E5+H5+K5+N5+Q5+T5+W5+Z5+AC5+AF5+AI5</f>
        <v>25536</v>
      </c>
      <c r="AM5" s="5">
        <f t="shared" ref="AM5:AM36" si="1">+C5+F5+I5+L5+O5+R5+U5+X5+AA5+AD5+AG5+AJ5</f>
        <v>4257.46</v>
      </c>
    </row>
    <row r="6" spans="1:40" x14ac:dyDescent="0.25">
      <c r="A6" s="11">
        <v>3</v>
      </c>
      <c r="B6" s="7">
        <f>4160+524</f>
        <v>4684</v>
      </c>
      <c r="C6" s="3">
        <f>1340.64-112.73</f>
        <v>1227.9100000000001</v>
      </c>
      <c r="E6" s="2">
        <f>4640+524</f>
        <v>5164</v>
      </c>
      <c r="F6" s="3">
        <f>1445.31-121.52</f>
        <v>1323.79</v>
      </c>
      <c r="H6" s="2">
        <f>5520+524</f>
        <v>6044</v>
      </c>
      <c r="I6" s="3">
        <f>1456.02-122.43</f>
        <v>1333.59</v>
      </c>
      <c r="K6" s="2">
        <f>5440+524</f>
        <v>5964</v>
      </c>
      <c r="L6" s="3">
        <f>1439.67-121.05</f>
        <v>1318.6200000000001</v>
      </c>
      <c r="N6" s="8">
        <f>4880+524</f>
        <v>5404</v>
      </c>
      <c r="O6" s="3">
        <f>1396.75-117.44</f>
        <v>1279.31</v>
      </c>
      <c r="Q6" s="8">
        <f>4080+524</f>
        <v>4604</v>
      </c>
      <c r="R6" s="3">
        <f>1344.1-113.01</f>
        <v>1231.0899999999999</v>
      </c>
      <c r="T6" s="8">
        <f>4680+524</f>
        <v>5204</v>
      </c>
      <c r="U6" s="3">
        <f>1463.78-123.08</f>
        <v>1340.7</v>
      </c>
      <c r="W6" s="6">
        <f>6160+524</f>
        <v>6684</v>
      </c>
      <c r="X6" s="3">
        <f>1536.5-129.19</f>
        <v>1407.31</v>
      </c>
      <c r="Z6" s="8">
        <f>8080+524</f>
        <v>8604</v>
      </c>
      <c r="AA6" s="3">
        <f>1643.83-138.22</f>
        <v>1505.61</v>
      </c>
      <c r="AC6" s="8">
        <f>4160+524</f>
        <v>4684</v>
      </c>
      <c r="AD6" s="3">
        <f>1306.1-109.82</f>
        <v>1196.28</v>
      </c>
      <c r="AF6" s="6">
        <f>4000+524</f>
        <v>4524</v>
      </c>
      <c r="AG6" s="3">
        <f>1276.52-107.34</f>
        <v>1169.18</v>
      </c>
      <c r="AI6" s="8">
        <f>3000+524</f>
        <v>3524</v>
      </c>
      <c r="AJ6" s="3">
        <f>1200.98-100.98</f>
        <v>1100</v>
      </c>
      <c r="AL6" s="2">
        <f t="shared" si="0"/>
        <v>65088</v>
      </c>
      <c r="AM6" s="5">
        <f t="shared" si="1"/>
        <v>15433.390000000001</v>
      </c>
    </row>
    <row r="7" spans="1:40" x14ac:dyDescent="0.25">
      <c r="A7" s="11">
        <v>4</v>
      </c>
      <c r="B7" s="7">
        <f>2240+23</f>
        <v>2263</v>
      </c>
      <c r="C7" s="3">
        <f>403.17-38.9</f>
        <v>364.27000000000004</v>
      </c>
      <c r="E7" s="7">
        <f>3040+23</f>
        <v>3063</v>
      </c>
      <c r="F7" s="3">
        <f>496.28-46.73</f>
        <v>449.54999999999995</v>
      </c>
      <c r="H7" s="7">
        <f>4480+23</f>
        <v>4503</v>
      </c>
      <c r="I7" s="3">
        <f>594.27-54.97</f>
        <v>539.29999999999995</v>
      </c>
      <c r="K7" s="7">
        <f>4160+23</f>
        <v>4183</v>
      </c>
      <c r="L7" s="3">
        <f>575.88-53.42</f>
        <v>522.46</v>
      </c>
      <c r="N7" s="9">
        <f>2800+23</f>
        <v>2823</v>
      </c>
      <c r="O7" s="3">
        <f>447.52-42.63</f>
        <v>404.89</v>
      </c>
      <c r="Q7" s="9">
        <f>2160+23</f>
        <v>2183</v>
      </c>
      <c r="R7" s="3">
        <f>401.27-38.74</f>
        <v>362.53</v>
      </c>
      <c r="T7" s="9">
        <f>3280+23</f>
        <v>3303</v>
      </c>
      <c r="U7" s="3">
        <f>543.19-50.68</f>
        <v>492.51000000000005</v>
      </c>
      <c r="W7" s="7">
        <f>3760+23</f>
        <v>3783</v>
      </c>
      <c r="X7" s="3">
        <f>619.69-57.11</f>
        <v>562.58000000000004</v>
      </c>
      <c r="Z7" s="9">
        <f>4720+23</f>
        <v>4743</v>
      </c>
      <c r="AA7" s="3">
        <f>673.47-61.63</f>
        <v>611.84</v>
      </c>
      <c r="AC7" s="9">
        <f>3680+23</f>
        <v>3703</v>
      </c>
      <c r="AD7" s="3">
        <f>606.26-55.98</f>
        <v>550.28</v>
      </c>
      <c r="AF7" s="7">
        <f>2800+23</f>
        <v>2823</v>
      </c>
      <c r="AG7" s="3">
        <f>406.55-39.18</f>
        <v>367.37</v>
      </c>
      <c r="AI7" s="9">
        <f>1840+23</f>
        <v>1863</v>
      </c>
      <c r="AJ7" s="3">
        <f>302.75-30.46</f>
        <v>272.29000000000002</v>
      </c>
      <c r="AL7" s="2">
        <f t="shared" si="0"/>
        <v>39236</v>
      </c>
      <c r="AM7" s="5">
        <f t="shared" si="1"/>
        <v>5499.87</v>
      </c>
    </row>
    <row r="8" spans="1:40" x14ac:dyDescent="0.25">
      <c r="A8" s="11">
        <v>5</v>
      </c>
      <c r="B8" s="7">
        <f>1760+23</f>
        <v>1783</v>
      </c>
      <c r="C8" s="3">
        <f>357.32-30.05</f>
        <v>327.27</v>
      </c>
      <c r="E8" s="7">
        <f>1320+23</f>
        <v>1343</v>
      </c>
      <c r="F8" s="3">
        <f>335.08-28.18</f>
        <v>306.89999999999998</v>
      </c>
      <c r="H8" s="7">
        <f>2120+23</f>
        <v>2143</v>
      </c>
      <c r="I8" s="3">
        <f>395.96-33.29</f>
        <v>362.66999999999996</v>
      </c>
      <c r="K8" s="7">
        <f>2360+23</f>
        <v>2383</v>
      </c>
      <c r="L8" s="3">
        <f>434.99-36.57</f>
        <v>398.42</v>
      </c>
      <c r="N8" s="7">
        <f>1720+23</f>
        <v>1743</v>
      </c>
      <c r="O8" s="3">
        <f>389.82-32.78</f>
        <v>357.03999999999996</v>
      </c>
      <c r="Q8" s="9">
        <f>1920+23</f>
        <v>1943</v>
      </c>
      <c r="R8" s="3">
        <f>410.61-34.52</f>
        <v>376.09000000000003</v>
      </c>
      <c r="T8" s="9">
        <f>2640+23</f>
        <v>2663</v>
      </c>
      <c r="U8" s="3">
        <f>524.95-44.13</f>
        <v>480.82000000000005</v>
      </c>
      <c r="W8" s="7">
        <f>3520+23</f>
        <v>3543</v>
      </c>
      <c r="X8" s="3">
        <f>629.51-52.93</f>
        <v>576.58000000000004</v>
      </c>
      <c r="Z8" s="9">
        <f>5000+23</f>
        <v>5023</v>
      </c>
      <c r="AA8" s="3">
        <f>709.81-59.68</f>
        <v>650.13</v>
      </c>
      <c r="AC8" s="9">
        <f>3320+23</f>
        <v>3343</v>
      </c>
      <c r="AD8" s="3">
        <f>554.99-46.66</f>
        <v>508.33000000000004</v>
      </c>
      <c r="AF8" s="7">
        <f>2480+23</f>
        <v>2503</v>
      </c>
      <c r="AG8" s="3">
        <f>362.56-30.48</f>
        <v>332.08</v>
      </c>
      <c r="AI8" s="9">
        <f>2080+23</f>
        <v>2103</v>
      </c>
      <c r="AJ8" s="3">
        <f>327.41-27.53</f>
        <v>299.88</v>
      </c>
      <c r="AL8" s="2">
        <f t="shared" si="0"/>
        <v>30516</v>
      </c>
      <c r="AM8" s="5">
        <f t="shared" si="1"/>
        <v>4976.21</v>
      </c>
    </row>
    <row r="9" spans="1:40" x14ac:dyDescent="0.25">
      <c r="A9" s="11">
        <v>6</v>
      </c>
      <c r="B9" s="7">
        <v>2155</v>
      </c>
      <c r="C9" s="3">
        <f>266.76-22.43</f>
        <v>244.32999999999998</v>
      </c>
      <c r="E9" s="7">
        <v>1763</v>
      </c>
      <c r="F9" s="3">
        <f>457.35-38.46</f>
        <v>418.89000000000004</v>
      </c>
      <c r="H9" s="7">
        <v>818</v>
      </c>
      <c r="I9" s="3">
        <f>316.81-26.64</f>
        <v>290.17</v>
      </c>
      <c r="K9" s="7">
        <v>856</v>
      </c>
      <c r="L9" s="3">
        <f>305.47-25.68</f>
        <v>279.79000000000002</v>
      </c>
      <c r="N9" s="7">
        <v>1268</v>
      </c>
      <c r="O9" s="3">
        <f>336.12-28.27</f>
        <v>307.85000000000002</v>
      </c>
      <c r="Q9" s="9">
        <v>2024</v>
      </c>
      <c r="R9" s="3">
        <f>417.12-35.07</f>
        <v>382.05</v>
      </c>
      <c r="T9" s="9">
        <v>1744</v>
      </c>
      <c r="U9" s="3">
        <f>422.59-35.53</f>
        <v>387.05999999999995</v>
      </c>
      <c r="W9" s="7">
        <v>1860</v>
      </c>
      <c r="X9" s="3">
        <f>451.64-37.97</f>
        <v>413.66999999999996</v>
      </c>
      <c r="Z9" s="9">
        <v>3161</v>
      </c>
      <c r="AA9" s="3">
        <f>579.9-48.75</f>
        <v>531.15</v>
      </c>
      <c r="AC9" s="9">
        <v>2342</v>
      </c>
      <c r="AD9" s="3">
        <f>487.22-40.97</f>
        <v>446.25</v>
      </c>
      <c r="AF9" s="7">
        <v>2265</v>
      </c>
      <c r="AG9" s="3">
        <f>319.71-26.88</f>
        <v>292.83</v>
      </c>
      <c r="AI9" s="9">
        <v>2331</v>
      </c>
      <c r="AJ9" s="3">
        <f>341.29-28.7</f>
        <v>312.59000000000003</v>
      </c>
      <c r="AL9" s="2">
        <f t="shared" si="0"/>
        <v>22587</v>
      </c>
      <c r="AM9" s="5">
        <f t="shared" si="1"/>
        <v>4306.63</v>
      </c>
    </row>
    <row r="10" spans="1:40" x14ac:dyDescent="0.25">
      <c r="A10" s="11">
        <v>7</v>
      </c>
      <c r="B10" s="7">
        <f>3840+3</f>
        <v>3843</v>
      </c>
      <c r="C10" s="3">
        <f>744.75-67.62</f>
        <v>677.13</v>
      </c>
      <c r="E10" s="7">
        <f>3200+3</f>
        <v>3203</v>
      </c>
      <c r="F10" s="3">
        <f>726.58-66.09</f>
        <v>660.49</v>
      </c>
      <c r="H10" s="7">
        <f>4480+3</f>
        <v>4483</v>
      </c>
      <c r="I10" s="3">
        <f>790.1-71.43</f>
        <v>718.67000000000007</v>
      </c>
      <c r="K10" s="7">
        <f>4480+5</f>
        <v>4485</v>
      </c>
      <c r="L10" s="3">
        <f>813.74-73.42</f>
        <v>740.32</v>
      </c>
      <c r="N10" s="7">
        <f>4480+5</f>
        <v>4485</v>
      </c>
      <c r="O10" s="3">
        <f>916.5-82.06</f>
        <v>834.44</v>
      </c>
      <c r="Q10" s="9">
        <f>3840+5</f>
        <v>3845</v>
      </c>
      <c r="R10" s="3">
        <f>862.3-77.5</f>
        <v>784.8</v>
      </c>
      <c r="T10" s="9">
        <f>3200+5</f>
        <v>3205</v>
      </c>
      <c r="U10" s="3">
        <f>819.66-73.92</f>
        <v>745.74</v>
      </c>
      <c r="W10" s="7">
        <f>3200+5</f>
        <v>3205</v>
      </c>
      <c r="X10" s="3">
        <f>765.66-69.38</f>
        <v>696.28</v>
      </c>
      <c r="Z10" s="9">
        <f>5120+5</f>
        <v>5125</v>
      </c>
      <c r="AA10" s="3">
        <f>928.41-83.06</f>
        <v>845.34999999999991</v>
      </c>
      <c r="AC10" s="9">
        <f>3200+5</f>
        <v>3205</v>
      </c>
      <c r="AD10" s="3">
        <f>719.99-65.53</f>
        <v>654.46</v>
      </c>
      <c r="AF10" s="7">
        <f>2560+5</f>
        <v>2565</v>
      </c>
      <c r="AG10" s="3">
        <f>592.84-54.85</f>
        <v>537.99</v>
      </c>
      <c r="AI10" s="9">
        <f>3200+5</f>
        <v>3205</v>
      </c>
      <c r="AJ10" s="3">
        <f>696.96-63.6</f>
        <v>633.36</v>
      </c>
      <c r="AL10" s="2">
        <f t="shared" si="0"/>
        <v>44854</v>
      </c>
      <c r="AM10" s="5">
        <f t="shared" si="1"/>
        <v>8529.0299999999988</v>
      </c>
    </row>
    <row r="11" spans="1:40" x14ac:dyDescent="0.25">
      <c r="A11" s="11">
        <v>8</v>
      </c>
      <c r="B11" s="7">
        <v>1502</v>
      </c>
      <c r="C11" s="3">
        <v>298.98</v>
      </c>
      <c r="E11" s="7">
        <v>1959</v>
      </c>
      <c r="F11" s="3">
        <v>345.37</v>
      </c>
      <c r="H11" s="7">
        <v>2782</v>
      </c>
      <c r="I11" s="3">
        <v>422.3</v>
      </c>
      <c r="K11" s="7">
        <v>2478</v>
      </c>
      <c r="L11" s="3">
        <v>388.92</v>
      </c>
      <c r="N11" s="7">
        <v>2150</v>
      </c>
      <c r="O11" s="3">
        <v>356.91</v>
      </c>
      <c r="Q11" s="9">
        <v>2222</v>
      </c>
      <c r="R11" s="3">
        <v>361.33</v>
      </c>
      <c r="T11" s="9">
        <v>1434</v>
      </c>
      <c r="U11" s="3">
        <v>292.3</v>
      </c>
      <c r="W11" s="7">
        <v>1281</v>
      </c>
      <c r="X11" s="3">
        <v>278.27999999999997</v>
      </c>
      <c r="Z11" s="9">
        <v>1977</v>
      </c>
      <c r="AA11" s="3">
        <v>333.44</v>
      </c>
      <c r="AC11" s="9">
        <v>1353</v>
      </c>
      <c r="AD11" s="3">
        <v>260.85000000000002</v>
      </c>
      <c r="AF11" s="7">
        <v>1143</v>
      </c>
      <c r="AG11" s="3">
        <v>182.9</v>
      </c>
      <c r="AI11" s="9">
        <v>1353</v>
      </c>
      <c r="AJ11" s="3">
        <v>216.5</v>
      </c>
      <c r="AL11" s="2">
        <f t="shared" si="0"/>
        <v>21634</v>
      </c>
      <c r="AM11" s="5">
        <f t="shared" si="1"/>
        <v>3738.0800000000004</v>
      </c>
    </row>
    <row r="12" spans="1:40" x14ac:dyDescent="0.25">
      <c r="A12" s="11">
        <v>9</v>
      </c>
      <c r="B12" s="7">
        <v>4960</v>
      </c>
      <c r="C12" s="3">
        <f>815-73.52</f>
        <v>741.48</v>
      </c>
      <c r="E12" s="7">
        <v>4960</v>
      </c>
      <c r="F12" s="3">
        <f>691.5-63.14</f>
        <v>628.36</v>
      </c>
      <c r="H12" s="7">
        <v>5120</v>
      </c>
      <c r="I12" s="3">
        <f>632.92-58.22</f>
        <v>574.69999999999993</v>
      </c>
      <c r="K12" s="7">
        <v>4960</v>
      </c>
      <c r="L12" s="3">
        <f>604.28-55.8</f>
        <v>548.48</v>
      </c>
      <c r="N12" s="7">
        <v>4720</v>
      </c>
      <c r="O12" s="3">
        <f>628.22-57.82</f>
        <v>570.4</v>
      </c>
      <c r="Q12" s="9">
        <v>4080</v>
      </c>
      <c r="R12" s="3">
        <f>657.19-60.26</f>
        <v>596.93000000000006</v>
      </c>
      <c r="T12" s="9">
        <v>7600</v>
      </c>
      <c r="U12" s="3">
        <f>892.83-80.07</f>
        <v>812.76</v>
      </c>
      <c r="W12" s="7">
        <v>7680</v>
      </c>
      <c r="X12" s="3">
        <f>1095.2-97.08</f>
        <v>998.12</v>
      </c>
      <c r="Z12" s="9">
        <v>14560</v>
      </c>
      <c r="AA12" s="3">
        <f>1587.09-138.45</f>
        <v>1448.6399999999999</v>
      </c>
      <c r="AC12" s="9">
        <v>8480</v>
      </c>
      <c r="AD12" s="3">
        <f>1003.45-89.37</f>
        <v>914.08</v>
      </c>
      <c r="AF12" s="7">
        <v>6240</v>
      </c>
      <c r="AG12" s="3">
        <f>803.69-72.57</f>
        <v>731.12000000000012</v>
      </c>
      <c r="AI12" s="9">
        <v>4880</v>
      </c>
      <c r="AJ12" s="3">
        <f>666.64-61.05</f>
        <v>605.59</v>
      </c>
      <c r="AL12" s="2">
        <f t="shared" si="0"/>
        <v>78240</v>
      </c>
      <c r="AM12" s="5">
        <f t="shared" si="1"/>
        <v>9170.6600000000017</v>
      </c>
    </row>
    <row r="13" spans="1:40" x14ac:dyDescent="0.25">
      <c r="A13" s="11">
        <v>10</v>
      </c>
      <c r="B13" s="7">
        <v>15520</v>
      </c>
      <c r="C13" s="3">
        <f>1683.83-141.58</f>
        <v>1542.25</v>
      </c>
      <c r="E13" s="7">
        <v>15600</v>
      </c>
      <c r="F13" s="3">
        <f>1802.23-151.53</f>
        <v>1650.7</v>
      </c>
      <c r="H13" s="7">
        <v>17280</v>
      </c>
      <c r="I13" s="3">
        <f>1716.96-144.37</f>
        <v>1572.5900000000001</v>
      </c>
      <c r="K13" s="7">
        <v>16800</v>
      </c>
      <c r="L13" s="3">
        <f>1712.19-143.97</f>
        <v>1568.22</v>
      </c>
      <c r="N13" s="7">
        <v>15680</v>
      </c>
      <c r="O13" s="3">
        <f>1679.28-141.19</f>
        <v>1538.09</v>
      </c>
      <c r="Q13" s="9">
        <v>14880</v>
      </c>
      <c r="R13" s="3">
        <f>1587.73-133.5</f>
        <v>1454.23</v>
      </c>
      <c r="T13" s="9">
        <v>13840</v>
      </c>
      <c r="U13" s="3">
        <f>1562.41-131.37</f>
        <v>1431.04</v>
      </c>
      <c r="W13" s="7">
        <v>14000</v>
      </c>
      <c r="X13" s="3">
        <f>1453.68-122.22</f>
        <v>1331.46</v>
      </c>
      <c r="Z13" s="9">
        <v>13840</v>
      </c>
      <c r="AA13" s="3">
        <f>1342.38-112.87</f>
        <v>1229.5100000000002</v>
      </c>
      <c r="AC13" s="9">
        <v>13360</v>
      </c>
      <c r="AD13" s="3">
        <f>1444.36-121.45</f>
        <v>1322.9099999999999</v>
      </c>
      <c r="AF13" s="7">
        <v>14480</v>
      </c>
      <c r="AG13" s="3">
        <f>1790.22-150.52</f>
        <v>1639.7</v>
      </c>
      <c r="AI13" s="9">
        <v>14640</v>
      </c>
      <c r="AJ13" s="3">
        <f>1886.03-158.58</f>
        <v>1727.45</v>
      </c>
      <c r="AL13" s="2">
        <f t="shared" si="0"/>
        <v>179920</v>
      </c>
      <c r="AM13" s="5">
        <f t="shared" si="1"/>
        <v>18008.149999999998</v>
      </c>
    </row>
    <row r="14" spans="1:40" x14ac:dyDescent="0.25">
      <c r="A14" s="11">
        <v>11</v>
      </c>
      <c r="B14" s="7">
        <v>8900</v>
      </c>
      <c r="C14" s="3">
        <f>942.97-27.47</f>
        <v>915.5</v>
      </c>
      <c r="E14" s="7">
        <v>7900</v>
      </c>
      <c r="F14" s="3">
        <f>896.17-26.1</f>
        <v>870.06999999999994</v>
      </c>
      <c r="H14" s="7">
        <v>7600</v>
      </c>
      <c r="I14" s="3">
        <f>768.36-22.38</f>
        <v>745.98</v>
      </c>
      <c r="K14" s="7">
        <v>7300</v>
      </c>
      <c r="L14" s="3">
        <f>752.01-21.9</f>
        <v>730.11</v>
      </c>
      <c r="N14" s="7">
        <v>7800</v>
      </c>
      <c r="O14" s="3">
        <f>820.72-23.9</f>
        <v>796.82</v>
      </c>
      <c r="Q14" s="9">
        <v>8900</v>
      </c>
      <c r="R14" s="3">
        <f>937.1-27.29</f>
        <v>909.81000000000006</v>
      </c>
      <c r="T14" s="9">
        <v>9100</v>
      </c>
      <c r="U14" s="3">
        <f>1015.95-29.59</f>
        <v>986.36</v>
      </c>
      <c r="W14" s="7">
        <v>11000</v>
      </c>
      <c r="X14" s="3">
        <f>1100.72-32.06</f>
        <v>1068.6600000000001</v>
      </c>
      <c r="Z14" s="9">
        <v>12000</v>
      </c>
      <c r="AA14" s="3">
        <f>1243.2-36.21</f>
        <v>1206.99</v>
      </c>
      <c r="AC14" s="9">
        <v>10000</v>
      </c>
      <c r="AD14" s="3">
        <f>1001.2-29.16</f>
        <v>972.04000000000008</v>
      </c>
      <c r="AF14" s="7">
        <v>9700</v>
      </c>
      <c r="AG14" s="3">
        <f>1146.01-33.38</f>
        <v>1112.6299999999999</v>
      </c>
      <c r="AI14" s="9">
        <v>8600</v>
      </c>
      <c r="AJ14" s="3">
        <f>1064.17-31</f>
        <v>1033.17</v>
      </c>
      <c r="AL14" s="2">
        <f t="shared" si="0"/>
        <v>108800</v>
      </c>
      <c r="AM14" s="5">
        <f t="shared" si="1"/>
        <v>11348.140000000001</v>
      </c>
    </row>
    <row r="15" spans="1:40" x14ac:dyDescent="0.25">
      <c r="A15" s="11">
        <v>12</v>
      </c>
      <c r="B15" s="7">
        <v>200</v>
      </c>
      <c r="C15" s="3">
        <f>104.49-3.04</f>
        <v>101.44999999999999</v>
      </c>
      <c r="E15" s="7">
        <v>300</v>
      </c>
      <c r="F15" s="3">
        <f>116.28-3.39</f>
        <v>112.89</v>
      </c>
      <c r="H15" s="7">
        <v>200</v>
      </c>
      <c r="I15" s="3">
        <f>104.92-3.06</f>
        <v>101.86</v>
      </c>
      <c r="K15" s="7">
        <v>200</v>
      </c>
      <c r="L15" s="3">
        <f>107.86-3.14</f>
        <v>104.72</v>
      </c>
      <c r="N15" s="7">
        <v>300</v>
      </c>
      <c r="O15" s="3">
        <f>110.58-3.22</f>
        <v>107.36</v>
      </c>
      <c r="Q15" s="9">
        <v>200</v>
      </c>
      <c r="R15" s="3">
        <f>103.39-3.01</f>
        <v>100.38</v>
      </c>
      <c r="T15" s="9">
        <v>200</v>
      </c>
      <c r="U15" s="3">
        <f>104.09-3.03</f>
        <v>101.06</v>
      </c>
      <c r="W15" s="7">
        <v>300</v>
      </c>
      <c r="X15" s="3">
        <f>114.07-3.32</f>
        <v>110.75</v>
      </c>
      <c r="Z15" s="9">
        <v>200</v>
      </c>
      <c r="AA15" s="3">
        <f>109.54-3.19</f>
        <v>106.35000000000001</v>
      </c>
      <c r="AC15" s="9">
        <v>400</v>
      </c>
      <c r="AD15" s="3">
        <f>138.1-4.02</f>
        <v>134.07999999999998</v>
      </c>
      <c r="AF15" s="7">
        <v>200</v>
      </c>
      <c r="AG15" s="3">
        <f>69.86-2.03</f>
        <v>67.83</v>
      </c>
      <c r="AI15" s="9">
        <v>300</v>
      </c>
      <c r="AJ15" s="3">
        <f>81.51-2.37</f>
        <v>79.14</v>
      </c>
      <c r="AL15" s="2">
        <f t="shared" si="0"/>
        <v>3000</v>
      </c>
      <c r="AM15" s="5">
        <f t="shared" si="1"/>
        <v>1227.8700000000001</v>
      </c>
    </row>
    <row r="16" spans="1:40" x14ac:dyDescent="0.25">
      <c r="A16" s="11">
        <v>13</v>
      </c>
      <c r="B16" s="7">
        <v>500</v>
      </c>
      <c r="C16" s="3">
        <f>148.92-4.34</f>
        <v>144.57999999999998</v>
      </c>
      <c r="E16" s="7">
        <v>300</v>
      </c>
      <c r="F16" s="3">
        <f>137.25-4</f>
        <v>133.25</v>
      </c>
      <c r="H16" s="7">
        <v>500</v>
      </c>
      <c r="I16" s="3">
        <f>195.23-5.69</f>
        <v>189.54</v>
      </c>
      <c r="K16" s="7">
        <v>300</v>
      </c>
      <c r="L16" s="3">
        <f>180.95-5.27</f>
        <v>175.67999999999998</v>
      </c>
      <c r="N16" s="7">
        <v>300</v>
      </c>
      <c r="O16" s="3">
        <f>120.35-3.51</f>
        <v>116.83999999999999</v>
      </c>
      <c r="Q16" s="9">
        <v>300</v>
      </c>
      <c r="R16" s="3">
        <f>121.03-3.53</f>
        <v>117.5</v>
      </c>
      <c r="T16" s="9">
        <v>300</v>
      </c>
      <c r="U16" s="3">
        <f>125.08-3.64</f>
        <v>121.44</v>
      </c>
      <c r="W16" s="7">
        <v>300</v>
      </c>
      <c r="X16" s="3">
        <f>123.1-3.59</f>
        <v>119.50999999999999</v>
      </c>
      <c r="Z16" s="9">
        <v>1200</v>
      </c>
      <c r="AA16" s="3">
        <f>240.03-6.99</f>
        <v>233.04</v>
      </c>
      <c r="AC16" s="9">
        <v>1500</v>
      </c>
      <c r="AD16" s="3">
        <f>262.83-7.66</f>
        <v>255.17</v>
      </c>
      <c r="AF16" s="7">
        <v>1300</v>
      </c>
      <c r="AG16" s="3">
        <f>192.01-5.59</f>
        <v>186.42</v>
      </c>
      <c r="AI16" s="9">
        <v>900</v>
      </c>
      <c r="AJ16" s="3">
        <f>152.55-4.44</f>
        <v>148.11000000000001</v>
      </c>
      <c r="AL16" s="2">
        <f t="shared" si="0"/>
        <v>7700</v>
      </c>
      <c r="AM16" s="5">
        <f t="shared" si="1"/>
        <v>1941.08</v>
      </c>
    </row>
    <row r="17" spans="1:39" x14ac:dyDescent="0.25">
      <c r="A17" s="11">
        <v>14</v>
      </c>
      <c r="B17" s="7">
        <v>17700</v>
      </c>
      <c r="C17" s="3">
        <f>1854.74-54.02</f>
        <v>1800.72</v>
      </c>
      <c r="E17" s="7">
        <v>17600</v>
      </c>
      <c r="F17" s="3">
        <f>1993.43-58.06</f>
        <v>1935.3700000000001</v>
      </c>
      <c r="H17" s="7">
        <v>19400</v>
      </c>
      <c r="I17" s="3">
        <f>1891.61-55.1</f>
        <v>1836.51</v>
      </c>
      <c r="K17" s="7">
        <v>19900</v>
      </c>
      <c r="L17" s="3">
        <f>1954.1-56.92</f>
        <v>1897.1799999999998</v>
      </c>
      <c r="N17" s="7">
        <v>18300</v>
      </c>
      <c r="O17" s="3">
        <f>1905.76-55.51</f>
        <v>1850.25</v>
      </c>
      <c r="Q17" s="9">
        <v>17700</v>
      </c>
      <c r="R17" s="3">
        <f>1855.7-54.05</f>
        <v>1801.65</v>
      </c>
      <c r="T17" s="9">
        <v>17200</v>
      </c>
      <c r="U17" s="3">
        <f>1902.9-55.42</f>
        <v>1847.48</v>
      </c>
      <c r="W17" s="7">
        <v>17800</v>
      </c>
      <c r="X17" s="3">
        <f>1818.88-52.98</f>
        <v>1765.9</v>
      </c>
      <c r="Z17" s="9">
        <v>21400</v>
      </c>
      <c r="AA17" s="3">
        <f>1977.89-57.61</f>
        <v>1920.2800000000002</v>
      </c>
      <c r="AC17" s="9">
        <v>20800</v>
      </c>
      <c r="AD17" s="3">
        <f>2021.32-58.87</f>
        <v>1962.45</v>
      </c>
      <c r="AF17" s="7">
        <v>18200</v>
      </c>
      <c r="AG17" s="3">
        <f>2111.37-61.5</f>
        <v>2049.87</v>
      </c>
      <c r="AI17" s="9">
        <v>17000</v>
      </c>
      <c r="AJ17" s="3">
        <f>2058.67-59.96</f>
        <v>1998.71</v>
      </c>
      <c r="AL17" s="2">
        <f t="shared" si="0"/>
        <v>223000</v>
      </c>
      <c r="AM17" s="5">
        <f t="shared" si="1"/>
        <v>22666.37</v>
      </c>
    </row>
    <row r="18" spans="1:39" x14ac:dyDescent="0.25">
      <c r="A18" s="11">
        <v>15</v>
      </c>
      <c r="B18" s="7">
        <v>15500</v>
      </c>
      <c r="C18" s="3">
        <f>1592.32-46.38</f>
        <v>1545.9399999999998</v>
      </c>
      <c r="E18" s="7">
        <v>15300</v>
      </c>
      <c r="F18" s="3">
        <f>1694.22-49.35</f>
        <v>1644.8700000000001</v>
      </c>
      <c r="H18" s="7">
        <v>17500</v>
      </c>
      <c r="I18" s="3">
        <f>1643.81-47.88</f>
        <v>1595.9299999999998</v>
      </c>
      <c r="K18" s="7">
        <v>17500</v>
      </c>
      <c r="L18" s="3">
        <f>1671.56-48.69</f>
        <v>1622.87</v>
      </c>
      <c r="N18" s="7">
        <v>16000</v>
      </c>
      <c r="O18" s="3">
        <f>1618.85-47.15</f>
        <v>1571.6999999999998</v>
      </c>
      <c r="Q18" s="9">
        <v>14600</v>
      </c>
      <c r="R18" s="3">
        <f>1509.19-43.96</f>
        <v>1465.23</v>
      </c>
      <c r="T18" s="9">
        <v>14100</v>
      </c>
      <c r="U18" s="3">
        <f>1533.43-44.66</f>
        <v>1488.77</v>
      </c>
      <c r="W18" s="7">
        <v>14800</v>
      </c>
      <c r="X18" s="3">
        <f>1477.85-43.04</f>
        <v>1434.81</v>
      </c>
      <c r="Z18" s="9">
        <v>17900</v>
      </c>
      <c r="AA18" s="3">
        <f>1616.99-47.1</f>
        <v>1569.89</v>
      </c>
      <c r="AC18" s="9">
        <v>15000</v>
      </c>
      <c r="AD18" s="3">
        <f>1463.21-42.62</f>
        <v>1420.5900000000001</v>
      </c>
      <c r="AF18" s="7">
        <v>15000</v>
      </c>
      <c r="AG18" s="3">
        <f>1747.94-50.91</f>
        <v>1697.03</v>
      </c>
      <c r="AI18" s="9">
        <v>13600</v>
      </c>
      <c r="AJ18" s="3">
        <f>1656.14-48.24</f>
        <v>1607.9</v>
      </c>
      <c r="AL18" s="2">
        <f t="shared" si="0"/>
        <v>186800</v>
      </c>
      <c r="AM18" s="5">
        <f t="shared" si="1"/>
        <v>18665.53</v>
      </c>
    </row>
    <row r="19" spans="1:39" x14ac:dyDescent="0.25">
      <c r="A19" s="11">
        <v>16</v>
      </c>
      <c r="B19" s="7">
        <v>0</v>
      </c>
      <c r="C19" s="3">
        <f>136.63-11.48</f>
        <v>125.14999999999999</v>
      </c>
      <c r="E19" s="7">
        <v>0</v>
      </c>
      <c r="F19" s="3">
        <f>121.7-10.23</f>
        <v>111.47</v>
      </c>
      <c r="H19" s="7">
        <v>100</v>
      </c>
      <c r="I19" s="3">
        <f>135.45-11.39</f>
        <v>124.05999999999999</v>
      </c>
      <c r="K19" s="7">
        <v>0</v>
      </c>
      <c r="L19" s="3">
        <f>143-12.02</f>
        <v>130.97999999999999</v>
      </c>
      <c r="N19" s="7">
        <v>0</v>
      </c>
      <c r="O19" s="3">
        <f>127.9-10.75</f>
        <v>117.15</v>
      </c>
      <c r="Q19" s="9">
        <v>0</v>
      </c>
      <c r="R19" s="3">
        <f>120.06-10.1</f>
        <v>109.96000000000001</v>
      </c>
      <c r="T19" s="9">
        <v>100</v>
      </c>
      <c r="U19" s="3">
        <f>159.59-13.42</f>
        <v>146.17000000000002</v>
      </c>
      <c r="W19" s="7">
        <v>0</v>
      </c>
      <c r="X19" s="3">
        <f>156.75-13.18</f>
        <v>143.57</v>
      </c>
      <c r="Z19" s="9">
        <v>0</v>
      </c>
      <c r="AA19" s="3">
        <f>124.74-10.49</f>
        <v>114.25</v>
      </c>
      <c r="AC19" s="9">
        <v>0</v>
      </c>
      <c r="AD19" s="3">
        <f>125.08-10.52</f>
        <v>114.56</v>
      </c>
      <c r="AF19" s="7">
        <v>0</v>
      </c>
      <c r="AG19" s="3">
        <f>70.54-5.93</f>
        <v>64.610000000000014</v>
      </c>
      <c r="AI19" s="9">
        <v>0</v>
      </c>
      <c r="AJ19" s="3">
        <f>73.13-6.15</f>
        <v>66.97999999999999</v>
      </c>
      <c r="AL19" s="2">
        <f t="shared" si="0"/>
        <v>200</v>
      </c>
      <c r="AM19" s="5">
        <f t="shared" si="1"/>
        <v>1368.9099999999999</v>
      </c>
    </row>
    <row r="20" spans="1:39" x14ac:dyDescent="0.25">
      <c r="A20" s="11">
        <v>17</v>
      </c>
      <c r="B20" s="7">
        <v>800</v>
      </c>
      <c r="C20" s="3">
        <f>220.1-18.51</f>
        <v>201.59</v>
      </c>
      <c r="E20" s="7">
        <v>1400</v>
      </c>
      <c r="F20" s="3">
        <f>287.39-24.17</f>
        <v>263.21999999999997</v>
      </c>
      <c r="H20" s="7">
        <v>700</v>
      </c>
      <c r="I20" s="3">
        <f>169.13-14.22</f>
        <v>154.91</v>
      </c>
      <c r="K20" s="7">
        <v>700</v>
      </c>
      <c r="L20" s="3">
        <f>151.83-12.76</f>
        <v>139.07000000000002</v>
      </c>
      <c r="N20" s="7">
        <v>600</v>
      </c>
      <c r="O20" s="3">
        <f>144.17-12.12</f>
        <v>132.04999999999998</v>
      </c>
      <c r="Q20" s="9">
        <v>700</v>
      </c>
      <c r="R20" s="3">
        <f>163.64-13.76</f>
        <v>149.88</v>
      </c>
      <c r="T20" s="9">
        <v>600</v>
      </c>
      <c r="U20" s="3">
        <f>150.73-12.67</f>
        <v>138.06</v>
      </c>
      <c r="W20" s="7">
        <v>700</v>
      </c>
      <c r="X20" s="3">
        <f>154.4-12.98</f>
        <v>141.42000000000002</v>
      </c>
      <c r="Z20" s="9">
        <v>1100</v>
      </c>
      <c r="AA20" s="3">
        <f>194-16.31</f>
        <v>177.69</v>
      </c>
      <c r="AC20" s="9">
        <v>1200</v>
      </c>
      <c r="AD20" s="3">
        <f>197.47-16.61</f>
        <v>180.86</v>
      </c>
      <c r="AF20" s="7">
        <v>1100</v>
      </c>
      <c r="AG20" s="3">
        <f>179.46-15.09</f>
        <v>164.37</v>
      </c>
      <c r="AI20" s="9">
        <v>1200</v>
      </c>
      <c r="AJ20" s="3">
        <f>199.35-16.76</f>
        <v>182.59</v>
      </c>
      <c r="AL20" s="2">
        <f t="shared" si="0"/>
        <v>10800</v>
      </c>
      <c r="AM20" s="5">
        <f t="shared" si="1"/>
        <v>2025.7099999999998</v>
      </c>
    </row>
    <row r="21" spans="1:39" x14ac:dyDescent="0.25">
      <c r="A21" s="11">
        <v>18</v>
      </c>
      <c r="B21" s="7">
        <v>4500</v>
      </c>
      <c r="C21" s="3">
        <f>545.28-15.88</f>
        <v>529.4</v>
      </c>
      <c r="E21" s="7">
        <v>4300</v>
      </c>
      <c r="F21" s="3">
        <f>585.12-17.04</f>
        <v>568.08000000000004</v>
      </c>
      <c r="H21" s="7">
        <v>5000</v>
      </c>
      <c r="I21" s="3">
        <f>575.56-16.76</f>
        <v>558.79999999999995</v>
      </c>
      <c r="K21" s="7">
        <v>4300</v>
      </c>
      <c r="L21" s="3">
        <f>514.18-14.98</f>
        <v>499.19999999999993</v>
      </c>
      <c r="N21" s="7">
        <v>4600</v>
      </c>
      <c r="O21" s="3">
        <f>547.16-15.94</f>
        <v>531.21999999999991</v>
      </c>
      <c r="Q21" s="9">
        <v>3600</v>
      </c>
      <c r="R21" s="3">
        <f>467.37-13.61</f>
        <v>453.76</v>
      </c>
      <c r="T21" s="9">
        <v>3600</v>
      </c>
      <c r="U21" s="3">
        <f>496.96-14.47</f>
        <v>482.48999999999995</v>
      </c>
      <c r="W21" s="7">
        <v>4500</v>
      </c>
      <c r="X21" s="3">
        <f>543.54-15.83</f>
        <v>527.70999999999992</v>
      </c>
      <c r="Z21" s="9">
        <v>5400</v>
      </c>
      <c r="AA21" s="3">
        <f>601.43-17.52</f>
        <v>583.91</v>
      </c>
      <c r="AC21" s="9">
        <v>4200</v>
      </c>
      <c r="AD21" s="3">
        <f>507.86-14.79</f>
        <v>493.07</v>
      </c>
      <c r="AF21" s="7">
        <v>4300</v>
      </c>
      <c r="AG21" s="3">
        <f>532.73-15.52</f>
        <v>517.21</v>
      </c>
      <c r="AI21" s="9">
        <v>4200</v>
      </c>
      <c r="AJ21" s="3">
        <f>543.24-15.82</f>
        <v>527.41999999999996</v>
      </c>
      <c r="AL21" s="2">
        <f t="shared" si="0"/>
        <v>52500</v>
      </c>
      <c r="AM21" s="5">
        <f t="shared" si="1"/>
        <v>6272.2699999999995</v>
      </c>
    </row>
    <row r="22" spans="1:39" x14ac:dyDescent="0.25">
      <c r="A22" s="11">
        <v>19</v>
      </c>
      <c r="B22" s="7">
        <v>1000</v>
      </c>
      <c r="C22" s="3">
        <f>262.55-22.07</f>
        <v>240.48000000000002</v>
      </c>
      <c r="E22" s="7">
        <v>1000</v>
      </c>
      <c r="F22" s="3">
        <f>266.96-22.45</f>
        <v>244.51</v>
      </c>
      <c r="H22" s="7">
        <v>1100</v>
      </c>
      <c r="I22" s="3">
        <f>272.56-22.92</f>
        <v>249.64</v>
      </c>
      <c r="K22" s="7">
        <v>1200</v>
      </c>
      <c r="L22" s="3">
        <f>284.07-23.89</f>
        <v>260.18</v>
      </c>
      <c r="N22" s="7">
        <v>1000</v>
      </c>
      <c r="O22" s="3">
        <f>268.85-22.61</f>
        <v>246.24</v>
      </c>
      <c r="Q22" s="9">
        <v>1400</v>
      </c>
      <c r="R22" s="3">
        <f>312.27-26.26</f>
        <v>286.01</v>
      </c>
      <c r="T22" s="9">
        <v>1400</v>
      </c>
      <c r="U22" s="3">
        <f>325.04-27.33</f>
        <v>297.71000000000004</v>
      </c>
      <c r="W22" s="7">
        <v>1700</v>
      </c>
      <c r="X22" s="3">
        <f>521.53-43.85</f>
        <v>477.67999999999995</v>
      </c>
      <c r="Z22" s="9">
        <v>1800</v>
      </c>
      <c r="AA22" s="3">
        <f>342.91-28.83</f>
        <v>314.08000000000004</v>
      </c>
      <c r="AC22" s="9">
        <v>1400</v>
      </c>
      <c r="AD22" s="3">
        <f>289.48-24.34</f>
        <v>265.14000000000004</v>
      </c>
      <c r="AF22" s="7">
        <v>1600</v>
      </c>
      <c r="AG22" s="3">
        <f>239.63-20.14</f>
        <v>219.49</v>
      </c>
      <c r="AI22" s="9">
        <v>1600</v>
      </c>
      <c r="AJ22" s="3">
        <f>249.55-20.99</f>
        <v>228.56</v>
      </c>
      <c r="AL22" s="2">
        <f t="shared" si="0"/>
        <v>16200</v>
      </c>
      <c r="AM22" s="5">
        <f t="shared" si="1"/>
        <v>3329.72</v>
      </c>
    </row>
    <row r="23" spans="1:39" x14ac:dyDescent="0.25">
      <c r="A23" s="11">
        <v>20</v>
      </c>
      <c r="B23" s="7">
        <v>2500</v>
      </c>
      <c r="C23" s="3">
        <f>608.98-51.2</f>
        <v>557.78</v>
      </c>
      <c r="E23" s="7">
        <v>3000</v>
      </c>
      <c r="F23" s="3">
        <f>696.57-58.57</f>
        <v>638</v>
      </c>
      <c r="H23" s="7">
        <v>2100</v>
      </c>
      <c r="I23" s="3">
        <f>585.83-49.26</f>
        <v>536.57000000000005</v>
      </c>
      <c r="K23" s="7">
        <v>2800</v>
      </c>
      <c r="L23" s="3">
        <f>616.14-51.81</f>
        <v>564.32999999999993</v>
      </c>
      <c r="N23" s="7">
        <v>2500</v>
      </c>
      <c r="O23" s="3">
        <f>613.35-51.57</f>
        <v>561.78</v>
      </c>
      <c r="Q23" s="9">
        <v>2600</v>
      </c>
      <c r="R23" s="3">
        <f>656.6-55.21</f>
        <v>601.39</v>
      </c>
      <c r="T23" s="9">
        <v>2500</v>
      </c>
      <c r="U23" s="3">
        <f>660.57-55.54</f>
        <v>605.03000000000009</v>
      </c>
      <c r="W23" s="7">
        <v>3600</v>
      </c>
      <c r="X23" s="3">
        <f>755.33-63.5</f>
        <v>691.83</v>
      </c>
      <c r="Z23" s="9">
        <v>4000</v>
      </c>
      <c r="AA23" s="3">
        <f>739.49-62.18</f>
        <v>677.31000000000006</v>
      </c>
      <c r="AC23" s="9">
        <v>2400</v>
      </c>
      <c r="AD23" s="3">
        <f>577.45-48.56</f>
        <v>528.8900000000001</v>
      </c>
      <c r="AF23" s="7">
        <v>2200</v>
      </c>
      <c r="AG23" s="3">
        <f>311.87-26.22</f>
        <v>285.64999999999998</v>
      </c>
      <c r="AI23" s="9">
        <v>2500</v>
      </c>
      <c r="AJ23" s="3">
        <f>362.5-30.48</f>
        <v>332.02</v>
      </c>
      <c r="AL23" s="2">
        <f t="shared" si="0"/>
        <v>32700</v>
      </c>
      <c r="AM23" s="5">
        <f t="shared" si="1"/>
        <v>6580.58</v>
      </c>
    </row>
    <row r="24" spans="1:39" x14ac:dyDescent="0.25">
      <c r="A24" s="11">
        <v>21</v>
      </c>
      <c r="B24" s="7">
        <v>1200</v>
      </c>
      <c r="C24" s="3">
        <f>260.41-21.9</f>
        <v>238.51000000000002</v>
      </c>
      <c r="E24" s="7">
        <v>1200</v>
      </c>
      <c r="F24" s="3">
        <f>258.32-21.72</f>
        <v>236.6</v>
      </c>
      <c r="H24" s="7">
        <v>1300</v>
      </c>
      <c r="I24" s="3">
        <f>260.89-21.94</f>
        <v>238.95</v>
      </c>
      <c r="K24" s="7">
        <v>1400</v>
      </c>
      <c r="L24" s="3">
        <f>259.24-21.79</f>
        <v>237.45000000000002</v>
      </c>
      <c r="N24" s="7">
        <v>1200</v>
      </c>
      <c r="O24" s="3">
        <f>243.23-20.45</f>
        <v>222.78</v>
      </c>
      <c r="Q24" s="9">
        <v>1200</v>
      </c>
      <c r="R24" s="3">
        <f>239.23-20.11</f>
        <v>219.12</v>
      </c>
      <c r="T24" s="9">
        <v>1000</v>
      </c>
      <c r="U24" s="3">
        <f>260.78-21.93</f>
        <v>238.84999999999997</v>
      </c>
      <c r="W24" s="7">
        <v>1000</v>
      </c>
      <c r="X24" s="3">
        <f>251.43-21.14</f>
        <v>230.29000000000002</v>
      </c>
      <c r="Z24" s="9">
        <v>1300</v>
      </c>
      <c r="AA24" s="3">
        <f>278.96-23.46</f>
        <v>255.49999999999997</v>
      </c>
      <c r="AC24" s="9">
        <v>1100</v>
      </c>
      <c r="AD24" s="3">
        <f>230-19.34</f>
        <v>210.66</v>
      </c>
      <c r="AF24" s="7">
        <v>1200</v>
      </c>
      <c r="AG24" s="3">
        <f>191.48-16.1</f>
        <v>175.38</v>
      </c>
      <c r="AI24" s="9">
        <v>1300</v>
      </c>
      <c r="AJ24" s="3">
        <f>211.9-17.81</f>
        <v>194.09</v>
      </c>
      <c r="AL24" s="2">
        <f t="shared" si="0"/>
        <v>14400</v>
      </c>
      <c r="AM24" s="5">
        <f t="shared" si="1"/>
        <v>2698.18</v>
      </c>
    </row>
    <row r="25" spans="1:39" x14ac:dyDescent="0.25">
      <c r="A25" s="11">
        <v>22</v>
      </c>
      <c r="B25" s="7">
        <f>3360+462</f>
        <v>3822</v>
      </c>
      <c r="C25" s="3">
        <f>696.95-58.6</f>
        <v>638.35</v>
      </c>
      <c r="E25" s="7">
        <f>3280+462</f>
        <v>3742</v>
      </c>
      <c r="F25" s="3">
        <f>734.47-61.75</f>
        <v>672.72</v>
      </c>
      <c r="H25" s="7">
        <f>4400+462</f>
        <v>4862</v>
      </c>
      <c r="I25" s="3">
        <f>765.42-64.36</f>
        <v>701.06</v>
      </c>
      <c r="K25" s="7">
        <f>3640+462</f>
        <v>4102</v>
      </c>
      <c r="L25" s="3">
        <f>690.3-58.04</f>
        <v>632.26</v>
      </c>
      <c r="N25" s="7">
        <f>2840+462</f>
        <v>3302</v>
      </c>
      <c r="O25" s="3">
        <f>601.98-50.61</f>
        <v>551.37</v>
      </c>
      <c r="Q25" s="9">
        <f>2640+462</f>
        <v>3102</v>
      </c>
      <c r="R25" s="3">
        <f>624.94-52.54</f>
        <v>572.40000000000009</v>
      </c>
      <c r="T25" s="9">
        <f>4760+462</f>
        <v>5222</v>
      </c>
      <c r="U25" s="3">
        <f>1011.94-85.09</f>
        <v>926.85</v>
      </c>
      <c r="W25" s="7">
        <f>7200+462</f>
        <v>7662</v>
      </c>
      <c r="X25" s="3">
        <f>1193.31-100.34</f>
        <v>1092.97</v>
      </c>
      <c r="Z25" s="9">
        <f>10680+462</f>
        <v>11142</v>
      </c>
      <c r="AA25" s="3">
        <f>1506.63-126.68</f>
        <v>1379.95</v>
      </c>
      <c r="AC25" s="9">
        <f>5640+462</f>
        <v>6102</v>
      </c>
      <c r="AD25" s="3">
        <f>1024.9-86.17</f>
        <v>938.73000000000013</v>
      </c>
      <c r="AF25" s="7">
        <f>3720+462</f>
        <v>4182</v>
      </c>
      <c r="AG25" s="3">
        <f>675.98-56.83</f>
        <v>619.15</v>
      </c>
      <c r="AI25" s="9">
        <f>3240+462</f>
        <v>3702</v>
      </c>
      <c r="AJ25" s="3">
        <f>643.45-54.1</f>
        <v>589.35</v>
      </c>
      <c r="AL25" s="2">
        <f t="shared" si="0"/>
        <v>60944</v>
      </c>
      <c r="AM25" s="5">
        <f t="shared" si="1"/>
        <v>9315.1600000000017</v>
      </c>
    </row>
    <row r="26" spans="1:39" x14ac:dyDescent="0.25">
      <c r="A26" s="11">
        <v>23</v>
      </c>
      <c r="B26" s="7">
        <v>4000</v>
      </c>
      <c r="C26" s="3">
        <f>666.88-56.07</f>
        <v>610.80999999999995</v>
      </c>
      <c r="E26" s="7">
        <v>4600</v>
      </c>
      <c r="F26" s="3">
        <f>729-61.29</f>
        <v>667.71</v>
      </c>
      <c r="H26" s="7">
        <v>4600</v>
      </c>
      <c r="I26" s="3">
        <f>681.81-57.32</f>
        <v>624.4899999999999</v>
      </c>
      <c r="K26" s="7">
        <v>5200</v>
      </c>
      <c r="L26" s="3">
        <f>754.23-63.41</f>
        <v>690.82</v>
      </c>
      <c r="N26" s="7">
        <v>3800</v>
      </c>
      <c r="O26" s="3">
        <f>592.17-49.79</f>
        <v>542.38</v>
      </c>
      <c r="Q26" s="9">
        <v>4000</v>
      </c>
      <c r="R26" s="3">
        <f>612.39-51.49</f>
        <v>560.9</v>
      </c>
      <c r="T26" s="9">
        <v>3800</v>
      </c>
      <c r="U26" s="3">
        <f>622.8-52.36</f>
        <v>570.43999999999994</v>
      </c>
      <c r="W26" s="7">
        <v>3800</v>
      </c>
      <c r="X26" s="3">
        <f>586.15-49.29</f>
        <v>536.86</v>
      </c>
      <c r="Z26" s="9">
        <v>4400</v>
      </c>
      <c r="AA26" s="3">
        <f>602.21-50.64</f>
        <v>551.57000000000005</v>
      </c>
      <c r="AC26" s="9">
        <v>3800</v>
      </c>
      <c r="AD26" s="3">
        <f>580.99-48.85</f>
        <v>532.14</v>
      </c>
      <c r="AF26" s="7">
        <v>4000</v>
      </c>
      <c r="AG26" s="3">
        <f>540.71-45.47</f>
        <v>495.24</v>
      </c>
      <c r="AI26" s="9">
        <v>4200</v>
      </c>
      <c r="AJ26" s="3">
        <f>575.83-48.41</f>
        <v>527.42000000000007</v>
      </c>
      <c r="AL26" s="2">
        <f t="shared" si="0"/>
        <v>50200</v>
      </c>
      <c r="AM26" s="5">
        <f t="shared" si="1"/>
        <v>6910.78</v>
      </c>
    </row>
    <row r="27" spans="1:39" x14ac:dyDescent="0.25">
      <c r="A27" s="11">
        <v>24</v>
      </c>
      <c r="B27" s="7">
        <v>6900</v>
      </c>
      <c r="C27" s="3">
        <f>957.47-80.51</f>
        <v>876.96</v>
      </c>
      <c r="E27" s="7">
        <v>7600</v>
      </c>
      <c r="F27" s="3">
        <f>1069.14-89.9</f>
        <v>979.24000000000012</v>
      </c>
      <c r="H27" s="7">
        <v>8500</v>
      </c>
      <c r="I27" s="3">
        <f>1034.86-87.02</f>
        <v>947.83999999999992</v>
      </c>
      <c r="K27" s="7">
        <v>8600</v>
      </c>
      <c r="L27" s="3">
        <f>1042.73-87.67</f>
        <v>955.06000000000006</v>
      </c>
      <c r="N27" s="7">
        <v>7400</v>
      </c>
      <c r="O27" s="3">
        <f>979.51-82.35</f>
        <v>897.16</v>
      </c>
      <c r="Q27" s="9">
        <v>6500</v>
      </c>
      <c r="R27" s="3">
        <f>865.68-72.79</f>
        <v>792.89</v>
      </c>
      <c r="T27" s="9">
        <v>6300</v>
      </c>
      <c r="U27" s="3">
        <f>955.26-80.32</f>
        <v>874.94</v>
      </c>
      <c r="W27" s="7">
        <v>7000</v>
      </c>
      <c r="X27" s="3">
        <f>997.36-83.86</f>
        <v>913.5</v>
      </c>
      <c r="Z27" s="9">
        <v>9000</v>
      </c>
      <c r="AA27" s="3">
        <f>1084.26-91.16</f>
        <v>993.1</v>
      </c>
      <c r="AC27" s="9">
        <v>6900</v>
      </c>
      <c r="AD27" s="3">
        <f>965.53-81.18</f>
        <v>884.34999999999991</v>
      </c>
      <c r="AF27" s="7">
        <v>6700</v>
      </c>
      <c r="AG27" s="3">
        <f>853.62-71.78</f>
        <v>781.84</v>
      </c>
      <c r="AI27" s="9">
        <v>6200</v>
      </c>
      <c r="AJ27" s="3">
        <f>826.83-69.52</f>
        <v>757.31000000000006</v>
      </c>
      <c r="AL27" s="2">
        <f t="shared" si="0"/>
        <v>87600</v>
      </c>
      <c r="AM27" s="5">
        <f t="shared" si="1"/>
        <v>10654.19</v>
      </c>
    </row>
    <row r="28" spans="1:39" x14ac:dyDescent="0.25">
      <c r="A28" s="11">
        <v>25</v>
      </c>
      <c r="B28" s="7">
        <v>2300</v>
      </c>
      <c r="C28" s="3">
        <f>488.7-41.09</f>
        <v>447.61</v>
      </c>
      <c r="E28" s="7">
        <v>1700</v>
      </c>
      <c r="F28" s="3">
        <f>380.72-32.01</f>
        <v>348.71000000000004</v>
      </c>
      <c r="H28" s="7">
        <v>1800</v>
      </c>
      <c r="I28" s="3">
        <f>297.5-25.01</f>
        <v>272.49</v>
      </c>
      <c r="K28" s="7">
        <v>1700</v>
      </c>
      <c r="L28" s="3">
        <f>296.44-24.93</f>
        <v>271.51</v>
      </c>
      <c r="N28" s="7">
        <v>1700</v>
      </c>
      <c r="O28" s="3">
        <f>290.65-24.44</f>
        <v>266.20999999999998</v>
      </c>
      <c r="Q28" s="9">
        <v>3500</v>
      </c>
      <c r="R28" s="3">
        <f>588.38-49.47</f>
        <v>538.91</v>
      </c>
      <c r="T28" s="9">
        <v>4600</v>
      </c>
      <c r="U28" s="3">
        <f>712.22-59.88</f>
        <v>652.34</v>
      </c>
      <c r="W28" s="7">
        <v>7200</v>
      </c>
      <c r="X28" s="3">
        <f>897.96-75.5</f>
        <v>822.46</v>
      </c>
      <c r="Z28" s="9">
        <v>8600</v>
      </c>
      <c r="AA28" s="3">
        <f>961.63-80.85</f>
        <v>880.78</v>
      </c>
      <c r="AC28" s="9">
        <v>6900</v>
      </c>
      <c r="AD28" s="3">
        <f>859.23-72.25</f>
        <v>786.98</v>
      </c>
      <c r="AF28" s="7">
        <v>4600</v>
      </c>
      <c r="AG28" s="3">
        <f>600.81-50.52</f>
        <v>550.29</v>
      </c>
      <c r="AI28" s="9">
        <v>3100</v>
      </c>
      <c r="AJ28" s="3">
        <f>437.79-36.81</f>
        <v>400.98</v>
      </c>
      <c r="AL28" s="2">
        <f t="shared" si="0"/>
        <v>47700</v>
      </c>
      <c r="AM28" s="5">
        <f t="shared" si="1"/>
        <v>6239.27</v>
      </c>
    </row>
    <row r="29" spans="1:39" x14ac:dyDescent="0.25">
      <c r="A29" s="11">
        <v>26</v>
      </c>
      <c r="B29" s="7">
        <v>2200</v>
      </c>
      <c r="C29" s="3">
        <f>407.21-34.24</f>
        <v>372.96999999999997</v>
      </c>
      <c r="E29" s="7">
        <v>10000</v>
      </c>
      <c r="F29" s="3">
        <f>1152.08-96.87</f>
        <v>1055.21</v>
      </c>
      <c r="H29" s="7">
        <v>10300</v>
      </c>
      <c r="I29" s="3">
        <f>1026.55-86.32</f>
        <v>940.23</v>
      </c>
      <c r="K29" s="7">
        <v>11500</v>
      </c>
      <c r="L29" s="3">
        <f>1259.89-105.93</f>
        <v>1153.96</v>
      </c>
      <c r="N29" s="7">
        <v>19100</v>
      </c>
      <c r="O29" s="3">
        <f>1933.62-162.58</f>
        <v>1771.04</v>
      </c>
      <c r="Q29" s="9">
        <v>19900</v>
      </c>
      <c r="R29" s="3">
        <f>2001.97-168.33</f>
        <v>1833.64</v>
      </c>
      <c r="T29" s="9">
        <v>19300</v>
      </c>
      <c r="U29" s="3">
        <f>2063.96-173.54</f>
        <v>1890.42</v>
      </c>
      <c r="W29" s="7">
        <v>2900</v>
      </c>
      <c r="X29" s="3">
        <f>576.08-48.44</f>
        <v>527.6400000000001</v>
      </c>
      <c r="Z29" s="9">
        <v>0</v>
      </c>
      <c r="AA29" s="3">
        <f>85.04-7.15</f>
        <v>77.89</v>
      </c>
      <c r="AC29" s="9">
        <v>100</v>
      </c>
      <c r="AD29" s="3">
        <f>92.54-7.78</f>
        <v>84.76</v>
      </c>
      <c r="AF29" s="7">
        <v>0</v>
      </c>
      <c r="AG29" s="3">
        <f>70.54-5.93</f>
        <v>64.610000000000014</v>
      </c>
      <c r="AI29" s="9">
        <v>0</v>
      </c>
      <c r="AJ29" s="3">
        <f>73.13-6.15</f>
        <v>66.97999999999999</v>
      </c>
      <c r="AL29" s="2">
        <f t="shared" si="0"/>
        <v>95300</v>
      </c>
      <c r="AM29" s="5">
        <f t="shared" si="1"/>
        <v>9839.35</v>
      </c>
    </row>
    <row r="30" spans="1:39" x14ac:dyDescent="0.25">
      <c r="A30" s="11">
        <v>27</v>
      </c>
      <c r="B30" s="7">
        <v>6900</v>
      </c>
      <c r="C30" s="3">
        <f>928.04-78.03</f>
        <v>850.01</v>
      </c>
      <c r="E30" s="7">
        <v>7500</v>
      </c>
      <c r="F30" s="3">
        <f>998.1-83.93</f>
        <v>914.17000000000007</v>
      </c>
      <c r="H30" s="7">
        <v>8800</v>
      </c>
      <c r="I30" s="3">
        <f>977.64-82.2</f>
        <v>895.43999999999994</v>
      </c>
      <c r="K30" s="7">
        <v>8500</v>
      </c>
      <c r="L30" s="3">
        <f>967.2-81.33</f>
        <v>885.87</v>
      </c>
      <c r="N30" s="7">
        <v>8600</v>
      </c>
      <c r="O30" s="3">
        <f>999.81-84.06</f>
        <v>915.75</v>
      </c>
      <c r="Q30" s="9">
        <v>6200</v>
      </c>
      <c r="R30" s="3">
        <f>860.27-72.33</f>
        <v>787.93999999999994</v>
      </c>
      <c r="T30" s="9">
        <v>4900</v>
      </c>
      <c r="U30" s="3">
        <f>779.98-65.58</f>
        <v>714.4</v>
      </c>
      <c r="W30" s="7">
        <v>5200</v>
      </c>
      <c r="X30" s="3">
        <f>766.9-64.48</f>
        <v>702.42</v>
      </c>
      <c r="Z30" s="9">
        <v>7700</v>
      </c>
      <c r="AA30" s="3">
        <f>914.94-76.93</f>
        <v>838.01</v>
      </c>
      <c r="AC30" s="9">
        <v>3900</v>
      </c>
      <c r="AD30" s="3">
        <f>654.75-55.05</f>
        <v>599.70000000000005</v>
      </c>
      <c r="AF30" s="7">
        <v>1700</v>
      </c>
      <c r="AG30" s="3">
        <f>251.69-21.17</f>
        <v>230.51999999999998</v>
      </c>
      <c r="AI30" s="9">
        <v>5500</v>
      </c>
      <c r="AJ30" s="3">
        <f>738.99-62.14</f>
        <v>676.85</v>
      </c>
      <c r="AL30" s="2">
        <f t="shared" si="0"/>
        <v>75400</v>
      </c>
      <c r="AM30" s="5">
        <f t="shared" si="1"/>
        <v>9011.08</v>
      </c>
    </row>
    <row r="31" spans="1:39" x14ac:dyDescent="0.25">
      <c r="A31" s="11">
        <v>28</v>
      </c>
      <c r="B31" s="7">
        <v>1200</v>
      </c>
      <c r="C31" s="3">
        <f>475.45-13.85</f>
        <v>461.59999999999997</v>
      </c>
      <c r="E31" s="7">
        <v>2400</v>
      </c>
      <c r="F31" s="3">
        <f>513.97-14.97</f>
        <v>499</v>
      </c>
      <c r="H31" s="7">
        <v>2100</v>
      </c>
      <c r="I31" s="3">
        <f>479.18-13.96</f>
        <v>465.22</v>
      </c>
      <c r="K31" s="7">
        <v>3000</v>
      </c>
      <c r="L31" s="3">
        <f>487.97-14.21</f>
        <v>473.76000000000005</v>
      </c>
      <c r="N31" s="7">
        <v>1800</v>
      </c>
      <c r="O31" s="3">
        <f>478.98-13.95</f>
        <v>465.03000000000003</v>
      </c>
      <c r="Q31" s="9">
        <v>2400</v>
      </c>
      <c r="R31" s="3">
        <f>486.05-14.16</f>
        <v>471.89</v>
      </c>
      <c r="T31" s="9">
        <v>3300</v>
      </c>
      <c r="U31" s="3">
        <f>518.52-15.1</f>
        <v>503.41999999999996</v>
      </c>
      <c r="W31" s="7">
        <v>4800</v>
      </c>
      <c r="X31" s="3">
        <f>654.92-19.08</f>
        <v>635.83999999999992</v>
      </c>
      <c r="Z31" s="9">
        <v>6600</v>
      </c>
      <c r="AA31" s="3">
        <f>774.6-22.56</f>
        <v>752.04000000000008</v>
      </c>
      <c r="AC31" s="9">
        <v>5100</v>
      </c>
      <c r="AD31" s="3">
        <f>668.22-19.46</f>
        <v>648.76</v>
      </c>
      <c r="AF31" s="7">
        <v>4500</v>
      </c>
      <c r="AG31" s="3">
        <f>555.45-16.18</f>
        <v>539.2700000000001</v>
      </c>
      <c r="AI31" s="9">
        <v>2400</v>
      </c>
      <c r="AJ31" s="3">
        <f>502.85-14.65</f>
        <v>488.20000000000005</v>
      </c>
      <c r="AL31" s="2">
        <f t="shared" si="0"/>
        <v>39600</v>
      </c>
      <c r="AM31" s="5">
        <f t="shared" si="1"/>
        <v>6404.0300000000007</v>
      </c>
    </row>
    <row r="32" spans="1:39" x14ac:dyDescent="0.25">
      <c r="A32" s="11">
        <v>29</v>
      </c>
      <c r="B32" s="7">
        <f>3920+395</f>
        <v>4315</v>
      </c>
      <c r="C32" s="3">
        <f>583.65-17</f>
        <v>566.65</v>
      </c>
      <c r="E32" s="7">
        <f>4000+395</f>
        <v>4395</v>
      </c>
      <c r="F32" s="3">
        <f>630.98-18.38</f>
        <v>612.6</v>
      </c>
      <c r="H32" s="7">
        <f>4800+395</f>
        <v>5195</v>
      </c>
      <c r="I32" s="3">
        <f>669.78-19.51</f>
        <v>650.27</v>
      </c>
      <c r="K32" s="7">
        <f>6560+395</f>
        <v>6955</v>
      </c>
      <c r="L32" s="3">
        <f>825.05-24.03</f>
        <v>801.02</v>
      </c>
      <c r="N32" s="7">
        <f>5120+395</f>
        <v>5515</v>
      </c>
      <c r="O32" s="3">
        <f>716.24-20.86</f>
        <v>695.38</v>
      </c>
      <c r="Q32" s="9">
        <f>4320+395</f>
        <v>4715</v>
      </c>
      <c r="R32" s="3">
        <f>623.93-18.17</f>
        <v>605.76</v>
      </c>
      <c r="T32" s="9">
        <f>5120+395</f>
        <v>5515</v>
      </c>
      <c r="U32" s="3">
        <f>732.49-21.33</f>
        <v>711.16</v>
      </c>
      <c r="W32" s="7">
        <f>7040+395</f>
        <v>7435</v>
      </c>
      <c r="X32" s="3">
        <f>859.98-25.05</f>
        <v>834.93000000000006</v>
      </c>
      <c r="Z32" s="9">
        <f>9680+395</f>
        <v>10075</v>
      </c>
      <c r="AA32" s="3">
        <f>1034.28-30.12</f>
        <v>1004.16</v>
      </c>
      <c r="AC32" s="9">
        <f>8400+395</f>
        <v>8795</v>
      </c>
      <c r="AD32" s="3">
        <f>978.56-28.5</f>
        <v>950.06</v>
      </c>
      <c r="AF32" s="7">
        <f>8240+395</f>
        <v>8635</v>
      </c>
      <c r="AG32" s="3">
        <f>1057.8-30.81</f>
        <v>1026.99</v>
      </c>
      <c r="AI32" s="9">
        <f>5280+395</f>
        <v>5675</v>
      </c>
      <c r="AJ32" s="3">
        <f>751.82-21.9</f>
        <v>729.92000000000007</v>
      </c>
      <c r="AL32" s="2">
        <f t="shared" si="0"/>
        <v>77220</v>
      </c>
      <c r="AM32" s="5">
        <f t="shared" si="1"/>
        <v>9188.9</v>
      </c>
    </row>
    <row r="33" spans="1:39" x14ac:dyDescent="0.25">
      <c r="A33" s="11">
        <v>30</v>
      </c>
      <c r="B33" s="7">
        <v>2960</v>
      </c>
      <c r="C33" s="3">
        <f>465.98-13.57</f>
        <v>452.41</v>
      </c>
      <c r="E33" s="7">
        <v>2720</v>
      </c>
      <c r="F33" s="3">
        <f>478.06-13.92</f>
        <v>464.14</v>
      </c>
      <c r="H33" s="7">
        <v>4000</v>
      </c>
      <c r="I33" s="3">
        <f>561.61-16.36</f>
        <v>545.25</v>
      </c>
      <c r="K33" s="7">
        <v>3760</v>
      </c>
      <c r="L33" s="3">
        <f>535.45-15.6</f>
        <v>519.85</v>
      </c>
      <c r="N33" s="7">
        <v>3040</v>
      </c>
      <c r="O33" s="3">
        <f>474.95-13.83</f>
        <v>461.12</v>
      </c>
      <c r="Q33" s="9">
        <v>2720</v>
      </c>
      <c r="R33" s="3">
        <f>449.42-13.09</f>
        <v>436.33000000000004</v>
      </c>
      <c r="T33" s="9">
        <v>3520</v>
      </c>
      <c r="U33" s="3">
        <f>569.06-16.57</f>
        <v>552.4899999999999</v>
      </c>
      <c r="W33" s="7">
        <v>5200</v>
      </c>
      <c r="X33" s="3">
        <f>710.15-20.68</f>
        <v>689.47</v>
      </c>
      <c r="Z33" s="9">
        <v>8480</v>
      </c>
      <c r="AA33" s="3">
        <f>987.71-28.77</f>
        <v>958.94</v>
      </c>
      <c r="AC33" s="9">
        <v>5840</v>
      </c>
      <c r="AD33" s="3">
        <f>694.7-20.23</f>
        <v>674.47</v>
      </c>
      <c r="AF33" s="7">
        <v>4240</v>
      </c>
      <c r="AG33" s="3">
        <f>525.91-15.32</f>
        <v>510.59</v>
      </c>
      <c r="AI33" s="9">
        <v>3120</v>
      </c>
      <c r="AJ33" s="3">
        <f>415.38-12.1</f>
        <v>403.28</v>
      </c>
      <c r="AL33" s="2">
        <f t="shared" si="0"/>
        <v>49600</v>
      </c>
      <c r="AM33" s="5">
        <f t="shared" si="1"/>
        <v>6668.34</v>
      </c>
    </row>
    <row r="34" spans="1:39" x14ac:dyDescent="0.25">
      <c r="A34" s="11">
        <v>31</v>
      </c>
      <c r="B34" s="7">
        <v>2120</v>
      </c>
      <c r="C34" s="3">
        <f>309.35-26.01</f>
        <v>283.34000000000003</v>
      </c>
      <c r="E34" s="7">
        <v>2000</v>
      </c>
      <c r="F34" s="3">
        <f>326.42-27.45</f>
        <v>298.97000000000003</v>
      </c>
      <c r="H34" s="7">
        <v>2200</v>
      </c>
      <c r="I34" s="3">
        <f>411.98-34.64</f>
        <v>377.34000000000003</v>
      </c>
      <c r="K34" s="7">
        <v>2200</v>
      </c>
      <c r="L34" s="3">
        <f>417.84-35.13</f>
        <v>382.71</v>
      </c>
      <c r="N34" s="7">
        <v>2080</v>
      </c>
      <c r="O34" s="3">
        <f>405.17-34.06</f>
        <v>371.11</v>
      </c>
      <c r="Q34" s="9">
        <v>2240</v>
      </c>
      <c r="R34" s="3">
        <f>329.26-27.69</f>
        <v>301.57</v>
      </c>
      <c r="T34" s="9">
        <v>2680</v>
      </c>
      <c r="U34" s="3">
        <f>393.68-33.1</f>
        <v>360.58</v>
      </c>
      <c r="W34" s="7">
        <v>3000</v>
      </c>
      <c r="X34" s="3">
        <f>423.99-35.65</f>
        <v>388.34000000000003</v>
      </c>
      <c r="Z34" s="9">
        <v>3560</v>
      </c>
      <c r="AA34" s="3">
        <f>546-45.91</f>
        <v>500.09000000000003</v>
      </c>
      <c r="AC34" s="9">
        <v>2720</v>
      </c>
      <c r="AD34" s="3">
        <f>363.47-30.56</f>
        <v>332.91</v>
      </c>
      <c r="AF34" s="7">
        <v>2520</v>
      </c>
      <c r="AG34" s="3">
        <f>350.4-29.46</f>
        <v>320.94</v>
      </c>
      <c r="AI34" s="9">
        <v>2120</v>
      </c>
      <c r="AJ34" s="3">
        <f>314.8-26.47</f>
        <v>288.33000000000004</v>
      </c>
      <c r="AL34" s="2">
        <f t="shared" si="0"/>
        <v>29440</v>
      </c>
      <c r="AM34" s="5">
        <f t="shared" si="1"/>
        <v>4206.2300000000005</v>
      </c>
    </row>
    <row r="35" spans="1:39" x14ac:dyDescent="0.25">
      <c r="A35" s="11">
        <v>32</v>
      </c>
      <c r="B35" s="7">
        <v>1517</v>
      </c>
      <c r="C35" s="3">
        <f>318.49-31.78</f>
        <v>286.71000000000004</v>
      </c>
      <c r="E35" s="7">
        <v>1463</v>
      </c>
      <c r="F35" s="3">
        <f>332.81-32.98</f>
        <v>299.83</v>
      </c>
      <c r="H35" s="7">
        <v>1797</v>
      </c>
      <c r="I35" s="3">
        <f>319.24-31.84</f>
        <v>287.40000000000003</v>
      </c>
      <c r="K35" s="7">
        <v>1843</v>
      </c>
      <c r="L35" s="3">
        <f>316.77-31.63</f>
        <v>285.14</v>
      </c>
      <c r="N35" s="7">
        <v>1545</v>
      </c>
      <c r="O35" s="3">
        <f>316.3-31.59</f>
        <v>284.71000000000004</v>
      </c>
      <c r="Q35" s="9">
        <v>1334</v>
      </c>
      <c r="R35" s="3">
        <f>313.12-31.32</f>
        <v>281.8</v>
      </c>
      <c r="T35" s="9">
        <v>2349</v>
      </c>
      <c r="U35" s="3">
        <f>407.55-39.27</f>
        <v>368.28000000000003</v>
      </c>
      <c r="W35" s="7">
        <v>2987</v>
      </c>
      <c r="X35" s="3">
        <f>456.94-43.42</f>
        <v>413.52</v>
      </c>
      <c r="Z35" s="9">
        <v>3506</v>
      </c>
      <c r="AA35" s="3">
        <f>477.06-45.11</f>
        <v>431.95</v>
      </c>
      <c r="AC35" s="9">
        <v>2251</v>
      </c>
      <c r="AD35" s="3">
        <f>358.56-35.15</f>
        <v>323.41000000000003</v>
      </c>
      <c r="AF35" s="7">
        <v>1575</v>
      </c>
      <c r="AG35" s="3">
        <f>315.37-31.52</f>
        <v>283.85000000000002</v>
      </c>
      <c r="AI35" s="9">
        <v>1678</v>
      </c>
      <c r="AJ35" s="3">
        <f>329.78-32.73</f>
        <v>297.04999999999995</v>
      </c>
      <c r="AL35" s="2">
        <f t="shared" si="0"/>
        <v>23845</v>
      </c>
      <c r="AM35" s="5">
        <f t="shared" si="1"/>
        <v>3843.6499999999996</v>
      </c>
    </row>
    <row r="36" spans="1:39" x14ac:dyDescent="0.25">
      <c r="A36" s="11">
        <v>33</v>
      </c>
      <c r="B36" s="7">
        <v>6600</v>
      </c>
      <c r="C36" s="3">
        <f>836.34-70.32</f>
        <v>766.02</v>
      </c>
      <c r="E36" s="7">
        <v>7200</v>
      </c>
      <c r="F36" s="3">
        <f>958.88-80.63</f>
        <v>878.25</v>
      </c>
      <c r="H36" s="7">
        <v>8800</v>
      </c>
      <c r="I36" s="3">
        <f>1001.84-84.24</f>
        <v>917.6</v>
      </c>
      <c r="K36" s="7">
        <v>7400</v>
      </c>
      <c r="L36" s="3">
        <f>896.83-75.4</f>
        <v>821.43000000000006</v>
      </c>
      <c r="N36" s="7">
        <v>6200</v>
      </c>
      <c r="O36" s="3">
        <f>807.74-67.91</f>
        <v>739.83</v>
      </c>
      <c r="Q36" s="9">
        <v>5000</v>
      </c>
      <c r="R36" s="3">
        <f>611.63-51.43</f>
        <v>560.20000000000005</v>
      </c>
      <c r="T36" s="9">
        <v>4600</v>
      </c>
      <c r="U36" s="3">
        <f>610.16-51.31</f>
        <v>558.84999999999991</v>
      </c>
      <c r="W36" s="7">
        <v>5000</v>
      </c>
      <c r="X36" s="3">
        <f>605.32-50.89</f>
        <v>554.43000000000006</v>
      </c>
      <c r="Z36" s="9">
        <v>5800</v>
      </c>
      <c r="AA36" s="3">
        <f>633.49-53.27</f>
        <v>580.22</v>
      </c>
      <c r="AC36" s="9">
        <v>3600</v>
      </c>
      <c r="AD36" s="3">
        <f>459.82-38.66</f>
        <v>421.15999999999997</v>
      </c>
      <c r="AF36" s="7">
        <v>5000</v>
      </c>
      <c r="AG36" s="3">
        <f>648.95-54.56</f>
        <v>594.3900000000001</v>
      </c>
      <c r="AI36" s="9">
        <v>4200</v>
      </c>
      <c r="AJ36" s="3">
        <f>575.83-48.41</f>
        <v>527.42000000000007</v>
      </c>
      <c r="AL36" s="2">
        <f t="shared" si="0"/>
        <v>69400</v>
      </c>
      <c r="AM36" s="5">
        <f t="shared" si="1"/>
        <v>7919.8000000000011</v>
      </c>
    </row>
    <row r="37" spans="1:39" x14ac:dyDescent="0.25">
      <c r="A37" s="11">
        <v>34</v>
      </c>
      <c r="B37" s="7">
        <f>5680+681</f>
        <v>6361</v>
      </c>
      <c r="C37" s="3">
        <f>991.12-126.56</f>
        <v>864.56</v>
      </c>
      <c r="E37" s="7">
        <f>6040+681</f>
        <v>6721</v>
      </c>
      <c r="F37" s="3">
        <f>1086.79-138.78</f>
        <v>948.01</v>
      </c>
      <c r="H37" s="7">
        <f>7240+681</f>
        <v>7921</v>
      </c>
      <c r="I37" s="3">
        <f>1078.84-137.76</f>
        <v>941.07999999999993</v>
      </c>
      <c r="K37" s="7">
        <f>7160+681</f>
        <v>7841</v>
      </c>
      <c r="L37" s="3">
        <f>1103.77-140.95</f>
        <v>962.81999999999994</v>
      </c>
      <c r="N37" s="7">
        <f>6040+681</f>
        <v>6721</v>
      </c>
      <c r="O37" s="3">
        <f>1031.83-131.76</f>
        <v>900.06999999999994</v>
      </c>
      <c r="Q37" s="9">
        <f>5200+681</f>
        <v>5881</v>
      </c>
      <c r="R37" s="3">
        <f>957.72-122.3</f>
        <v>835.42000000000007</v>
      </c>
      <c r="T37" s="9">
        <f>5200+681</f>
        <v>5881</v>
      </c>
      <c r="U37" s="3">
        <f>998.6-127.51</f>
        <v>871.09</v>
      </c>
      <c r="W37" s="7">
        <f>6760+681</f>
        <v>7441</v>
      </c>
      <c r="X37" s="3">
        <f>1084.58-138.49</f>
        <v>946.08999999999992</v>
      </c>
      <c r="Z37" s="9">
        <f>8480+681</f>
        <v>9161</v>
      </c>
      <c r="AA37" s="3">
        <f>1175.3-150.08</f>
        <v>1025.22</v>
      </c>
      <c r="AC37" s="9">
        <f>7000+681</f>
        <v>7681</v>
      </c>
      <c r="AD37" s="3">
        <f>1064.98-135.99</f>
        <v>928.99</v>
      </c>
      <c r="AF37" s="7">
        <f>5720+681</f>
        <v>6401</v>
      </c>
      <c r="AG37" s="3">
        <f>928.41-118.55</f>
        <v>809.86</v>
      </c>
      <c r="AI37" s="9">
        <f>5560+681</f>
        <v>6241</v>
      </c>
      <c r="AJ37" s="3">
        <f>946.06-120.81</f>
        <v>825.25</v>
      </c>
      <c r="AL37" s="2">
        <f t="shared" ref="AL37:AL100" si="2">+B37+E37+H37+K37+N37+Q37+T37+W37+Z37+AC37+AF37+AI37</f>
        <v>84252</v>
      </c>
      <c r="AM37" s="5">
        <f t="shared" ref="AM37:AM100" si="3">+C37+F37+I37+L37+O37+R37+U37+X37+AA37+AD37+AG37+AJ37</f>
        <v>10858.46</v>
      </c>
    </row>
    <row r="38" spans="1:39" x14ac:dyDescent="0.25">
      <c r="A38" s="11">
        <v>35</v>
      </c>
      <c r="B38" s="7">
        <v>16305</v>
      </c>
      <c r="C38" s="3">
        <f>1695.97-142.6</f>
        <v>1553.3700000000001</v>
      </c>
      <c r="E38" s="7">
        <v>16392</v>
      </c>
      <c r="F38" s="3">
        <f>1843.57-155.01</f>
        <v>1688.56</v>
      </c>
      <c r="H38" s="7">
        <v>17083</v>
      </c>
      <c r="I38" s="3">
        <f>1653.5-139.02</f>
        <v>1514.48</v>
      </c>
      <c r="K38" s="7">
        <v>13277</v>
      </c>
      <c r="L38" s="3">
        <f>1380.33-116.06</f>
        <v>1264.27</v>
      </c>
      <c r="N38" s="7">
        <v>12219</v>
      </c>
      <c r="O38" s="3">
        <f>1336.96-112.42</f>
        <v>1224.54</v>
      </c>
      <c r="Q38" s="9">
        <v>16090</v>
      </c>
      <c r="R38" s="3">
        <f>1659.6-139.54</f>
        <v>1520.06</v>
      </c>
      <c r="T38" s="9">
        <v>15214</v>
      </c>
      <c r="U38" s="3">
        <f>1662.39-139.78</f>
        <v>1522.6100000000001</v>
      </c>
      <c r="W38" s="7">
        <v>15392</v>
      </c>
      <c r="X38" s="3">
        <f>1544.55-129.87</f>
        <v>1414.6799999999998</v>
      </c>
      <c r="Z38" s="9">
        <v>14948</v>
      </c>
      <c r="AA38" s="3">
        <f>1408.77-118.45</f>
        <v>1290.32</v>
      </c>
      <c r="AC38" s="9">
        <v>14359</v>
      </c>
      <c r="AD38" s="3">
        <f>1432.08-120.41</f>
        <v>1311.6699999999998</v>
      </c>
      <c r="AF38" s="7">
        <v>15498</v>
      </c>
      <c r="AG38" s="3">
        <f>1912.78-160.83</f>
        <v>1751.95</v>
      </c>
      <c r="AI38" s="9">
        <v>15080</v>
      </c>
      <c r="AJ38" s="3">
        <f>1941.23-163.22</f>
        <v>1778.01</v>
      </c>
      <c r="AL38" s="2">
        <f t="shared" si="2"/>
        <v>181857</v>
      </c>
      <c r="AM38" s="5">
        <f t="shared" si="3"/>
        <v>17834.52</v>
      </c>
    </row>
    <row r="39" spans="1:39" x14ac:dyDescent="0.25">
      <c r="A39" s="11">
        <v>36</v>
      </c>
      <c r="B39" s="7">
        <v>0</v>
      </c>
      <c r="C39" s="3">
        <f>96.79-8.14</f>
        <v>88.65</v>
      </c>
      <c r="E39" s="7">
        <v>0</v>
      </c>
      <c r="F39" s="3">
        <f>98.52-8.29</f>
        <v>90.22999999999999</v>
      </c>
      <c r="H39" s="7">
        <v>100</v>
      </c>
      <c r="I39" s="3">
        <f>104.47-8.78</f>
        <v>95.69</v>
      </c>
      <c r="K39" s="7">
        <v>0</v>
      </c>
      <c r="L39" s="3">
        <f>96.63-8.13</f>
        <v>88.5</v>
      </c>
      <c r="N39" s="7">
        <v>0</v>
      </c>
      <c r="O39" s="3">
        <f>94.03-7.9</f>
        <v>86.13</v>
      </c>
      <c r="Q39" s="9">
        <v>0</v>
      </c>
      <c r="R39" s="3">
        <f>94.73-7.96</f>
        <v>86.77000000000001</v>
      </c>
      <c r="T39" s="9">
        <v>0</v>
      </c>
      <c r="U39" s="3">
        <f>96.32-8.1</f>
        <v>88.22</v>
      </c>
      <c r="W39" s="7">
        <v>0</v>
      </c>
      <c r="X39" s="3">
        <f>96.52-8.11</f>
        <v>88.41</v>
      </c>
      <c r="Z39" s="9">
        <v>0</v>
      </c>
      <c r="AA39" s="3">
        <f>94.5-7.95</f>
        <v>86.55</v>
      </c>
      <c r="AC39" s="9">
        <v>0</v>
      </c>
      <c r="AD39" s="3">
        <f>94.99-7.99</f>
        <v>87</v>
      </c>
      <c r="AF39" s="7">
        <v>100</v>
      </c>
      <c r="AG39" s="3">
        <f>72.31-6.08</f>
        <v>66.23</v>
      </c>
      <c r="AI39" s="9">
        <v>0</v>
      </c>
      <c r="AJ39" s="3">
        <f>73.13-6.15</f>
        <v>66.97999999999999</v>
      </c>
      <c r="AL39" s="2">
        <f t="shared" si="2"/>
        <v>200</v>
      </c>
      <c r="AM39" s="5">
        <f t="shared" si="3"/>
        <v>1019.36</v>
      </c>
    </row>
    <row r="40" spans="1:39" x14ac:dyDescent="0.25">
      <c r="A40" s="11">
        <v>37</v>
      </c>
      <c r="B40" s="7">
        <v>6720</v>
      </c>
      <c r="C40" s="3">
        <f>869.07-25.31</f>
        <v>843.7600000000001</v>
      </c>
      <c r="E40" s="7">
        <v>7520</v>
      </c>
      <c r="F40" s="3">
        <f>1000.2-29.13</f>
        <v>971.07</v>
      </c>
      <c r="H40" s="7">
        <v>9120</v>
      </c>
      <c r="I40" s="3">
        <f>1010.04-29.42</f>
        <v>980.62</v>
      </c>
      <c r="K40" s="7">
        <v>7280</v>
      </c>
      <c r="L40" s="3">
        <f>896.6-26.11</f>
        <v>870.49</v>
      </c>
      <c r="N40" s="7">
        <v>5680</v>
      </c>
      <c r="O40" s="3">
        <f>764-22.25</f>
        <v>741.75</v>
      </c>
      <c r="Q40" s="9">
        <v>4320</v>
      </c>
      <c r="R40" s="3">
        <f>609-17.74</f>
        <v>591.26</v>
      </c>
      <c r="T40" s="9">
        <v>3840</v>
      </c>
      <c r="U40" s="3">
        <f>591.64-17.23</f>
        <v>574.41</v>
      </c>
      <c r="W40" s="7">
        <v>4160</v>
      </c>
      <c r="X40" s="3">
        <f>547.4-15.94</f>
        <v>531.45999999999992</v>
      </c>
      <c r="Z40" s="9">
        <v>5520</v>
      </c>
      <c r="AA40" s="3">
        <f>614.9-17.91</f>
        <v>596.99</v>
      </c>
      <c r="AC40" s="9">
        <v>4160</v>
      </c>
      <c r="AD40" s="3">
        <f>543.05-15.82</f>
        <v>527.2299999999999</v>
      </c>
      <c r="AF40" s="7">
        <v>3840</v>
      </c>
      <c r="AG40" s="3">
        <f>480.47-13.99</f>
        <v>466.48</v>
      </c>
      <c r="AI40" s="9">
        <v>4240</v>
      </c>
      <c r="AJ40" s="3">
        <f>547.98-15.96</f>
        <v>532.02</v>
      </c>
      <c r="AL40" s="2">
        <f t="shared" si="2"/>
        <v>66400</v>
      </c>
      <c r="AM40" s="5">
        <f t="shared" si="3"/>
        <v>8227.5400000000009</v>
      </c>
    </row>
    <row r="41" spans="1:39" x14ac:dyDescent="0.25">
      <c r="A41" s="11">
        <v>38</v>
      </c>
      <c r="B41" s="7">
        <f>8080+46</f>
        <v>8126</v>
      </c>
      <c r="C41" s="3">
        <f>1255.37-160.3</f>
        <v>1095.07</v>
      </c>
      <c r="E41" s="7">
        <f>9640+46</f>
        <v>9686</v>
      </c>
      <c r="F41" s="3">
        <f>1493.58-190.72</f>
        <v>1302.8599999999999</v>
      </c>
      <c r="H41" s="7">
        <f>11720+46</f>
        <v>11766</v>
      </c>
      <c r="I41" s="3">
        <f>1529.92-195.37</f>
        <v>1334.5500000000002</v>
      </c>
      <c r="K41" s="7">
        <f>11760+46</f>
        <v>11806</v>
      </c>
      <c r="L41" s="3">
        <f>1577.39-201.43</f>
        <v>1375.96</v>
      </c>
      <c r="N41" s="7">
        <f>9280+46</f>
        <v>9326</v>
      </c>
      <c r="O41" s="3">
        <f>1401.72-179</f>
        <v>1222.72</v>
      </c>
      <c r="Q41" s="9">
        <f>7240+46</f>
        <v>7286</v>
      </c>
      <c r="R41" s="3">
        <f>1222.12-156.06</f>
        <v>1066.06</v>
      </c>
      <c r="T41" s="9">
        <f>6240+46</f>
        <v>6286</v>
      </c>
      <c r="U41" s="3">
        <f>1179.82-150.66</f>
        <v>1029.1599999999999</v>
      </c>
      <c r="W41" s="7">
        <f>6240+46</f>
        <v>6286</v>
      </c>
      <c r="X41" s="3">
        <f>1129.63-144.25</f>
        <v>985.38000000000011</v>
      </c>
      <c r="Z41" s="9">
        <f>6920+46</f>
        <v>6966</v>
      </c>
      <c r="AA41" s="3">
        <f>904.3-115.48</f>
        <v>788.81999999999994</v>
      </c>
      <c r="AC41" s="9">
        <f>6240+46</f>
        <v>6286</v>
      </c>
      <c r="AD41" s="3">
        <f>909.47-116.14</f>
        <v>793.33</v>
      </c>
      <c r="AF41" s="7">
        <f>6520+46</f>
        <v>6566</v>
      </c>
      <c r="AG41" s="3">
        <f>909.18-116.09</f>
        <v>793.08999999999992</v>
      </c>
      <c r="AI41" s="9">
        <f>7320+46</f>
        <v>7366</v>
      </c>
      <c r="AJ41" s="3">
        <f>1052.77-134.44</f>
        <v>918.32999999999993</v>
      </c>
      <c r="AL41" s="2">
        <f t="shared" si="2"/>
        <v>97752</v>
      </c>
      <c r="AM41" s="5">
        <f t="shared" si="3"/>
        <v>12705.330000000002</v>
      </c>
    </row>
    <row r="42" spans="1:39" x14ac:dyDescent="0.25">
      <c r="A42" s="11">
        <v>39</v>
      </c>
      <c r="B42" s="7">
        <f>400+92</f>
        <v>492</v>
      </c>
      <c r="C42" s="3">
        <f>200.5-21.99</f>
        <v>178.51</v>
      </c>
      <c r="E42" s="7">
        <f>320+92</f>
        <v>412</v>
      </c>
      <c r="F42" s="3">
        <f>197.58-21.61</f>
        <v>175.97000000000003</v>
      </c>
      <c r="H42" s="7">
        <f>320+92</f>
        <v>412</v>
      </c>
      <c r="I42" s="3">
        <f>177.11-21.12</f>
        <v>155.99</v>
      </c>
      <c r="K42" s="7">
        <f>400+92</f>
        <v>492</v>
      </c>
      <c r="L42" s="3">
        <f>199.31-21.76</f>
        <v>177.55</v>
      </c>
      <c r="N42" s="7">
        <f>320+92</f>
        <v>412</v>
      </c>
      <c r="O42" s="3">
        <f>189.98-20.97</f>
        <v>169.01</v>
      </c>
      <c r="Q42" s="9">
        <f>320+92</f>
        <v>412</v>
      </c>
      <c r="R42" s="3">
        <f>193.41-21.26</f>
        <v>172.15</v>
      </c>
      <c r="T42" s="9">
        <f>480+92</f>
        <v>572</v>
      </c>
      <c r="U42" s="3">
        <f>239.97-25.17</f>
        <v>214.8</v>
      </c>
      <c r="W42" s="7">
        <f>560+92</f>
        <v>652</v>
      </c>
      <c r="X42" s="3">
        <f>239.35-25.13</f>
        <v>214.22</v>
      </c>
      <c r="Z42" s="9">
        <f>1120+92</f>
        <v>1212</v>
      </c>
      <c r="AA42" s="3">
        <f>280.51-28.59</f>
        <v>251.92</v>
      </c>
      <c r="AC42" s="9">
        <f>480+92</f>
        <v>572</v>
      </c>
      <c r="AD42" s="3">
        <f>229.45-24.29</f>
        <v>205.16</v>
      </c>
      <c r="AF42" s="7">
        <f>480+92</f>
        <v>572</v>
      </c>
      <c r="AG42" s="3">
        <f>178.2-19.99</f>
        <v>158.20999999999998</v>
      </c>
      <c r="AI42" s="9">
        <f>320+92</f>
        <v>412</v>
      </c>
      <c r="AJ42" s="3">
        <f>164.86-18.86</f>
        <v>146</v>
      </c>
      <c r="AL42" s="2">
        <f t="shared" si="2"/>
        <v>6624</v>
      </c>
      <c r="AM42" s="5">
        <f t="shared" si="3"/>
        <v>2219.4900000000002</v>
      </c>
    </row>
    <row r="43" spans="1:39" x14ac:dyDescent="0.25">
      <c r="A43" s="11">
        <v>40</v>
      </c>
      <c r="B43" s="7">
        <f>6720+292</f>
        <v>7012</v>
      </c>
      <c r="C43" s="3">
        <f>922.45-26.87</f>
        <v>895.58</v>
      </c>
      <c r="E43" s="7">
        <f>9000+292</f>
        <v>9292</v>
      </c>
      <c r="F43" s="3">
        <f>1340.24-39.04</f>
        <v>1301.2</v>
      </c>
      <c r="H43" s="7">
        <f>10800+292</f>
        <v>11092</v>
      </c>
      <c r="I43" s="3">
        <f>1266.12-36.88</f>
        <v>1229.2399999999998</v>
      </c>
      <c r="K43" s="7">
        <f>10200+292</f>
        <v>10492</v>
      </c>
      <c r="L43" s="3">
        <f>1210.5-35.26</f>
        <v>1175.24</v>
      </c>
      <c r="N43" s="7">
        <f>8760+292</f>
        <v>9052</v>
      </c>
      <c r="O43" s="3">
        <f>1109.42-32.31</f>
        <v>1077.1100000000001</v>
      </c>
      <c r="Q43" s="9">
        <f>6000+292</f>
        <v>6292</v>
      </c>
      <c r="R43" s="3">
        <f>877.36-25.55</f>
        <v>851.81000000000006</v>
      </c>
      <c r="T43" s="9">
        <f>5400+292</f>
        <v>5692</v>
      </c>
      <c r="U43" s="3">
        <f>823.75-23.99</f>
        <v>799.76</v>
      </c>
      <c r="W43" s="7">
        <f>6120+292</f>
        <v>6412</v>
      </c>
      <c r="X43" s="3">
        <f>816.18-23.77</f>
        <v>792.41</v>
      </c>
      <c r="Z43" s="9">
        <f>7040+292</f>
        <v>7332</v>
      </c>
      <c r="AA43" s="3">
        <f>914.07-26.62</f>
        <v>887.45</v>
      </c>
      <c r="AC43" s="9">
        <f>5680+292</f>
        <v>5972</v>
      </c>
      <c r="AD43" s="3">
        <f>803.36-23.4</f>
        <v>779.96</v>
      </c>
      <c r="AF43" s="7">
        <f>6040+292</f>
        <v>6332</v>
      </c>
      <c r="AG43" s="3">
        <f>843.49-24.57</f>
        <v>818.92</v>
      </c>
      <c r="AI43" s="9">
        <f>5360+292</f>
        <v>5652</v>
      </c>
      <c r="AJ43" s="3">
        <f>798.04-23.24</f>
        <v>774.8</v>
      </c>
      <c r="AL43" s="2">
        <f t="shared" si="2"/>
        <v>90624</v>
      </c>
      <c r="AM43" s="5">
        <f t="shared" si="3"/>
        <v>11383.480000000001</v>
      </c>
    </row>
    <row r="44" spans="1:39" x14ac:dyDescent="0.25">
      <c r="A44" s="11">
        <v>41</v>
      </c>
      <c r="B44" s="7">
        <v>0</v>
      </c>
      <c r="C44" s="3">
        <f>146.39-12.31</f>
        <v>134.07999999999998</v>
      </c>
      <c r="E44" s="7">
        <v>0</v>
      </c>
      <c r="F44" s="3">
        <f>149-12.52</f>
        <v>136.47999999999999</v>
      </c>
      <c r="H44" s="7">
        <v>0</v>
      </c>
      <c r="I44" s="3">
        <f>149.28-12.55</f>
        <v>136.72999999999999</v>
      </c>
      <c r="K44" s="7">
        <v>0</v>
      </c>
      <c r="L44" s="3">
        <f>149.08-12.54</f>
        <v>136.54000000000002</v>
      </c>
      <c r="N44" s="7">
        <v>0</v>
      </c>
      <c r="O44" s="3">
        <f>145.09-12.2</f>
        <v>132.89000000000001</v>
      </c>
      <c r="Q44" s="7">
        <v>0</v>
      </c>
      <c r="R44" s="3">
        <f>144.71-12.17</f>
        <v>132.54000000000002</v>
      </c>
      <c r="T44" s="7">
        <v>0</v>
      </c>
      <c r="U44" s="3">
        <f>147.13-12.37</f>
        <v>134.76</v>
      </c>
      <c r="W44" s="7">
        <v>0</v>
      </c>
      <c r="X44" s="3">
        <f>147.45-12.4</f>
        <v>135.04999999999998</v>
      </c>
      <c r="Z44" s="7">
        <v>0</v>
      </c>
      <c r="AA44" s="3">
        <f>145.78-12.26</f>
        <v>133.52000000000001</v>
      </c>
      <c r="AC44" s="7">
        <v>0</v>
      </c>
      <c r="AD44" s="3">
        <f>145.09-12.2</f>
        <v>132.89000000000001</v>
      </c>
      <c r="AF44" s="7">
        <v>0</v>
      </c>
      <c r="AG44" s="3">
        <f>141.1-11.87</f>
        <v>129.22999999999999</v>
      </c>
      <c r="AI44" s="7">
        <v>0</v>
      </c>
      <c r="AJ44" s="3">
        <f>146.27-12.3</f>
        <v>133.97</v>
      </c>
      <c r="AL44" s="2">
        <f t="shared" si="2"/>
        <v>0</v>
      </c>
      <c r="AM44" s="5">
        <f t="shared" si="3"/>
        <v>1608.68</v>
      </c>
    </row>
    <row r="45" spans="1:39" x14ac:dyDescent="0.25">
      <c r="A45" s="11">
        <v>42</v>
      </c>
      <c r="B45" s="7">
        <f>11067+167</f>
        <v>11234</v>
      </c>
      <c r="C45" s="3">
        <f>1272.64-112.01</f>
        <v>1160.6300000000001</v>
      </c>
      <c r="E45" s="7">
        <f>11220+167</f>
        <v>11387</v>
      </c>
      <c r="F45" s="3">
        <f>1408.9-123.46</f>
        <v>1285.44</v>
      </c>
      <c r="H45" s="7">
        <f>12173+167</f>
        <v>12340</v>
      </c>
      <c r="I45" s="3">
        <f>1331.81-116.98</f>
        <v>1214.83</v>
      </c>
      <c r="K45" s="7">
        <f>12073+167</f>
        <v>12240</v>
      </c>
      <c r="L45" s="3">
        <f>1332.78-117.06</f>
        <v>1215.72</v>
      </c>
      <c r="N45" s="7">
        <f>10395+167</f>
        <v>10562</v>
      </c>
      <c r="O45" s="3">
        <f>1196.04-105.56</f>
        <v>1090.48</v>
      </c>
      <c r="Q45" s="9">
        <f>10822+167</f>
        <v>10989</v>
      </c>
      <c r="R45" s="3">
        <f>1254.01-110.44</f>
        <v>1143.57</v>
      </c>
      <c r="T45" s="9">
        <f>10092+167</f>
        <v>10259</v>
      </c>
      <c r="U45" s="3">
        <f>1293.63-113.77</f>
        <v>1179.8600000000001</v>
      </c>
      <c r="W45" s="7">
        <f>10739+167</f>
        <v>10906</v>
      </c>
      <c r="X45" s="3">
        <f>1267.41-111.57</f>
        <v>1155.8400000000001</v>
      </c>
      <c r="Z45" s="9">
        <f>10347+167</f>
        <v>10514</v>
      </c>
      <c r="AA45" s="3">
        <f>1134.72-100.41</f>
        <v>1034.31</v>
      </c>
      <c r="AC45" s="9">
        <f>9932+167</f>
        <v>10099</v>
      </c>
      <c r="AD45" s="3">
        <f>1133.73-100.32</f>
        <v>1033.4100000000001</v>
      </c>
      <c r="AF45" s="7">
        <f>10552+167</f>
        <v>10719</v>
      </c>
      <c r="AG45" s="3">
        <f>1353.5-118.8</f>
        <v>1234.7</v>
      </c>
      <c r="AI45" s="9">
        <f>10130+167</f>
        <v>10297</v>
      </c>
      <c r="AJ45" s="3">
        <f>1357.44-119.14</f>
        <v>1238.3</v>
      </c>
      <c r="AL45" s="2">
        <f t="shared" si="2"/>
        <v>131546</v>
      </c>
      <c r="AM45" s="5">
        <f t="shared" si="3"/>
        <v>13987.09</v>
      </c>
    </row>
    <row r="46" spans="1:39" x14ac:dyDescent="0.25">
      <c r="A46" s="11">
        <v>43</v>
      </c>
      <c r="B46" s="7">
        <v>4000</v>
      </c>
      <c r="C46" s="3">
        <f>590.73-54.67</f>
        <v>536.06000000000006</v>
      </c>
      <c r="E46" s="7">
        <v>6800</v>
      </c>
      <c r="F46" s="3">
        <f>919.74-82.33</f>
        <v>837.41</v>
      </c>
      <c r="H46" s="7">
        <v>8800</v>
      </c>
      <c r="I46" s="3">
        <f>982.13-87.58</f>
        <v>894.55</v>
      </c>
      <c r="K46" s="7">
        <v>7200</v>
      </c>
      <c r="L46" s="3">
        <f>828.54-74.67</f>
        <v>753.87</v>
      </c>
      <c r="N46" s="7">
        <v>7200</v>
      </c>
      <c r="O46" s="3">
        <f>941.93-84.2</f>
        <v>857.7299999999999</v>
      </c>
      <c r="Q46" s="9">
        <v>4200</v>
      </c>
      <c r="R46" s="3">
        <f>690.88-63.09</f>
        <v>627.79</v>
      </c>
      <c r="T46" s="9">
        <v>3800</v>
      </c>
      <c r="U46" s="3">
        <f>601.56-55.58</f>
        <v>545.9799999999999</v>
      </c>
      <c r="W46" s="7">
        <v>3400</v>
      </c>
      <c r="X46" s="3">
        <f>507.46-47.66</f>
        <v>459.79999999999995</v>
      </c>
      <c r="Z46" s="9">
        <v>6000</v>
      </c>
      <c r="AA46" s="3">
        <f>697.42-63.64</f>
        <v>633.78</v>
      </c>
      <c r="AC46" s="9">
        <v>0</v>
      </c>
      <c r="AD46" s="3">
        <f>546.62-50.96</f>
        <v>495.66</v>
      </c>
      <c r="AF46" s="7">
        <v>2000</v>
      </c>
      <c r="AG46" s="3">
        <f>293.26-29.66</f>
        <v>263.59999999999997</v>
      </c>
      <c r="AI46" s="9">
        <v>200</v>
      </c>
      <c r="AJ46">
        <f>79.31-11.67</f>
        <v>67.64</v>
      </c>
      <c r="AL46" s="2">
        <f t="shared" si="2"/>
        <v>53600</v>
      </c>
      <c r="AM46" s="5">
        <f>+C46+F46+I46+L46+O46+R46+U46+X46+AA46+AD46+AG46+AJ46</f>
        <v>6973.87</v>
      </c>
    </row>
    <row r="47" spans="1:39" x14ac:dyDescent="0.25">
      <c r="A47" s="11">
        <v>44</v>
      </c>
      <c r="B47" s="7">
        <v>25200</v>
      </c>
      <c r="C47" s="3">
        <f>2673.13-224.76</f>
        <v>2448.37</v>
      </c>
      <c r="E47" s="7">
        <v>15300</v>
      </c>
      <c r="F47" s="3">
        <f>1947.54-163.75</f>
        <v>1783.79</v>
      </c>
      <c r="H47" s="7">
        <v>14000</v>
      </c>
      <c r="I47" s="3">
        <f>1610.92-135.44</f>
        <v>1475.48</v>
      </c>
      <c r="K47" s="7">
        <v>11900</v>
      </c>
      <c r="L47" s="3">
        <f>1477-124.18</f>
        <v>1352.82</v>
      </c>
      <c r="N47" s="7">
        <v>14300</v>
      </c>
      <c r="O47" s="3">
        <f>1713.15-144.04</f>
        <v>1569.1100000000001</v>
      </c>
      <c r="Q47" s="9">
        <v>19800</v>
      </c>
      <c r="R47" s="3">
        <f>2201.86-185.13</f>
        <v>2016.73</v>
      </c>
      <c r="T47" s="9">
        <v>26000</v>
      </c>
      <c r="U47" s="3">
        <f>2877.47-241.95</f>
        <v>2635.52</v>
      </c>
      <c r="W47" s="7">
        <v>16200</v>
      </c>
      <c r="X47" s="3">
        <f>1649.76-138.71</f>
        <v>1511.05</v>
      </c>
      <c r="Z47" s="9">
        <v>12000</v>
      </c>
      <c r="AA47" s="3">
        <f>1440.67-121.14</f>
        <v>1319.53</v>
      </c>
      <c r="AC47" s="9">
        <v>23200</v>
      </c>
      <c r="AD47" s="3">
        <f>2374.86-199.69</f>
        <v>2175.17</v>
      </c>
      <c r="AF47" s="7">
        <v>8000</v>
      </c>
      <c r="AG47" s="3">
        <f>1010.13-84.94</f>
        <v>925.19</v>
      </c>
      <c r="AI47" s="9">
        <v>18800</v>
      </c>
      <c r="AJ47" s="3">
        <f>2408.1-202.48</f>
        <v>2205.62</v>
      </c>
      <c r="AL47" s="2">
        <f t="shared" si="2"/>
        <v>204700</v>
      </c>
      <c r="AM47" s="5">
        <f t="shared" si="3"/>
        <v>21418.379999999997</v>
      </c>
    </row>
    <row r="48" spans="1:39" x14ac:dyDescent="0.25">
      <c r="A48" s="11">
        <v>45</v>
      </c>
      <c r="B48" s="7">
        <v>2341</v>
      </c>
      <c r="C48" s="3">
        <f>499.92-42.04</f>
        <v>457.88</v>
      </c>
      <c r="E48" s="7">
        <v>2776</v>
      </c>
      <c r="F48" s="3">
        <f>615.58-51.75</f>
        <v>563.83000000000004</v>
      </c>
      <c r="H48" s="7">
        <v>2960</v>
      </c>
      <c r="I48" s="3">
        <f>579.81-48.75</f>
        <v>531.05999999999995</v>
      </c>
      <c r="K48" s="7">
        <v>2991</v>
      </c>
      <c r="L48" s="3">
        <f>556.39-46.78</f>
        <v>509.61</v>
      </c>
      <c r="N48" s="7">
        <v>2484</v>
      </c>
      <c r="O48" s="3">
        <f>526.98-44.31</f>
        <v>482.67</v>
      </c>
      <c r="Q48" s="9">
        <v>2482</v>
      </c>
      <c r="R48" s="3">
        <f>499.8-42.02</f>
        <v>457.78000000000003</v>
      </c>
      <c r="T48" s="9">
        <v>2907</v>
      </c>
      <c r="U48" s="3">
        <f>590.28-49.63</f>
        <v>540.65</v>
      </c>
      <c r="W48" s="7">
        <v>3327</v>
      </c>
      <c r="X48" s="3">
        <f>609.08-51.22</f>
        <v>557.86</v>
      </c>
      <c r="Z48" s="9">
        <v>4084</v>
      </c>
      <c r="AA48" s="3">
        <f>699.2-58.79</f>
        <v>640.41000000000008</v>
      </c>
      <c r="AC48" s="9">
        <v>3098</v>
      </c>
      <c r="AD48" s="3">
        <f>596.09-50.12</f>
        <v>545.97</v>
      </c>
      <c r="AF48" s="7">
        <v>2745</v>
      </c>
      <c r="AG48" s="3">
        <f>377.49-31.74</f>
        <v>345.75</v>
      </c>
      <c r="AI48" s="9">
        <v>2815</v>
      </c>
      <c r="AJ48" s="3">
        <f>402.04-33.81</f>
        <v>368.23</v>
      </c>
      <c r="AL48" s="2">
        <f t="shared" si="2"/>
        <v>35010</v>
      </c>
      <c r="AM48" s="5">
        <f t="shared" si="3"/>
        <v>6001.7000000000007</v>
      </c>
    </row>
    <row r="49" spans="1:39" x14ac:dyDescent="0.25">
      <c r="A49" s="11">
        <v>46</v>
      </c>
      <c r="B49" s="7">
        <v>1080</v>
      </c>
      <c r="C49" s="3">
        <f>236.41-24.88</f>
        <v>211.53</v>
      </c>
      <c r="E49" s="7">
        <v>1240</v>
      </c>
      <c r="F49" s="3">
        <f>262.27-27.06</f>
        <v>235.20999999999998</v>
      </c>
      <c r="H49" s="7">
        <v>1640</v>
      </c>
      <c r="I49" s="3">
        <f>275.93-28.2</f>
        <v>247.73000000000002</v>
      </c>
      <c r="K49" s="7">
        <v>1600</v>
      </c>
      <c r="L49" s="3">
        <f>272.75-27.93</f>
        <v>244.82</v>
      </c>
      <c r="N49" s="7">
        <v>1200</v>
      </c>
      <c r="O49" s="3">
        <f>244.16-25.53</f>
        <v>218.63</v>
      </c>
      <c r="Q49" s="9">
        <v>920</v>
      </c>
      <c r="R49" s="3">
        <f>220.52-23.54</f>
        <v>196.98000000000002</v>
      </c>
      <c r="T49" s="9">
        <v>1440</v>
      </c>
      <c r="U49" s="3">
        <f>284.85-28.95</f>
        <v>255.90000000000003</v>
      </c>
      <c r="W49" s="7">
        <v>2280</v>
      </c>
      <c r="X49" s="3">
        <f>365.55-35.73</f>
        <v>329.82</v>
      </c>
      <c r="Z49" s="9">
        <v>3280</v>
      </c>
      <c r="AA49" s="3">
        <f>429.9-41.14</f>
        <v>388.76</v>
      </c>
      <c r="AC49" s="9">
        <v>1880</v>
      </c>
      <c r="AD49" s="3">
        <f>325.03-32.33</f>
        <v>292.7</v>
      </c>
      <c r="AF49" s="7">
        <v>1560</v>
      </c>
      <c r="AG49" s="3">
        <f>240.29-25.2</f>
        <v>215.09</v>
      </c>
      <c r="AI49" s="9">
        <v>800</v>
      </c>
      <c r="AJ49" s="3">
        <f>154.61-18</f>
        <v>136.61000000000001</v>
      </c>
      <c r="AL49" s="2">
        <f t="shared" si="2"/>
        <v>18920</v>
      </c>
      <c r="AM49" s="5">
        <f t="shared" si="3"/>
        <v>2973.78</v>
      </c>
    </row>
    <row r="50" spans="1:39" x14ac:dyDescent="0.25">
      <c r="A50" s="11">
        <v>47</v>
      </c>
      <c r="B50" s="7">
        <v>10080</v>
      </c>
      <c r="C50" s="3">
        <f>1205.28-106.34</f>
        <v>1098.94</v>
      </c>
      <c r="E50" s="7">
        <v>9920</v>
      </c>
      <c r="F50" s="3">
        <f>1262.04-111.12</f>
        <v>1150.92</v>
      </c>
      <c r="H50" s="7">
        <v>10800</v>
      </c>
      <c r="I50" s="3">
        <f>1175.48-103.84</f>
        <v>1071.6400000000001</v>
      </c>
      <c r="K50" s="7">
        <v>11680</v>
      </c>
      <c r="L50" s="3">
        <f>1265.82-111.43</f>
        <v>1154.3899999999999</v>
      </c>
      <c r="N50" s="7">
        <v>9760</v>
      </c>
      <c r="O50" s="3">
        <f>1152.45-101.9</f>
        <v>1050.55</v>
      </c>
      <c r="Q50" s="9">
        <v>8920</v>
      </c>
      <c r="R50" s="3">
        <f>1082.45-96.01</f>
        <v>986.44</v>
      </c>
      <c r="T50" s="9">
        <v>8720</v>
      </c>
      <c r="U50" s="3">
        <f>1117.01-98.92</f>
        <v>1018.09</v>
      </c>
      <c r="W50" s="7">
        <v>9200</v>
      </c>
      <c r="X50" s="3">
        <f>1059.72-94.1</f>
        <v>965.62</v>
      </c>
      <c r="Z50" s="9">
        <v>9560</v>
      </c>
      <c r="AA50" s="3">
        <f>1020.77-90.83</f>
        <v>929.93999999999994</v>
      </c>
      <c r="AC50" s="9">
        <v>8520</v>
      </c>
      <c r="AD50" s="3">
        <f>970.49-86.6</f>
        <v>883.89</v>
      </c>
      <c r="AF50" s="7">
        <v>8800</v>
      </c>
      <c r="AG50" s="3">
        <f>1111.9-98.49</f>
        <v>1013.4100000000001</v>
      </c>
      <c r="AI50" s="9">
        <v>9080</v>
      </c>
      <c r="AJ50" s="3">
        <f>1193.71-105.37</f>
        <v>1088.3400000000001</v>
      </c>
      <c r="AL50" s="2">
        <f t="shared" si="2"/>
        <v>115040</v>
      </c>
      <c r="AM50" s="5">
        <f t="shared" si="3"/>
        <v>12412.17</v>
      </c>
    </row>
    <row r="51" spans="1:39" x14ac:dyDescent="0.25">
      <c r="A51" s="11">
        <v>48</v>
      </c>
      <c r="B51" s="7">
        <v>15055</v>
      </c>
      <c r="C51" s="3">
        <f>1693.48-142.39</f>
        <v>1551.0900000000001</v>
      </c>
      <c r="E51" s="7">
        <v>15622</v>
      </c>
      <c r="F51" s="3">
        <f>1887.76-158.72</f>
        <v>1729.04</v>
      </c>
      <c r="H51" s="7">
        <v>17944</v>
      </c>
      <c r="I51" s="3">
        <f>1850.36-155.58</f>
        <v>1694.78</v>
      </c>
      <c r="K51" s="7">
        <v>17887</v>
      </c>
      <c r="L51" s="3">
        <f>1876.96-157.81</f>
        <v>1719.15</v>
      </c>
      <c r="N51" s="7">
        <v>16051</v>
      </c>
      <c r="O51" s="3">
        <f>1814.13-152.54</f>
        <v>1661.5900000000001</v>
      </c>
      <c r="Q51" s="9">
        <v>13232</v>
      </c>
      <c r="R51" s="3">
        <f>1570.62-132.06</f>
        <v>1438.56</v>
      </c>
      <c r="T51" s="9">
        <v>11158</v>
      </c>
      <c r="U51" s="3">
        <f>1382.82-116.27</f>
        <v>1266.55</v>
      </c>
      <c r="W51" s="7">
        <v>11238</v>
      </c>
      <c r="X51" s="3">
        <f>1254.68-105.5</f>
        <v>1149.18</v>
      </c>
      <c r="Z51" s="9">
        <v>11794</v>
      </c>
      <c r="AA51" s="3">
        <f>1219.13-102.51</f>
        <v>1116.6200000000001</v>
      </c>
      <c r="AC51" s="9">
        <v>10422</v>
      </c>
      <c r="AD51" s="3">
        <f>1147.99-96.52</f>
        <v>1051.47</v>
      </c>
      <c r="AF51" s="7">
        <v>10892</v>
      </c>
      <c r="AG51" s="3">
        <f>1358.27-114.2</f>
        <v>1244.07</v>
      </c>
      <c r="AI51" s="9">
        <v>11423</v>
      </c>
      <c r="AJ51" s="3">
        <f>1482.3-124.63</f>
        <v>1357.67</v>
      </c>
      <c r="AL51" s="2">
        <f t="shared" si="2"/>
        <v>162718</v>
      </c>
      <c r="AM51" s="5">
        <f t="shared" si="3"/>
        <v>16979.769999999997</v>
      </c>
    </row>
    <row r="52" spans="1:39" x14ac:dyDescent="0.25">
      <c r="A52" s="11">
        <v>49</v>
      </c>
      <c r="B52" s="7">
        <v>8417</v>
      </c>
      <c r="C52" s="3">
        <f>1035.15-87.03</f>
        <v>948.12000000000012</v>
      </c>
      <c r="E52" s="7">
        <v>9078</v>
      </c>
      <c r="F52" s="3">
        <f>1172.4-98.57</f>
        <v>1073.8300000000002</v>
      </c>
      <c r="H52" s="7">
        <v>11027</v>
      </c>
      <c r="I52" s="3">
        <f>1244.25-104.62</f>
        <v>1139.6300000000001</v>
      </c>
      <c r="K52" s="7">
        <v>10569</v>
      </c>
      <c r="L52" s="3">
        <f>1210.54-101.78</f>
        <v>1108.76</v>
      </c>
      <c r="N52" s="7">
        <v>9366</v>
      </c>
      <c r="O52" s="3">
        <f>1117.22-93.94</f>
        <v>1023.28</v>
      </c>
      <c r="Q52" s="9">
        <v>7438</v>
      </c>
      <c r="R52" s="3">
        <f>937.86-78.86</f>
        <v>859</v>
      </c>
      <c r="T52" s="9">
        <v>6477</v>
      </c>
      <c r="U52" s="3">
        <f>875.6-73.62</f>
        <v>801.98</v>
      </c>
      <c r="W52" s="7">
        <v>7537</v>
      </c>
      <c r="X52" s="3">
        <f>911.93-76.68</f>
        <v>835.25</v>
      </c>
      <c r="Z52" s="9">
        <v>7149</v>
      </c>
      <c r="AA52" s="3">
        <f>762.22-64.08</f>
        <v>698.14</v>
      </c>
      <c r="AC52" s="9">
        <v>6559</v>
      </c>
      <c r="AD52" s="3">
        <f>740.63-62.27</f>
        <v>678.36</v>
      </c>
      <c r="AF52" s="7">
        <v>7119</v>
      </c>
      <c r="AG52" s="3">
        <f>904.05-76.01</f>
        <v>828.04</v>
      </c>
      <c r="AI52" s="9">
        <v>7478</v>
      </c>
      <c r="AJ52" s="3">
        <f>987.23-83.01</f>
        <v>904.22</v>
      </c>
      <c r="AL52" s="2">
        <f t="shared" si="2"/>
        <v>98214</v>
      </c>
      <c r="AM52" s="5">
        <f t="shared" si="3"/>
        <v>10898.609999999999</v>
      </c>
    </row>
    <row r="53" spans="1:39" x14ac:dyDescent="0.25">
      <c r="A53" s="11">
        <v>50</v>
      </c>
      <c r="B53" s="7">
        <v>8635</v>
      </c>
      <c r="C53" s="3">
        <f>1014.79-85.32</f>
        <v>929.47</v>
      </c>
      <c r="E53" s="7">
        <v>9336</v>
      </c>
      <c r="F53" s="3">
        <f>1183.41-99.51</f>
        <v>1083.9000000000001</v>
      </c>
      <c r="H53" s="7">
        <v>10496</v>
      </c>
      <c r="I53" s="3">
        <f>1116.57-93.88</f>
        <v>1022.6899999999999</v>
      </c>
      <c r="K53" s="7">
        <v>10455</v>
      </c>
      <c r="L53" s="3">
        <f>1192.88-100.3</f>
        <v>1092.5800000000002</v>
      </c>
      <c r="N53" s="7">
        <v>9306</v>
      </c>
      <c r="O53" s="3">
        <f>1093.93-91.98</f>
        <v>1001.95</v>
      </c>
      <c r="Q53" s="9">
        <v>8133</v>
      </c>
      <c r="R53" s="3">
        <f>957.9-80.54</f>
        <v>877.36</v>
      </c>
      <c r="T53" s="9">
        <v>7200</v>
      </c>
      <c r="U53" s="3">
        <f>917.97-77.18</f>
        <v>840.79</v>
      </c>
      <c r="W53" s="7">
        <v>6959</v>
      </c>
      <c r="X53" s="3">
        <f>813.94-68.44</f>
        <v>745.5</v>
      </c>
      <c r="Z53" s="9">
        <v>6854</v>
      </c>
      <c r="AA53" s="3">
        <f>756.37-63.59</f>
        <v>692.78</v>
      </c>
      <c r="AC53" s="9">
        <v>6565</v>
      </c>
      <c r="AD53" s="3">
        <f>768.73-64.63</f>
        <v>704.1</v>
      </c>
      <c r="AF53" s="7">
        <v>7330</v>
      </c>
      <c r="AG53" s="3">
        <f>929.46-78.15</f>
        <v>851.31000000000006</v>
      </c>
      <c r="AI53" s="9">
        <v>7728</v>
      </c>
      <c r="AJ53" s="3">
        <f>1018.59-85.65</f>
        <v>932.94</v>
      </c>
      <c r="AL53" s="2">
        <f t="shared" si="2"/>
        <v>98997</v>
      </c>
      <c r="AM53" s="5">
        <f t="shared" si="3"/>
        <v>10775.37</v>
      </c>
    </row>
    <row r="54" spans="1:39" x14ac:dyDescent="0.25">
      <c r="A54" s="11">
        <v>51</v>
      </c>
      <c r="B54" s="7">
        <v>8150</v>
      </c>
      <c r="C54" s="3">
        <f>981.21-82.5</f>
        <v>898.71</v>
      </c>
      <c r="E54" s="7">
        <v>8925</v>
      </c>
      <c r="F54" s="3">
        <f>1132.9-95.26</f>
        <v>1037.6400000000001</v>
      </c>
      <c r="H54" s="7">
        <v>10765</v>
      </c>
      <c r="I54" s="3">
        <f>1200.1-100.91</f>
        <v>1099.1899999999998</v>
      </c>
      <c r="K54" s="7">
        <v>10024</v>
      </c>
      <c r="L54" s="3">
        <f>1141.7-95.99</f>
        <v>1045.71</v>
      </c>
      <c r="N54" s="7">
        <v>8920</v>
      </c>
      <c r="O54" s="3">
        <f>1049.43-88.24</f>
        <v>961.19</v>
      </c>
      <c r="Q54" s="9">
        <v>7758</v>
      </c>
      <c r="R54" s="3">
        <f>926.3-77.88</f>
        <v>848.42</v>
      </c>
      <c r="T54" s="9">
        <v>6714</v>
      </c>
      <c r="U54" s="3">
        <f>868.56-73.03</f>
        <v>795.53</v>
      </c>
      <c r="W54" s="7">
        <v>6515</v>
      </c>
      <c r="X54" s="3">
        <f>763.2-64.17</f>
        <v>699.03000000000009</v>
      </c>
      <c r="Z54" s="9">
        <v>6655</v>
      </c>
      <c r="AA54" s="3">
        <f>752.08-63.24</f>
        <v>688.84</v>
      </c>
      <c r="AC54" s="9">
        <v>6147</v>
      </c>
      <c r="AD54" s="3">
        <f>717.77-60.35</f>
        <v>657.42</v>
      </c>
      <c r="AF54" s="7">
        <v>6610</v>
      </c>
      <c r="AG54" s="3">
        <f>842.78-70.86</f>
        <v>771.92</v>
      </c>
      <c r="AI54" s="9">
        <v>6996</v>
      </c>
      <c r="AJ54" s="3">
        <f>926.73-77.92</f>
        <v>848.81000000000006</v>
      </c>
      <c r="AL54" s="2">
        <f t="shared" si="2"/>
        <v>94179</v>
      </c>
      <c r="AM54" s="5">
        <f t="shared" si="3"/>
        <v>10352.41</v>
      </c>
    </row>
    <row r="55" spans="1:39" x14ac:dyDescent="0.25">
      <c r="A55" s="11">
        <v>52</v>
      </c>
      <c r="B55" s="7">
        <v>12480</v>
      </c>
      <c r="C55" s="3">
        <f>1401.44-117.84</f>
        <v>1283.6000000000001</v>
      </c>
      <c r="E55" s="7">
        <v>13360</v>
      </c>
      <c r="F55" s="3">
        <f>1632.21-137.24</f>
        <v>1494.97</v>
      </c>
      <c r="H55" s="7">
        <v>15200</v>
      </c>
      <c r="I55" s="3">
        <f>1657.2-139.34</f>
        <v>1517.8600000000001</v>
      </c>
      <c r="K55" s="7">
        <v>14880</v>
      </c>
      <c r="L55" s="3">
        <f>1658.14-139.42</f>
        <v>1518.72</v>
      </c>
      <c r="N55" s="7">
        <v>12960</v>
      </c>
      <c r="O55" s="3">
        <f>1554.34-130.69</f>
        <v>1423.6499999999999</v>
      </c>
      <c r="Q55" s="9">
        <v>11120</v>
      </c>
      <c r="R55" s="3">
        <f>1400.67-117.77</f>
        <v>1282.9000000000001</v>
      </c>
      <c r="T55" s="9">
        <v>9840</v>
      </c>
      <c r="U55" s="3">
        <f>1354.81-113.92</f>
        <v>1240.8899999999999</v>
      </c>
      <c r="W55" s="7">
        <v>9840</v>
      </c>
      <c r="X55" s="3">
        <f>1279.11-107.55</f>
        <v>1171.56</v>
      </c>
      <c r="Z55" s="9">
        <v>9920</v>
      </c>
      <c r="AA55" s="3">
        <f>1029.46-86.56</f>
        <v>942.90000000000009</v>
      </c>
      <c r="AC55" s="9">
        <v>9360</v>
      </c>
      <c r="AD55" s="3">
        <f>1028.5-86.48</f>
        <v>942.02</v>
      </c>
      <c r="AF55" s="7">
        <v>10240</v>
      </c>
      <c r="AG55" s="3">
        <f>1279.78-107.61</f>
        <v>1172.17</v>
      </c>
      <c r="AI55" s="9">
        <v>10800</v>
      </c>
      <c r="AJ55" s="3">
        <f>1404.12-118.06</f>
        <v>1286.06</v>
      </c>
      <c r="AL55" s="2">
        <f t="shared" si="2"/>
        <v>140000</v>
      </c>
      <c r="AM55" s="5">
        <f t="shared" si="3"/>
        <v>15277.3</v>
      </c>
    </row>
    <row r="56" spans="1:39" x14ac:dyDescent="0.25">
      <c r="A56" s="11">
        <v>53</v>
      </c>
      <c r="B56" s="7">
        <v>9200</v>
      </c>
      <c r="C56" s="3">
        <f>997.22-29.05</f>
        <v>968.17000000000007</v>
      </c>
      <c r="E56" s="7">
        <v>11600</v>
      </c>
      <c r="F56" s="3">
        <f>1388.32-40.44</f>
        <v>1347.8799999999999</v>
      </c>
      <c r="H56" s="7">
        <v>12800</v>
      </c>
      <c r="I56" s="3">
        <f>1307.72-38.09</f>
        <v>1269.6300000000001</v>
      </c>
      <c r="K56" s="7">
        <v>12560</v>
      </c>
      <c r="L56" s="3">
        <f>1331.83-38.79</f>
        <v>1293.04</v>
      </c>
      <c r="N56" s="7">
        <v>10480</v>
      </c>
      <c r="O56" s="3">
        <f>1141.66-33.25</f>
        <v>1108.4100000000001</v>
      </c>
      <c r="Q56" s="9">
        <v>8720</v>
      </c>
      <c r="R56" s="3">
        <f>975.45-28.41</f>
        <v>947.04000000000008</v>
      </c>
      <c r="T56" s="9">
        <v>7680</v>
      </c>
      <c r="U56" s="3">
        <f>915.16-26.66</f>
        <v>888.5</v>
      </c>
      <c r="W56" s="7">
        <v>7440</v>
      </c>
      <c r="X56" s="3">
        <f>791.78-23.06</f>
        <v>768.72</v>
      </c>
      <c r="Z56" s="9">
        <v>7520</v>
      </c>
      <c r="AA56" s="3">
        <f>766.4-22.32</f>
        <v>744.07999999999993</v>
      </c>
      <c r="AC56" s="9">
        <v>6960</v>
      </c>
      <c r="AD56" s="3">
        <f>750.64-21.86</f>
        <v>728.78</v>
      </c>
      <c r="AF56" s="7">
        <v>7440</v>
      </c>
      <c r="AG56" s="3">
        <f>942.7-79.26</f>
        <v>863.44</v>
      </c>
      <c r="AI56" s="9">
        <v>8000</v>
      </c>
      <c r="AJ56" s="3">
        <f>1052.73-88.52</f>
        <v>964.21</v>
      </c>
      <c r="AL56" s="2">
        <f t="shared" si="2"/>
        <v>110400</v>
      </c>
      <c r="AM56" s="5">
        <f t="shared" si="3"/>
        <v>11891.900000000001</v>
      </c>
    </row>
    <row r="57" spans="1:39" x14ac:dyDescent="0.25">
      <c r="A57" s="11">
        <v>54</v>
      </c>
      <c r="B57" s="7">
        <v>12840</v>
      </c>
      <c r="C57" s="3">
        <f>1461.33-122.87</f>
        <v>1338.46</v>
      </c>
      <c r="E57" s="7">
        <v>13680</v>
      </c>
      <c r="F57" s="3">
        <f>1654.35-139.1</f>
        <v>1515.25</v>
      </c>
      <c r="H57" s="7">
        <v>15760</v>
      </c>
      <c r="I57" s="3">
        <f>1620.25-136.23</f>
        <v>1484.02</v>
      </c>
      <c r="K57" s="7">
        <v>15280</v>
      </c>
      <c r="L57" s="3">
        <f>1595.37-134.14</f>
        <v>1461.23</v>
      </c>
      <c r="N57" s="7">
        <v>13480</v>
      </c>
      <c r="O57" s="3">
        <f>1495.45-125.74</f>
        <v>1369.71</v>
      </c>
      <c r="Q57" s="9">
        <v>12280</v>
      </c>
      <c r="R57" s="3">
        <f>1391.55-117.01</f>
        <v>1274.54</v>
      </c>
      <c r="T57" s="9">
        <v>11320</v>
      </c>
      <c r="U57" s="3">
        <f>1387.47-116.66</f>
        <v>1270.81</v>
      </c>
      <c r="W57" s="7">
        <v>10360</v>
      </c>
      <c r="X57" s="3">
        <f>1132.12-95.19</f>
        <v>1036.9299999999998</v>
      </c>
      <c r="Z57" s="9">
        <v>11800</v>
      </c>
      <c r="AA57" s="3">
        <f>1241.54-104.39</f>
        <v>1137.1499999999999</v>
      </c>
      <c r="AC57" s="9">
        <v>10080</v>
      </c>
      <c r="AD57" s="3">
        <f>1149.8-96.67</f>
        <v>1053.1299999999999</v>
      </c>
      <c r="AF57" s="7">
        <v>10960</v>
      </c>
      <c r="AG57" s="3">
        <f>1366.46-114.9</f>
        <v>1251.56</v>
      </c>
      <c r="AI57" s="9">
        <v>12200</v>
      </c>
      <c r="AJ57" s="3">
        <f>1579.81-132.83</f>
        <v>1446.98</v>
      </c>
      <c r="AL57" s="2">
        <f t="shared" si="2"/>
        <v>150040</v>
      </c>
      <c r="AM57" s="5">
        <f t="shared" si="3"/>
        <v>15639.769999999997</v>
      </c>
    </row>
    <row r="58" spans="1:39" x14ac:dyDescent="0.25">
      <c r="A58" s="11">
        <v>55</v>
      </c>
      <c r="B58" s="7">
        <f>4520+97</f>
        <v>4617</v>
      </c>
      <c r="C58" s="3">
        <f>878.98-78.9</f>
        <v>800.08</v>
      </c>
      <c r="E58" s="7">
        <f>4480+97</f>
        <v>4577</v>
      </c>
      <c r="F58" s="3">
        <f>882.5-79.2</f>
        <v>803.3</v>
      </c>
      <c r="H58" s="7">
        <f>4120+97</f>
        <v>4217</v>
      </c>
      <c r="I58" s="3">
        <f>847.66-76.27</f>
        <v>771.39</v>
      </c>
      <c r="K58" s="7">
        <f>5000+97</f>
        <v>5097</v>
      </c>
      <c r="L58" s="3">
        <f>900.63-80.73</f>
        <v>819.9</v>
      </c>
      <c r="N58" s="7">
        <f>4360+97</f>
        <v>4457</v>
      </c>
      <c r="O58" s="3">
        <f>867.58-77.95</f>
        <v>789.63</v>
      </c>
      <c r="Q58" s="9">
        <f>4640+97</f>
        <v>4737</v>
      </c>
      <c r="R58" s="3">
        <f>890.25-79.85</f>
        <v>810.4</v>
      </c>
      <c r="T58" s="9">
        <f>4240+97</f>
        <v>4337</v>
      </c>
      <c r="U58" s="3">
        <f>814.46-73.48</f>
        <v>740.98</v>
      </c>
      <c r="W58" s="7">
        <f>3200+97</f>
        <v>3297</v>
      </c>
      <c r="X58" s="3">
        <f>732.96-66.63</f>
        <v>666.33</v>
      </c>
      <c r="Z58" s="9">
        <f>5280+97</f>
        <v>5377</v>
      </c>
      <c r="AA58" s="3">
        <f>878.13-78.84</f>
        <v>799.29</v>
      </c>
      <c r="AC58" s="9">
        <f>4320+97</f>
        <v>4417</v>
      </c>
      <c r="AD58" s="3">
        <f>849.95-76.46</f>
        <v>773.49</v>
      </c>
      <c r="AF58" s="7">
        <f>3920+97</f>
        <v>4017</v>
      </c>
      <c r="AG58" s="3">
        <f>555.62-51.72</f>
        <v>503.9</v>
      </c>
      <c r="AI58" s="9">
        <f>4640+97</f>
        <v>4737</v>
      </c>
      <c r="AJ58" s="3">
        <f>668.96-61.25</f>
        <v>607.71</v>
      </c>
      <c r="AL58" s="2">
        <f t="shared" si="2"/>
        <v>53884</v>
      </c>
      <c r="AM58" s="5">
        <f t="shared" si="3"/>
        <v>8886.4000000000015</v>
      </c>
    </row>
    <row r="59" spans="1:39" x14ac:dyDescent="0.25">
      <c r="A59" s="11">
        <v>56</v>
      </c>
      <c r="B59" s="7">
        <v>14400</v>
      </c>
      <c r="C59" s="3">
        <f>1619.35-141.16</f>
        <v>1478.1899999999998</v>
      </c>
      <c r="E59" s="7">
        <v>15360</v>
      </c>
      <c r="F59" s="3">
        <f>1880.65-163.13</f>
        <v>1717.52</v>
      </c>
      <c r="H59" s="7">
        <v>17920</v>
      </c>
      <c r="I59" s="3">
        <f>1846.86-160.29</f>
        <v>1686.57</v>
      </c>
      <c r="K59" s="7">
        <v>16880</v>
      </c>
      <c r="L59" s="3">
        <f>1784.27-155.03</f>
        <v>1629.24</v>
      </c>
      <c r="N59" s="7">
        <v>14160</v>
      </c>
      <c r="O59" s="3">
        <f>1593.86-139.02</f>
        <v>1454.84</v>
      </c>
      <c r="Q59" s="9">
        <v>13200</v>
      </c>
      <c r="R59" s="3">
        <f>1524.65-133.19</f>
        <v>1391.46</v>
      </c>
      <c r="T59" s="9">
        <v>11920</v>
      </c>
      <c r="U59" s="3">
        <f>1467.01-128.35</f>
        <v>1338.66</v>
      </c>
      <c r="W59" s="7">
        <v>2400</v>
      </c>
      <c r="X59" s="3">
        <f>570.32-52.95</f>
        <v>517.37</v>
      </c>
      <c r="Z59" s="9">
        <v>1040</v>
      </c>
      <c r="AA59" s="3">
        <f>181.16-20.23</f>
        <v>160.93</v>
      </c>
      <c r="AC59" s="9">
        <v>320</v>
      </c>
      <c r="AD59" s="3">
        <f>88.15-12.41</f>
        <v>75.740000000000009</v>
      </c>
      <c r="AF59" s="7">
        <v>720</v>
      </c>
      <c r="AG59" s="3">
        <f>159.23-18.39</f>
        <v>140.83999999999997</v>
      </c>
      <c r="AI59" s="9">
        <v>720</v>
      </c>
      <c r="AJ59" s="3">
        <f>165.36-18.9</f>
        <v>146.46</v>
      </c>
      <c r="AL59" s="2">
        <f t="shared" si="2"/>
        <v>109040</v>
      </c>
      <c r="AM59" s="5">
        <f t="shared" si="3"/>
        <v>11737.82</v>
      </c>
    </row>
    <row r="60" spans="1:39" x14ac:dyDescent="0.25">
      <c r="A60" s="11">
        <v>57</v>
      </c>
      <c r="B60" s="7">
        <v>4115</v>
      </c>
      <c r="C60" s="3">
        <f>692.66-63.24</f>
        <v>629.41999999999996</v>
      </c>
      <c r="E60" s="7">
        <v>4334</v>
      </c>
      <c r="F60" s="3">
        <f>903.93-81.01</f>
        <v>822.92</v>
      </c>
      <c r="H60" s="7">
        <v>4854</v>
      </c>
      <c r="I60" s="3">
        <f>694.63-63.41</f>
        <v>631.22</v>
      </c>
      <c r="K60" s="7">
        <v>4421</v>
      </c>
      <c r="L60" s="3">
        <f>667.12-61.09</f>
        <v>606.03</v>
      </c>
      <c r="N60" s="7">
        <v>4247</v>
      </c>
      <c r="O60" s="3">
        <f>697.51-63.65</f>
        <v>633.86</v>
      </c>
      <c r="Q60" s="9">
        <v>4275</v>
      </c>
      <c r="R60" s="3">
        <f>717.72-65.35</f>
        <v>652.37</v>
      </c>
      <c r="T60" s="9">
        <v>5193</v>
      </c>
      <c r="U60" s="3">
        <f>928.33-83.06</f>
        <v>845.27</v>
      </c>
      <c r="W60" s="7">
        <v>6139</v>
      </c>
      <c r="X60" s="3">
        <f>887.57-79.63</f>
        <v>807.94</v>
      </c>
      <c r="Z60" s="9">
        <v>9137</v>
      </c>
      <c r="AA60" s="3">
        <f>1213.11-107</f>
        <v>1106.1099999999999</v>
      </c>
      <c r="AC60" s="9">
        <v>6914</v>
      </c>
      <c r="AD60" s="3">
        <f>971.68-86.7</f>
        <v>884.9799999999999</v>
      </c>
      <c r="AF60" s="7">
        <v>5231</v>
      </c>
      <c r="AG60" s="3">
        <f>682.23-62.37</f>
        <v>619.86</v>
      </c>
      <c r="AI60" s="9">
        <v>3771</v>
      </c>
      <c r="AJ60" s="3">
        <f>527.46-49.35</f>
        <v>478.11</v>
      </c>
      <c r="AL60" s="2">
        <f t="shared" si="2"/>
        <v>62631</v>
      </c>
      <c r="AM60" s="5">
        <f t="shared" si="3"/>
        <v>8718.09</v>
      </c>
    </row>
    <row r="61" spans="1:39" x14ac:dyDescent="0.25">
      <c r="A61" s="11">
        <v>58</v>
      </c>
      <c r="B61" s="7">
        <v>2000</v>
      </c>
      <c r="C61" s="3">
        <f>325.6-32.38</f>
        <v>293.22000000000003</v>
      </c>
      <c r="E61" s="7">
        <v>1000</v>
      </c>
      <c r="F61" s="3">
        <f>252.12-26.2</f>
        <v>225.92000000000002</v>
      </c>
      <c r="H61" s="7">
        <v>2000</v>
      </c>
      <c r="I61" s="3">
        <f>304.85-30.64</f>
        <v>274.21000000000004</v>
      </c>
      <c r="K61" s="7">
        <v>2000</v>
      </c>
      <c r="L61" s="3">
        <f>317.83-31.72</f>
        <v>286.11</v>
      </c>
      <c r="N61" s="7">
        <v>1000</v>
      </c>
      <c r="O61" s="3">
        <f>239.5-25.14</f>
        <v>214.36</v>
      </c>
      <c r="Q61" s="9">
        <v>2000</v>
      </c>
      <c r="R61" s="3">
        <f>322.9-32.15</f>
        <v>290.75</v>
      </c>
      <c r="T61" s="9">
        <v>1000</v>
      </c>
      <c r="U61" s="3">
        <f>247.16-25.78</f>
        <v>221.38</v>
      </c>
      <c r="W61" s="7">
        <v>2000</v>
      </c>
      <c r="X61" s="3">
        <f>320.99-31.99</f>
        <v>289</v>
      </c>
      <c r="Z61" s="9">
        <v>1000</v>
      </c>
      <c r="AA61" s="3">
        <f>231.66-24.48</f>
        <v>207.18</v>
      </c>
      <c r="AC61" s="9">
        <v>2000</v>
      </c>
      <c r="AD61" s="3">
        <f>314.21-31.42</f>
        <v>282.78999999999996</v>
      </c>
      <c r="AF61" s="7">
        <v>2000</v>
      </c>
      <c r="AG61" s="3">
        <f>293.26-29.66</f>
        <v>263.59999999999997</v>
      </c>
      <c r="AI61" s="9">
        <v>1000</v>
      </c>
      <c r="AJ61" s="3">
        <f>179.71-20.11</f>
        <v>159.60000000000002</v>
      </c>
      <c r="AL61" s="2">
        <f t="shared" si="2"/>
        <v>19000</v>
      </c>
      <c r="AM61" s="5">
        <f t="shared" si="3"/>
        <v>3008.12</v>
      </c>
    </row>
    <row r="62" spans="1:39" x14ac:dyDescent="0.25">
      <c r="A62" s="11">
        <v>59</v>
      </c>
      <c r="B62" s="7">
        <f>4200+92</f>
        <v>4292</v>
      </c>
      <c r="C62" s="3">
        <f>617.37-22.98</f>
        <v>594.39</v>
      </c>
      <c r="E62" s="7">
        <f>3760+92</f>
        <v>3852</v>
      </c>
      <c r="F62" s="3">
        <f>604.94-22.62</f>
        <v>582.32000000000005</v>
      </c>
      <c r="H62" s="7">
        <f>4040+92</f>
        <v>4132</v>
      </c>
      <c r="I62" s="3">
        <f>572.73-21.68</f>
        <v>551.05000000000007</v>
      </c>
      <c r="K62" s="7">
        <f>4680+92</f>
        <v>4772</v>
      </c>
      <c r="L62" s="3">
        <f>662.28-24.29</f>
        <v>637.99</v>
      </c>
      <c r="N62" s="7">
        <f>4040+92</f>
        <v>4132</v>
      </c>
      <c r="O62" s="3">
        <f>600.25-22.48</f>
        <v>577.77</v>
      </c>
      <c r="Q62" s="9">
        <f>3480+92</f>
        <v>3572</v>
      </c>
      <c r="R62" s="3">
        <f>555.83-21.19</f>
        <v>534.64</v>
      </c>
      <c r="T62" s="9">
        <f>4960+92</f>
        <v>5052</v>
      </c>
      <c r="U62" s="3">
        <f>759.9-27.13</f>
        <v>732.77</v>
      </c>
      <c r="W62" s="7">
        <f>6200+92</f>
        <v>6292</v>
      </c>
      <c r="X62" s="3">
        <f>856.09-29.93</f>
        <v>826.16000000000008</v>
      </c>
      <c r="Z62" s="9">
        <f>8080+92</f>
        <v>8172</v>
      </c>
      <c r="AA62" s="3">
        <f>987.16-33.75</f>
        <v>953.41</v>
      </c>
      <c r="AC62" s="9">
        <f>7280+92</f>
        <v>7372</v>
      </c>
      <c r="AD62" s="3">
        <f>929.63-32.08</f>
        <v>897.55</v>
      </c>
      <c r="AF62" s="7">
        <f>5760+92</f>
        <v>5852</v>
      </c>
      <c r="AG62" s="3">
        <f>767.76-27.36</f>
        <v>740.4</v>
      </c>
      <c r="AI62" s="9">
        <f>4160+92</f>
        <v>4252</v>
      </c>
      <c r="AJ62" s="3">
        <f>610.18-22.77</f>
        <v>587.41</v>
      </c>
      <c r="AL62" s="2">
        <f t="shared" si="2"/>
        <v>61744</v>
      </c>
      <c r="AM62" s="5">
        <f t="shared" si="3"/>
        <v>8215.86</v>
      </c>
    </row>
    <row r="63" spans="1:39" x14ac:dyDescent="0.25">
      <c r="A63" s="11">
        <v>60</v>
      </c>
      <c r="B63" s="7">
        <f>640+184</f>
        <v>824</v>
      </c>
      <c r="C63" s="3">
        <f>298.37-13.69</f>
        <v>284.68</v>
      </c>
      <c r="E63" s="7">
        <f>160+184</f>
        <v>344</v>
      </c>
      <c r="F63" s="3">
        <f>250.88-12.31</f>
        <v>238.57</v>
      </c>
      <c r="H63" s="7">
        <f>240+184</f>
        <v>424</v>
      </c>
      <c r="I63" s="3">
        <f>270.86-12.89</f>
        <v>257.97000000000003</v>
      </c>
      <c r="K63" s="7">
        <f>200+184</f>
        <v>384</v>
      </c>
      <c r="L63" s="3">
        <f>243.87-12.1</f>
        <v>231.77</v>
      </c>
      <c r="N63" s="7">
        <f>200+184</f>
        <v>384</v>
      </c>
      <c r="O63" s="3">
        <f>240.22-12</f>
        <v>228.22</v>
      </c>
      <c r="Q63" s="9">
        <f>419.2-17.21</f>
        <v>401.99</v>
      </c>
      <c r="R63" s="3">
        <f>419.2-17.21</f>
        <v>401.99</v>
      </c>
      <c r="T63" s="9">
        <f>2040+184</f>
        <v>2224</v>
      </c>
      <c r="U63" s="3">
        <f>559.68-21.3</f>
        <v>538.38</v>
      </c>
      <c r="W63" s="7">
        <f>3560+184</f>
        <v>3744</v>
      </c>
      <c r="X63" s="3">
        <f>665.73-24.39</f>
        <v>641.34</v>
      </c>
      <c r="Z63" s="9">
        <f>4080+184</f>
        <v>4264</v>
      </c>
      <c r="AA63" s="3">
        <f>730.65-26.28</f>
        <v>704.37</v>
      </c>
      <c r="AC63" s="9">
        <f>1320+184</f>
        <v>1504</v>
      </c>
      <c r="AD63" s="3">
        <f>537.37-20.65</f>
        <v>516.72</v>
      </c>
      <c r="AF63" s="7">
        <f>440+184</f>
        <v>624</v>
      </c>
      <c r="AG63" s="3">
        <f>227.62-11.63</f>
        <v>215.99</v>
      </c>
      <c r="AI63" s="9">
        <f>920+184</f>
        <v>1104</v>
      </c>
      <c r="AJ63" s="3">
        <f>293.1-13.54</f>
        <v>279.56</v>
      </c>
      <c r="AL63" s="2">
        <f t="shared" si="2"/>
        <v>16225.99</v>
      </c>
      <c r="AM63" s="5">
        <f t="shared" si="3"/>
        <v>4539.5600000000004</v>
      </c>
    </row>
    <row r="64" spans="1:39" x14ac:dyDescent="0.25">
      <c r="A64" s="11">
        <v>61</v>
      </c>
      <c r="B64" s="7">
        <f>1680+46</f>
        <v>1726</v>
      </c>
      <c r="C64" s="3">
        <f>360.5-30.32</f>
        <v>330.18</v>
      </c>
      <c r="E64" s="7">
        <f>2640+46</f>
        <v>2686</v>
      </c>
      <c r="F64" s="3">
        <f>471.18-39.62</f>
        <v>431.56</v>
      </c>
      <c r="H64" s="7">
        <f>4400+46</f>
        <v>4446</v>
      </c>
      <c r="I64" s="3">
        <f>577.06-48.52</f>
        <v>528.54</v>
      </c>
      <c r="K64" s="7">
        <f>4240+46</f>
        <v>4286</v>
      </c>
      <c r="L64" s="3">
        <f>571.99-48.1</f>
        <v>523.89</v>
      </c>
      <c r="N64" s="7">
        <f>3280+46</f>
        <v>3326</v>
      </c>
      <c r="O64" s="3">
        <f>498-41.87</f>
        <v>456.13</v>
      </c>
      <c r="Q64" s="9">
        <f>2560+46</f>
        <v>2606</v>
      </c>
      <c r="R64" s="3">
        <f>444.35-37.36</f>
        <v>406.99</v>
      </c>
      <c r="T64" s="9">
        <f>2400+46</f>
        <v>2446</v>
      </c>
      <c r="U64" s="3">
        <f>523.57-44.03</f>
        <v>479.54000000000008</v>
      </c>
      <c r="W64" s="7">
        <f>4880+46</f>
        <v>4926</v>
      </c>
      <c r="X64" s="3">
        <f>724.37-60.9</f>
        <v>663.47</v>
      </c>
      <c r="Z64" s="9">
        <f>7760+46</f>
        <v>7806</v>
      </c>
      <c r="AA64" s="3">
        <f>938.22-78.89</f>
        <v>859.33</v>
      </c>
      <c r="AC64" s="9">
        <f>4640+46</f>
        <v>4686</v>
      </c>
      <c r="AD64" s="3">
        <f>698.53-58.73</f>
        <v>639.79999999999995</v>
      </c>
      <c r="AF64" s="7">
        <f>3600+46</f>
        <v>3646</v>
      </c>
      <c r="AG64" s="3">
        <f>514.37-43.25</f>
        <v>471.12</v>
      </c>
      <c r="AI64" s="9">
        <f>2160+46</f>
        <v>2206</v>
      </c>
      <c r="AJ64" s="3">
        <f>355.09-29.86</f>
        <v>325.22999999999996</v>
      </c>
      <c r="AL64" s="2">
        <f t="shared" si="2"/>
        <v>44792</v>
      </c>
      <c r="AM64" s="5">
        <f t="shared" si="3"/>
        <v>6115.78</v>
      </c>
    </row>
    <row r="65" spans="1:39" x14ac:dyDescent="0.25">
      <c r="A65" s="11">
        <v>62</v>
      </c>
      <c r="B65" s="7">
        <f>1400+197</f>
        <v>1597</v>
      </c>
      <c r="C65" s="3">
        <f>381.88-11.12</f>
        <v>370.76</v>
      </c>
      <c r="E65" s="7">
        <f>1320+197</f>
        <v>1517</v>
      </c>
      <c r="F65" s="3">
        <f>349.95-10.19</f>
        <v>339.76</v>
      </c>
      <c r="H65" s="7">
        <f>2560+197</f>
        <v>2757</v>
      </c>
      <c r="I65" s="3">
        <f>429.3-12.5</f>
        <v>416.8</v>
      </c>
      <c r="K65" s="7">
        <f>2080+197</f>
        <v>2277</v>
      </c>
      <c r="L65" s="3">
        <f>367.88-11.59</f>
        <v>356.29</v>
      </c>
      <c r="N65" s="7">
        <f>1680+197</f>
        <v>1877</v>
      </c>
      <c r="O65" s="3">
        <f>362.46-10.56</f>
        <v>351.9</v>
      </c>
      <c r="Q65" s="9">
        <f>1280+197</f>
        <v>1477</v>
      </c>
      <c r="R65" s="3">
        <f>324.16-9.44</f>
        <v>314.72000000000003</v>
      </c>
      <c r="T65" s="9">
        <f>2040+197</f>
        <v>2237</v>
      </c>
      <c r="U65" s="3">
        <f>482.97-14.07</f>
        <v>468.90000000000003</v>
      </c>
      <c r="W65" s="7">
        <f>2760+197</f>
        <v>2957</v>
      </c>
      <c r="X65" s="3">
        <f>446.26-13</f>
        <v>433.26</v>
      </c>
      <c r="Z65" s="9">
        <f>4680+197</f>
        <v>4877</v>
      </c>
      <c r="AA65" s="3">
        <f>698.67-20.35</f>
        <v>678.31999999999994</v>
      </c>
      <c r="AC65" s="9">
        <f>2800+197</f>
        <v>2997</v>
      </c>
      <c r="AD65" s="3">
        <f>462.74-13.48</f>
        <v>449.26</v>
      </c>
      <c r="AF65" s="7">
        <f>2120+197</f>
        <v>2317</v>
      </c>
      <c r="AG65" s="3">
        <f>352.99-10.28</f>
        <v>342.71000000000004</v>
      </c>
      <c r="AI65" s="9">
        <f>1320+197</f>
        <v>1517</v>
      </c>
      <c r="AJ65" s="3">
        <f>272.75-7.94</f>
        <v>264.81</v>
      </c>
      <c r="AL65" s="2">
        <f t="shared" si="2"/>
        <v>28404</v>
      </c>
      <c r="AM65" s="5">
        <f t="shared" si="3"/>
        <v>4787.49</v>
      </c>
    </row>
    <row r="66" spans="1:39" x14ac:dyDescent="0.25">
      <c r="A66" s="11">
        <v>63</v>
      </c>
      <c r="B66" s="7">
        <v>1920</v>
      </c>
      <c r="C66" s="3">
        <f>336.85-9.81</f>
        <v>327.04000000000002</v>
      </c>
      <c r="E66" s="7">
        <v>1640</v>
      </c>
      <c r="F66" s="3">
        <f>327.7-9.54</f>
        <v>318.15999999999997</v>
      </c>
      <c r="H66" s="7">
        <v>2120</v>
      </c>
      <c r="I66" s="3">
        <f>339.72-9.89</f>
        <v>329.83000000000004</v>
      </c>
      <c r="K66" s="7">
        <v>1880</v>
      </c>
      <c r="L66" s="3">
        <f>316.77-9.23</f>
        <v>307.53999999999996</v>
      </c>
      <c r="N66" s="7">
        <v>1920</v>
      </c>
      <c r="O66" s="3">
        <f>324.19-9.44</f>
        <v>314.75</v>
      </c>
      <c r="Q66" s="9">
        <v>2000</v>
      </c>
      <c r="R66" s="3">
        <f>339.48-9.89</f>
        <v>329.59000000000003</v>
      </c>
      <c r="T66" s="9">
        <v>1760</v>
      </c>
      <c r="U66" s="3">
        <f>339.78-9.9</f>
        <v>329.88</v>
      </c>
      <c r="W66" s="7">
        <v>1800</v>
      </c>
      <c r="X66" s="3">
        <f>320.93-9.35</f>
        <v>311.58</v>
      </c>
      <c r="Z66" s="9">
        <v>2280</v>
      </c>
      <c r="AA66" s="3">
        <f>343.21-10</f>
        <v>333.21</v>
      </c>
      <c r="AC66" s="9">
        <v>1720</v>
      </c>
      <c r="AD66" s="3">
        <f>316.52-9.22</f>
        <v>307.29999999999995</v>
      </c>
      <c r="AF66" s="7">
        <v>1840</v>
      </c>
      <c r="AG66" s="3">
        <f>253.33-7.38</f>
        <v>245.95000000000002</v>
      </c>
      <c r="AI66" s="9">
        <v>1840</v>
      </c>
      <c r="AJ66" s="3">
        <f>263.83-7.68</f>
        <v>256.14999999999998</v>
      </c>
      <c r="AL66" s="2">
        <f t="shared" si="2"/>
        <v>22720</v>
      </c>
      <c r="AM66" s="5">
        <f t="shared" si="3"/>
        <v>3710.98</v>
      </c>
    </row>
    <row r="67" spans="1:39" x14ac:dyDescent="0.25">
      <c r="A67" s="11">
        <v>64</v>
      </c>
      <c r="B67" s="7">
        <v>1000</v>
      </c>
      <c r="C67" s="3">
        <f>498.39-14.52</f>
        <v>483.87</v>
      </c>
      <c r="E67" s="7">
        <v>1000</v>
      </c>
      <c r="F67" s="3">
        <f>511.58-14.9</f>
        <v>496.68</v>
      </c>
      <c r="H67" s="7">
        <v>900</v>
      </c>
      <c r="I67" s="3">
        <f>492.76-14.35</f>
        <v>478.40999999999997</v>
      </c>
      <c r="K67" s="7">
        <v>1200</v>
      </c>
      <c r="L67" s="3">
        <f>518.72-15.11</f>
        <v>503.61</v>
      </c>
      <c r="N67" s="7">
        <v>1500</v>
      </c>
      <c r="O67" s="3">
        <f>540.64-15.75</f>
        <v>524.89</v>
      </c>
      <c r="Q67" s="9">
        <v>1600</v>
      </c>
      <c r="R67" s="3">
        <f>546.69-15.92</f>
        <v>530.7700000000001</v>
      </c>
      <c r="T67" s="9">
        <v>1800</v>
      </c>
      <c r="U67" s="3">
        <f>585.93-17.07</f>
        <v>568.8599999999999</v>
      </c>
      <c r="W67" s="7">
        <v>1700</v>
      </c>
      <c r="X67" s="3">
        <f>569.57-16.59</f>
        <v>552.98</v>
      </c>
      <c r="Z67" s="9">
        <v>1100</v>
      </c>
      <c r="AA67" s="3">
        <f>518.29-15.1</f>
        <v>503.18999999999994</v>
      </c>
      <c r="AC67" s="9">
        <v>900</v>
      </c>
      <c r="AD67" s="3">
        <f>501.11-14.6</f>
        <v>486.51</v>
      </c>
      <c r="AF67" s="7">
        <v>800</v>
      </c>
      <c r="AG67" s="3">
        <f>146.39-4.26</f>
        <v>142.13</v>
      </c>
      <c r="AI67" s="9">
        <v>1000</v>
      </c>
      <c r="AJ67" s="3">
        <f>164.39-4.79</f>
        <v>159.6</v>
      </c>
      <c r="AL67" s="2">
        <f t="shared" si="2"/>
        <v>14500</v>
      </c>
      <c r="AM67" s="5">
        <f t="shared" si="3"/>
        <v>5431.5</v>
      </c>
    </row>
    <row r="68" spans="1:39" x14ac:dyDescent="0.25">
      <c r="A68" s="11">
        <v>65</v>
      </c>
      <c r="B68" s="7">
        <f>1200+1715</f>
        <v>2915</v>
      </c>
      <c r="C68" s="3">
        <f>818.12-23.83</f>
        <v>794.29</v>
      </c>
      <c r="E68" s="7">
        <f>800+1715</f>
        <v>2515</v>
      </c>
      <c r="F68" s="3">
        <f>686.35-19.99</f>
        <v>666.36</v>
      </c>
      <c r="H68" s="7">
        <f>1100+1715</f>
        <v>2815</v>
      </c>
      <c r="I68" s="3">
        <f>673.41-19.61</f>
        <v>653.79999999999995</v>
      </c>
      <c r="K68" s="7">
        <f>1000+1715</f>
        <v>2715</v>
      </c>
      <c r="L68" s="3">
        <f>664.53-19.36</f>
        <v>645.16999999999996</v>
      </c>
      <c r="N68" s="7">
        <f>2100+1715</f>
        <v>3815</v>
      </c>
      <c r="O68" s="3">
        <f>749.09-21.82</f>
        <v>727.27</v>
      </c>
      <c r="Q68" s="9">
        <f>2400+1715</f>
        <v>4115</v>
      </c>
      <c r="R68" s="3">
        <f>894.2-26.04</f>
        <v>868.16000000000008</v>
      </c>
      <c r="T68" s="9">
        <f>4400+1715</f>
        <v>6115</v>
      </c>
      <c r="U68" s="3">
        <f>1125.22-32.77</f>
        <v>1092.45</v>
      </c>
      <c r="W68" s="7">
        <f>7300+1715</f>
        <v>9015</v>
      </c>
      <c r="X68" s="3">
        <f>1325.68-38.61</f>
        <v>1287.0700000000002</v>
      </c>
      <c r="Z68" s="9">
        <f>9800+1715</f>
        <v>11515</v>
      </c>
      <c r="AA68" s="3">
        <f>1431.15-41.68</f>
        <v>1389.47</v>
      </c>
      <c r="AC68" s="9">
        <f>6900+1715</f>
        <v>8615</v>
      </c>
      <c r="AD68" s="3">
        <f>1252.16-36.47</f>
        <v>1215.69</v>
      </c>
      <c r="AF68" s="7">
        <f>5800+1715</f>
        <v>7515</v>
      </c>
      <c r="AG68" s="3">
        <f>1006.19-29.31</f>
        <v>976.88000000000011</v>
      </c>
      <c r="AI68" s="9">
        <f>3400+1715</f>
        <v>5115</v>
      </c>
      <c r="AJ68" s="3">
        <f>763.92-22.25</f>
        <v>741.67</v>
      </c>
      <c r="AL68" s="2">
        <f t="shared" si="2"/>
        <v>66780</v>
      </c>
      <c r="AM68" s="5">
        <f t="shared" si="3"/>
        <v>11058.28</v>
      </c>
    </row>
    <row r="69" spans="1:39" x14ac:dyDescent="0.25">
      <c r="A69" s="11">
        <v>66</v>
      </c>
      <c r="B69" s="7">
        <v>800</v>
      </c>
      <c r="C69" s="3">
        <f>230.54-19.38</f>
        <v>211.16</v>
      </c>
      <c r="E69" s="7">
        <v>700</v>
      </c>
      <c r="F69" s="3">
        <f>229.67-19.31</f>
        <v>210.35999999999999</v>
      </c>
      <c r="H69" s="7">
        <v>700</v>
      </c>
      <c r="I69" s="3">
        <f>218.49-18.37</f>
        <v>200.12</v>
      </c>
      <c r="K69" s="7">
        <v>800</v>
      </c>
      <c r="L69" s="3">
        <f>227.38-19.12</f>
        <v>208.26</v>
      </c>
      <c r="N69" s="7">
        <v>700</v>
      </c>
      <c r="O69" s="3">
        <f>218.38-18.36</f>
        <v>200.01999999999998</v>
      </c>
      <c r="Q69" s="9">
        <v>700</v>
      </c>
      <c r="R69" s="3">
        <f>220.86-18.57</f>
        <v>202.29000000000002</v>
      </c>
      <c r="T69" s="9">
        <v>800</v>
      </c>
      <c r="U69" s="3">
        <f>239.14-20.11</f>
        <v>219.02999999999997</v>
      </c>
      <c r="W69" s="7">
        <v>900</v>
      </c>
      <c r="X69" s="3">
        <f>242.37-20.38</f>
        <v>221.99</v>
      </c>
      <c r="Z69" s="9">
        <v>900</v>
      </c>
      <c r="AA69" s="3">
        <f>233.84-19.67</f>
        <v>214.17000000000002</v>
      </c>
      <c r="AC69" s="9">
        <v>900</v>
      </c>
      <c r="AD69" s="3">
        <f>237.69-19.98</f>
        <v>217.71</v>
      </c>
      <c r="AF69" s="7">
        <v>800</v>
      </c>
      <c r="AG69" s="3">
        <f>143.35-12.05</f>
        <v>131.29999999999998</v>
      </c>
      <c r="AI69" s="9">
        <v>800</v>
      </c>
      <c r="AJ69" s="3">
        <f>149.15-12.54</f>
        <v>136.61000000000001</v>
      </c>
      <c r="AL69" s="2">
        <f t="shared" si="2"/>
        <v>9500</v>
      </c>
      <c r="AM69" s="5">
        <f t="shared" si="3"/>
        <v>2373.0200000000004</v>
      </c>
    </row>
    <row r="70" spans="1:39" x14ac:dyDescent="0.25">
      <c r="A70" s="11">
        <v>67</v>
      </c>
      <c r="B70" s="7">
        <f>22400+74</f>
        <v>22474</v>
      </c>
      <c r="C70" s="3">
        <f>2218.21-64.61</f>
        <v>2153.6</v>
      </c>
      <c r="E70" s="7">
        <f>25100+74</f>
        <v>25174</v>
      </c>
      <c r="F70" s="3">
        <f>2648.6-77.14</f>
        <v>2571.46</v>
      </c>
      <c r="H70" s="7">
        <f>27600+74</f>
        <v>27674</v>
      </c>
      <c r="I70" s="3">
        <f>2490.44-72.54</f>
        <v>2417.9</v>
      </c>
      <c r="K70" s="7">
        <f>26900+74</f>
        <v>26974</v>
      </c>
      <c r="L70" s="3">
        <f>2482.91-72.32</f>
        <v>2410.5899999999997</v>
      </c>
      <c r="N70" s="7">
        <f>25000+74</f>
        <v>25074</v>
      </c>
      <c r="O70" s="3">
        <f>2420.78-70.51</f>
        <v>2350.27</v>
      </c>
      <c r="Q70" s="9">
        <f>22300+74</f>
        <v>22374</v>
      </c>
      <c r="R70" s="3">
        <f>2189.81-63.78</f>
        <v>2126.0299999999997</v>
      </c>
      <c r="T70" s="9">
        <f>19500+74</f>
        <v>19574</v>
      </c>
      <c r="U70" s="3">
        <f>2086.82-60.78</f>
        <v>2026.0400000000002</v>
      </c>
      <c r="W70" s="7">
        <f>21000+74</f>
        <v>21074</v>
      </c>
      <c r="X70" s="3">
        <f>2058.85-59.97</f>
        <v>1998.8799999999999</v>
      </c>
      <c r="Z70" s="9">
        <f>18500+74</f>
        <v>18574</v>
      </c>
      <c r="AA70" s="3">
        <f>1685.73-49.1</f>
        <v>1636.63</v>
      </c>
      <c r="AC70" s="9">
        <f>18300+74</f>
        <v>18374</v>
      </c>
      <c r="AD70" s="3">
        <f>1863.84-54.29</f>
        <v>1809.55</v>
      </c>
      <c r="AF70" s="7">
        <f>22000+74</f>
        <v>22074</v>
      </c>
      <c r="AG70" s="3">
        <f>2556.38-74.46</f>
        <v>2481.92</v>
      </c>
      <c r="AI70" s="9">
        <f>22800+74</f>
        <v>22874</v>
      </c>
      <c r="AJ70" s="3">
        <f>2759.33-80.37</f>
        <v>2678.96</v>
      </c>
      <c r="AL70" s="2">
        <f t="shared" si="2"/>
        <v>272288</v>
      </c>
      <c r="AM70" s="5">
        <f t="shared" si="3"/>
        <v>26661.83</v>
      </c>
    </row>
    <row r="71" spans="1:39" x14ac:dyDescent="0.25">
      <c r="A71" s="11">
        <v>68</v>
      </c>
      <c r="B71" s="7">
        <v>2300</v>
      </c>
      <c r="C71" s="3">
        <f>372.92-31.36</f>
        <v>341.56</v>
      </c>
      <c r="E71" s="7">
        <v>2300</v>
      </c>
      <c r="F71" s="3">
        <f>392.52-33.01</f>
        <v>359.51</v>
      </c>
      <c r="H71" s="7">
        <v>2200</v>
      </c>
      <c r="I71" s="3">
        <f>348.68-29.32</f>
        <v>319.36</v>
      </c>
      <c r="K71" s="7">
        <v>2400</v>
      </c>
      <c r="L71" s="3">
        <f>372.93-31.36</f>
        <v>341.57</v>
      </c>
      <c r="N71" s="7">
        <v>2300</v>
      </c>
      <c r="O71" s="3">
        <f>369-31.03</f>
        <v>337.97</v>
      </c>
      <c r="Q71" s="9">
        <v>2300</v>
      </c>
      <c r="R71" s="3">
        <f>364.12-30.62</f>
        <v>333.5</v>
      </c>
      <c r="T71" s="9">
        <v>2600</v>
      </c>
      <c r="U71" s="3">
        <f>452.95-38.09</f>
        <v>414.86</v>
      </c>
      <c r="W71" s="7">
        <v>3200</v>
      </c>
      <c r="X71" s="3">
        <f>486.71-40.92</f>
        <v>445.78999999999996</v>
      </c>
      <c r="Z71" s="9">
        <v>4800</v>
      </c>
      <c r="AA71" s="3">
        <f>587.78-49.42</f>
        <v>538.36</v>
      </c>
      <c r="AC71" s="9">
        <v>3100</v>
      </c>
      <c r="AD71" s="3">
        <f>468.22-39.37</f>
        <v>428.85</v>
      </c>
      <c r="AF71" s="7">
        <v>2900</v>
      </c>
      <c r="AG71" s="3">
        <f>396.15-33.31</f>
        <v>362.84</v>
      </c>
      <c r="AI71" s="9">
        <v>2400</v>
      </c>
      <c r="AJ71" s="3">
        <f>349.96-29.43</f>
        <v>320.52999999999997</v>
      </c>
      <c r="AL71" s="2">
        <f t="shared" si="2"/>
        <v>32800</v>
      </c>
      <c r="AM71" s="5">
        <f t="shared" si="3"/>
        <v>4544.7</v>
      </c>
    </row>
    <row r="72" spans="1:39" x14ac:dyDescent="0.25">
      <c r="A72" s="11">
        <v>69</v>
      </c>
      <c r="B72" s="7">
        <v>1700</v>
      </c>
      <c r="C72" s="3">
        <f>331.92-27.91</f>
        <v>304.01</v>
      </c>
      <c r="E72" s="7">
        <v>1700</v>
      </c>
      <c r="F72" s="3">
        <f>343.04-28.85</f>
        <v>314.19</v>
      </c>
      <c r="H72" s="7">
        <v>2000</v>
      </c>
      <c r="I72" s="3">
        <f>346.8-29.16</f>
        <v>317.64</v>
      </c>
      <c r="K72" s="7">
        <v>2100</v>
      </c>
      <c r="L72" s="3">
        <f>358.92-30.18</f>
        <v>328.74</v>
      </c>
      <c r="N72" s="7">
        <v>2200</v>
      </c>
      <c r="O72" s="3">
        <f>372.88-31.36</f>
        <v>341.52</v>
      </c>
      <c r="Q72" s="9">
        <v>2000</v>
      </c>
      <c r="R72" s="3">
        <f>353.09-29.69</f>
        <v>323.39999999999998</v>
      </c>
      <c r="T72" s="9">
        <v>2300</v>
      </c>
      <c r="U72" s="3">
        <f>422.39-35.52</f>
        <v>386.87</v>
      </c>
      <c r="W72" s="7">
        <v>2000</v>
      </c>
      <c r="X72" s="3">
        <f>381.48-32.07</f>
        <v>349.41</v>
      </c>
      <c r="Z72" s="9">
        <v>2500</v>
      </c>
      <c r="AA72" s="3">
        <f>429.45-36.11</f>
        <v>393.34</v>
      </c>
      <c r="AC72" s="9">
        <v>1700</v>
      </c>
      <c r="AD72" s="3">
        <f>348.97-29.34</f>
        <v>319.63000000000005</v>
      </c>
      <c r="AF72" s="7">
        <v>1600</v>
      </c>
      <c r="AG72" s="3">
        <f>239.63-20.14</f>
        <v>219.49</v>
      </c>
      <c r="AI72" s="9">
        <v>2000</v>
      </c>
      <c r="AJ72" s="3">
        <f>299.76-25.21</f>
        <v>274.55</v>
      </c>
      <c r="AL72" s="2">
        <f t="shared" si="2"/>
        <v>23800</v>
      </c>
      <c r="AM72" s="5">
        <f t="shared" si="3"/>
        <v>3872.79</v>
      </c>
    </row>
    <row r="73" spans="1:39" x14ac:dyDescent="0.25">
      <c r="A73" s="11">
        <v>70</v>
      </c>
      <c r="B73" s="7">
        <v>200</v>
      </c>
      <c r="C73" s="3">
        <f>118.36-9.95</f>
        <v>108.41</v>
      </c>
      <c r="E73" s="7">
        <v>100</v>
      </c>
      <c r="F73" s="3">
        <f>101.93-8.57</f>
        <v>93.360000000000014</v>
      </c>
      <c r="H73" s="7">
        <v>200</v>
      </c>
      <c r="I73" s="3">
        <f>112.18-9.43</f>
        <v>102.75</v>
      </c>
      <c r="K73" s="7">
        <v>100</v>
      </c>
      <c r="L73" s="3">
        <f>107.4-9.03</f>
        <v>98.37</v>
      </c>
      <c r="N73" s="7">
        <v>100</v>
      </c>
      <c r="O73" s="3">
        <f>98.63-8.29</f>
        <v>90.34</v>
      </c>
      <c r="Q73" s="9">
        <v>100</v>
      </c>
      <c r="R73" s="3">
        <f>100.29-8.44</f>
        <v>91.850000000000009</v>
      </c>
      <c r="T73" s="9">
        <v>500</v>
      </c>
      <c r="U73" s="3">
        <f>156.14-13.13</f>
        <v>143.01</v>
      </c>
      <c r="W73" s="7">
        <v>200</v>
      </c>
      <c r="X73" s="3">
        <f>128.09-10.77</f>
        <v>117.32000000000001</v>
      </c>
      <c r="Z73" s="9">
        <v>700</v>
      </c>
      <c r="AA73" s="3">
        <f>195.2-16.41</f>
        <v>178.79</v>
      </c>
      <c r="AC73" s="9">
        <v>600</v>
      </c>
      <c r="AD73" s="3">
        <f>166.93-14.04</f>
        <v>152.89000000000001</v>
      </c>
      <c r="AF73" s="7">
        <v>300</v>
      </c>
      <c r="AG73" s="3">
        <f>83.15-6.99</f>
        <v>76.160000000000011</v>
      </c>
      <c r="AI73" s="9">
        <v>300</v>
      </c>
      <c r="AJ73" s="3">
        <f>86.4-7.26</f>
        <v>79.14</v>
      </c>
      <c r="AL73" s="2">
        <f t="shared" si="2"/>
        <v>3400</v>
      </c>
      <c r="AM73" s="5">
        <f t="shared" si="3"/>
        <v>1332.3900000000003</v>
      </c>
    </row>
    <row r="74" spans="1:39" x14ac:dyDescent="0.25">
      <c r="A74" s="11">
        <v>71</v>
      </c>
      <c r="B74" s="7">
        <v>400</v>
      </c>
      <c r="C74" s="3">
        <f>117.7-3.43</f>
        <v>114.27</v>
      </c>
      <c r="E74" s="7">
        <v>500</v>
      </c>
      <c r="F74" s="3">
        <f>131.84-3.84</f>
        <v>128</v>
      </c>
      <c r="H74" s="7">
        <v>400</v>
      </c>
      <c r="I74" s="3">
        <f>116.74-3.4</f>
        <v>113.33999999999999</v>
      </c>
      <c r="K74" s="7">
        <v>500</v>
      </c>
      <c r="L74" s="3">
        <f>124.71-3.63</f>
        <v>121.08</v>
      </c>
      <c r="N74" s="7">
        <v>400</v>
      </c>
      <c r="O74" s="3">
        <f>116.71-3.4</f>
        <v>113.30999999999999</v>
      </c>
      <c r="Q74" s="9">
        <v>400</v>
      </c>
      <c r="R74" s="3">
        <f>116.52-3.39</f>
        <v>113.13</v>
      </c>
      <c r="T74" s="9">
        <v>500</v>
      </c>
      <c r="U74" s="3">
        <f>151.8-4.42</f>
        <v>147.38000000000002</v>
      </c>
      <c r="W74" s="7">
        <v>500</v>
      </c>
      <c r="X74" s="3">
        <f>148.36-4.32</f>
        <v>144.04000000000002</v>
      </c>
      <c r="Z74" s="9">
        <v>1400</v>
      </c>
      <c r="AA74" s="3">
        <f>214.06-6.23</f>
        <v>207.83</v>
      </c>
      <c r="AC74" s="9">
        <v>1200</v>
      </c>
      <c r="AD74" s="3">
        <f>201.38-5.87</f>
        <v>195.51</v>
      </c>
      <c r="AF74" s="7">
        <v>800</v>
      </c>
      <c r="AG74" s="3">
        <f>135.24-3.94</f>
        <v>131.30000000000001</v>
      </c>
      <c r="AI74" s="9">
        <v>2700</v>
      </c>
      <c r="AJ74" s="3">
        <f>365.65-10.65</f>
        <v>355</v>
      </c>
      <c r="AL74" s="2">
        <f t="shared" si="2"/>
        <v>9700</v>
      </c>
      <c r="AM74" s="5">
        <f t="shared" si="3"/>
        <v>1884.1899999999998</v>
      </c>
    </row>
    <row r="75" spans="1:39" x14ac:dyDescent="0.25">
      <c r="A75" s="11">
        <v>72</v>
      </c>
      <c r="B75" s="7">
        <v>7400</v>
      </c>
      <c r="C75" s="3">
        <f>781.8-22.77</f>
        <v>759.03</v>
      </c>
      <c r="E75" s="7">
        <v>2400</v>
      </c>
      <c r="F75" s="3">
        <f>406.34-11.84</f>
        <v>394.5</v>
      </c>
      <c r="H75" s="7">
        <v>3000</v>
      </c>
      <c r="I75" s="3">
        <f>421.84-12.29</f>
        <v>409.54999999999995</v>
      </c>
      <c r="K75" s="7">
        <v>2600</v>
      </c>
      <c r="L75" s="3">
        <f>399.53-11.64</f>
        <v>387.89</v>
      </c>
      <c r="N75" s="7">
        <v>2700</v>
      </c>
      <c r="O75" s="3">
        <f>413.37-12.04</f>
        <v>401.33</v>
      </c>
      <c r="Q75" s="9">
        <v>1800</v>
      </c>
      <c r="R75" s="3">
        <f>338.56-9.86</f>
        <v>328.7</v>
      </c>
      <c r="T75" s="9">
        <v>2000</v>
      </c>
      <c r="U75" s="3">
        <f>376.88-10.98</f>
        <v>365.9</v>
      </c>
      <c r="W75" s="7">
        <v>3000</v>
      </c>
      <c r="X75" s="3">
        <f>442.01-12.87</f>
        <v>429.14</v>
      </c>
      <c r="Z75" s="9">
        <v>4200</v>
      </c>
      <c r="AA75" s="3">
        <f>518.3-15.1</f>
        <v>503.19999999999993</v>
      </c>
      <c r="AC75" s="9">
        <v>3000</v>
      </c>
      <c r="AD75" s="3">
        <f>433.37-12.62</f>
        <v>420.75</v>
      </c>
      <c r="AF75" s="7">
        <v>2200</v>
      </c>
      <c r="AG75" s="3">
        <f>294.22-8.57</f>
        <v>285.65000000000003</v>
      </c>
      <c r="AI75" s="9">
        <v>2300</v>
      </c>
      <c r="AJ75" s="3">
        <f>318.3-9.27</f>
        <v>309.03000000000003</v>
      </c>
      <c r="AL75" s="2">
        <f t="shared" si="2"/>
        <v>36600</v>
      </c>
      <c r="AM75" s="5">
        <f t="shared" si="3"/>
        <v>4994.6699999999992</v>
      </c>
    </row>
    <row r="76" spans="1:39" x14ac:dyDescent="0.25">
      <c r="A76" s="11">
        <v>73</v>
      </c>
      <c r="B76" s="7">
        <v>4000</v>
      </c>
      <c r="C76" s="3">
        <f>581.86-48.93</f>
        <v>532.93000000000006</v>
      </c>
      <c r="E76" s="7">
        <v>1960</v>
      </c>
      <c r="F76" s="3">
        <f>449.09-37.76</f>
        <v>411.33</v>
      </c>
      <c r="H76" s="7">
        <v>3880</v>
      </c>
      <c r="I76" s="3">
        <f>583.73-49.08</f>
        <v>534.65</v>
      </c>
      <c r="K76" s="7">
        <v>3920</v>
      </c>
      <c r="L76" s="3">
        <f>557.01-46.84</f>
        <v>510.16999999999996</v>
      </c>
      <c r="N76" s="7">
        <v>3240</v>
      </c>
      <c r="O76" s="3">
        <f>530.7-44.62</f>
        <v>486.08000000000004</v>
      </c>
      <c r="Q76" s="9">
        <v>2680</v>
      </c>
      <c r="R76" s="3">
        <f>459.53-38.64</f>
        <v>420.89</v>
      </c>
      <c r="T76" s="9">
        <v>2400</v>
      </c>
      <c r="U76" s="3">
        <f>459.16-38.61</f>
        <v>420.55</v>
      </c>
      <c r="W76" s="7">
        <v>3200</v>
      </c>
      <c r="X76" s="3">
        <f>498.75-41.93</f>
        <v>456.82</v>
      </c>
      <c r="Z76" s="9">
        <v>3200</v>
      </c>
      <c r="AA76" s="3">
        <f>494.06-41.55</f>
        <v>452.51</v>
      </c>
      <c r="AC76" s="9">
        <v>2920</v>
      </c>
      <c r="AD76" s="3">
        <f>484.28-40.72</f>
        <v>443.55999999999995</v>
      </c>
      <c r="AF76" s="7">
        <v>3440</v>
      </c>
      <c r="AG76" s="3">
        <f>461.15-38.77</f>
        <v>422.38</v>
      </c>
      <c r="AI76" s="9">
        <v>3160</v>
      </c>
      <c r="AJ76" s="3">
        <f>4445.34-37.45</f>
        <v>4407.8900000000003</v>
      </c>
      <c r="AL76" s="2">
        <f t="shared" si="2"/>
        <v>38000</v>
      </c>
      <c r="AM76" s="5">
        <f t="shared" si="3"/>
        <v>9499.76</v>
      </c>
    </row>
    <row r="77" spans="1:39" x14ac:dyDescent="0.25">
      <c r="A77" s="11">
        <v>74</v>
      </c>
      <c r="B77" s="7">
        <v>0</v>
      </c>
      <c r="C77" s="3">
        <f>48.79-4.1</f>
        <v>44.69</v>
      </c>
      <c r="E77" s="7">
        <v>0</v>
      </c>
      <c r="F77" s="3">
        <f>49.66-4.17</f>
        <v>45.489999999999995</v>
      </c>
      <c r="H77" s="7">
        <v>960</v>
      </c>
      <c r="I77" s="3">
        <f>158.87-13.36</f>
        <v>145.51</v>
      </c>
      <c r="K77" s="7">
        <v>800</v>
      </c>
      <c r="L77" s="3">
        <f>141.99-11.93</f>
        <v>130.06</v>
      </c>
      <c r="N77" s="7">
        <v>600</v>
      </c>
      <c r="O77" s="3">
        <f>119.8-10.07</f>
        <v>109.72999999999999</v>
      </c>
      <c r="Q77" s="9">
        <v>500</v>
      </c>
      <c r="R77" s="3">
        <f>107.79-9.06</f>
        <v>98.73</v>
      </c>
      <c r="T77" s="9">
        <v>900</v>
      </c>
      <c r="U77" s="3">
        <f>235.66-19.82</f>
        <v>215.84</v>
      </c>
      <c r="W77" s="7">
        <v>1300</v>
      </c>
      <c r="X77" s="3">
        <f>256.7-21.58</f>
        <v>235.12</v>
      </c>
      <c r="Z77" s="9">
        <v>1900</v>
      </c>
      <c r="AA77" s="3">
        <f>309.79-26.05</f>
        <v>283.74</v>
      </c>
      <c r="AC77" s="9">
        <v>1300</v>
      </c>
      <c r="AD77" s="3">
        <f>259-21.78</f>
        <v>237.22</v>
      </c>
      <c r="AF77" s="7">
        <v>800</v>
      </c>
      <c r="AG77" s="3">
        <f>143.35-12.05</f>
        <v>131.29999999999998</v>
      </c>
      <c r="AI77" s="9">
        <v>600</v>
      </c>
      <c r="AJ77" s="3">
        <f>124.05-10.43</f>
        <v>113.62</v>
      </c>
      <c r="AL77" s="2">
        <f t="shared" si="2"/>
        <v>9660</v>
      </c>
      <c r="AM77" s="5">
        <f t="shared" si="3"/>
        <v>1791.0500000000002</v>
      </c>
    </row>
    <row r="78" spans="1:39" x14ac:dyDescent="0.25">
      <c r="A78" s="11">
        <v>75</v>
      </c>
      <c r="B78" s="7">
        <v>17148</v>
      </c>
      <c r="C78" s="3">
        <f>1879.65-158.05</f>
        <v>1721.6000000000001</v>
      </c>
      <c r="E78" s="7">
        <v>13560</v>
      </c>
      <c r="F78" s="3">
        <f>1695.72-142.57</f>
        <v>1553.15</v>
      </c>
      <c r="H78" s="7">
        <v>18375</v>
      </c>
      <c r="I78" s="3">
        <f>1884.92-158.48</f>
        <v>1726.44</v>
      </c>
      <c r="K78" s="7">
        <v>17741</v>
      </c>
      <c r="L78" s="3">
        <f>1838.47-154.58</f>
        <v>1683.89</v>
      </c>
      <c r="N78" s="7">
        <v>15917</v>
      </c>
      <c r="O78" s="3">
        <f>1827.09-153.62</f>
        <v>1673.4699999999998</v>
      </c>
      <c r="Q78" s="9">
        <v>13917</v>
      </c>
      <c r="R78" s="3">
        <f>1541.19-129.59</f>
        <v>1411.6000000000001</v>
      </c>
      <c r="T78" s="9">
        <v>11186</v>
      </c>
      <c r="U78" s="3">
        <f>1430.5-120.28</f>
        <v>1310.22</v>
      </c>
      <c r="W78" s="7">
        <v>11840</v>
      </c>
      <c r="X78" s="3">
        <f>1393.24-117.14</f>
        <v>1276.0999999999999</v>
      </c>
      <c r="Z78" s="9">
        <v>15093</v>
      </c>
      <c r="AA78" s="3">
        <f>1564.62-131.55</f>
        <v>1433.07</v>
      </c>
      <c r="AC78" s="9">
        <v>10333</v>
      </c>
      <c r="AD78" s="3">
        <f>1211.12-101.83</f>
        <v>1109.29</v>
      </c>
      <c r="AF78" s="7">
        <v>11106</v>
      </c>
      <c r="AG78" s="3">
        <f>1384.04-116.37</f>
        <v>1267.67</v>
      </c>
      <c r="AI78" s="9">
        <v>12720</v>
      </c>
      <c r="AJ78" s="3">
        <f>1645.07-138.32</f>
        <v>1506.75</v>
      </c>
      <c r="AL78" s="2">
        <f t="shared" si="2"/>
        <v>168936</v>
      </c>
      <c r="AM78" s="5">
        <f t="shared" si="3"/>
        <v>17673.25</v>
      </c>
    </row>
    <row r="79" spans="1:39" x14ac:dyDescent="0.25">
      <c r="A79" s="11">
        <v>76</v>
      </c>
      <c r="B79" s="7">
        <v>16658</v>
      </c>
      <c r="C79" s="3">
        <f>1837.05-154.46</f>
        <v>1682.59</v>
      </c>
      <c r="E79" s="7">
        <v>19278</v>
      </c>
      <c r="F79" s="3">
        <f>2234.63-187.89</f>
        <v>2046.7400000000002</v>
      </c>
      <c r="H79" s="7">
        <v>22443</v>
      </c>
      <c r="I79" s="3">
        <f>2207.28-185.59</f>
        <v>2021.6900000000003</v>
      </c>
      <c r="K79" s="7">
        <v>22173</v>
      </c>
      <c r="L79" s="3">
        <f>2153.75-181.09</f>
        <v>1972.66</v>
      </c>
      <c r="N79" s="7">
        <v>18301</v>
      </c>
      <c r="O79" s="3">
        <f>1973.02-165.89</f>
        <v>1807.13</v>
      </c>
      <c r="Q79" s="9">
        <v>16432</v>
      </c>
      <c r="R79" s="3">
        <f>1817.64-152.83</f>
        <v>1664.8100000000002</v>
      </c>
      <c r="T79" s="9">
        <v>13558</v>
      </c>
      <c r="U79" s="3">
        <f>1624.03-136.55</f>
        <v>1487.48</v>
      </c>
      <c r="W79" s="7">
        <v>13141</v>
      </c>
      <c r="X79" s="3">
        <f>1465.96-123.26</f>
        <v>1342.7</v>
      </c>
      <c r="Z79" s="9">
        <v>12340</v>
      </c>
      <c r="AA79" s="3">
        <f>1292.06-108.64</f>
        <v>1183.4199999999998</v>
      </c>
      <c r="AC79" s="9">
        <v>12396</v>
      </c>
      <c r="AD79" s="3">
        <f>1360.17-114.36</f>
        <v>1245.8100000000002</v>
      </c>
      <c r="AF79" s="7">
        <v>14357</v>
      </c>
      <c r="AG79" s="3">
        <f>1775.4-149.27</f>
        <v>1626.13</v>
      </c>
      <c r="AI79" s="9">
        <v>15076</v>
      </c>
      <c r="AJ79" s="3">
        <f>1940.73-163.18</f>
        <v>1777.55</v>
      </c>
      <c r="AL79" s="2">
        <f t="shared" si="2"/>
        <v>196153</v>
      </c>
      <c r="AM79" s="5">
        <f t="shared" si="3"/>
        <v>19858.710000000003</v>
      </c>
    </row>
    <row r="80" spans="1:39" x14ac:dyDescent="0.25">
      <c r="A80" s="11">
        <v>77</v>
      </c>
      <c r="B80" s="7">
        <v>8590</v>
      </c>
      <c r="C80" s="3">
        <f>1024.43-86.14</f>
        <v>938.29000000000008</v>
      </c>
      <c r="E80" s="7">
        <v>8982</v>
      </c>
      <c r="F80" s="3">
        <f>1137.45-95.63</f>
        <v>1041.8200000000002</v>
      </c>
      <c r="H80" s="7">
        <v>11743</v>
      </c>
      <c r="I80" s="3">
        <f>1300.25-109.33</f>
        <v>1190.92</v>
      </c>
      <c r="K80" s="7">
        <v>10997</v>
      </c>
      <c r="L80" s="3">
        <f>1224.67-102.97</f>
        <v>1121.7</v>
      </c>
      <c r="N80" s="7">
        <v>9568</v>
      </c>
      <c r="O80" s="3">
        <f>1134.65-95.41</f>
        <v>1039.24</v>
      </c>
      <c r="Q80" s="9">
        <v>7877</v>
      </c>
      <c r="R80" s="3">
        <f>955.76-80.36</f>
        <v>875.4</v>
      </c>
      <c r="T80" s="9">
        <v>6747</v>
      </c>
      <c r="U80" s="3">
        <f>881.06-74.08</f>
        <v>806.9799999999999</v>
      </c>
      <c r="W80" s="7">
        <v>7404</v>
      </c>
      <c r="X80" s="3">
        <f>826.65-69.5</f>
        <v>757.15</v>
      </c>
      <c r="Z80" s="9">
        <v>7203</v>
      </c>
      <c r="AA80" s="3">
        <f>759.41-63.86</f>
        <v>695.55</v>
      </c>
      <c r="AC80" s="9">
        <v>5880</v>
      </c>
      <c r="AD80" s="3">
        <f>678.69-57.07</f>
        <v>621.62</v>
      </c>
      <c r="AF80" s="7">
        <v>6518</v>
      </c>
      <c r="AG80" s="3">
        <f>831.7-69.93</f>
        <v>761.77</v>
      </c>
      <c r="AI80" s="9">
        <v>7310</v>
      </c>
      <c r="AJ80" s="3">
        <f>966.14-81.24</f>
        <v>884.9</v>
      </c>
      <c r="AL80" s="2">
        <f t="shared" si="2"/>
        <v>98819</v>
      </c>
      <c r="AM80" s="5">
        <f t="shared" si="3"/>
        <v>10735.34</v>
      </c>
    </row>
    <row r="81" spans="1:39" x14ac:dyDescent="0.25">
      <c r="A81" s="11">
        <v>78</v>
      </c>
      <c r="B81" s="7">
        <v>1120</v>
      </c>
      <c r="C81" s="3">
        <f>242.52-7.06</f>
        <v>235.46</v>
      </c>
      <c r="E81" s="7">
        <v>1120</v>
      </c>
      <c r="F81" s="3">
        <f>268.27-7.81</f>
        <v>260.45999999999998</v>
      </c>
      <c r="H81" s="7">
        <v>2240</v>
      </c>
      <c r="I81" s="3">
        <f>357.61-10.42</f>
        <v>347.19</v>
      </c>
      <c r="K81" s="7">
        <v>1280</v>
      </c>
      <c r="L81" s="3">
        <f>267.74-7.8</f>
        <v>259.94</v>
      </c>
      <c r="N81" s="7">
        <v>800</v>
      </c>
      <c r="O81" s="3">
        <f>230.95-6.73</f>
        <v>224.22</v>
      </c>
      <c r="Q81" s="9">
        <v>1440</v>
      </c>
      <c r="R81" s="3">
        <f>281.11-8.19</f>
        <v>272.92</v>
      </c>
      <c r="T81" s="9">
        <v>1280</v>
      </c>
      <c r="U81" s="3">
        <f>277.83-8.09</f>
        <v>269.74</v>
      </c>
      <c r="W81" s="7">
        <v>1280</v>
      </c>
      <c r="X81" s="3">
        <f>299.09-8.71</f>
        <v>290.38</v>
      </c>
      <c r="Z81" s="9">
        <v>1440</v>
      </c>
      <c r="AA81" s="3">
        <f>276.29-8.05</f>
        <v>268.24</v>
      </c>
      <c r="AC81" s="9">
        <v>1440</v>
      </c>
      <c r="AD81" s="3">
        <f>268.27-7.81</f>
        <v>260.45999999999998</v>
      </c>
      <c r="AF81" s="7">
        <v>1600</v>
      </c>
      <c r="AG81" s="3">
        <f>226.07-6.58</f>
        <v>219.48999999999998</v>
      </c>
      <c r="AI81" s="9">
        <v>1120</v>
      </c>
      <c r="AJ81" s="3">
        <f>178.59-5.2</f>
        <v>173.39000000000001</v>
      </c>
      <c r="AL81" s="2">
        <f t="shared" si="2"/>
        <v>16160</v>
      </c>
      <c r="AM81" s="5">
        <f t="shared" si="3"/>
        <v>3081.89</v>
      </c>
    </row>
    <row r="82" spans="1:39" x14ac:dyDescent="0.25">
      <c r="A82" s="11">
        <v>79</v>
      </c>
      <c r="B82" s="7">
        <v>0</v>
      </c>
      <c r="C82" s="3">
        <f>138.1-4.02</f>
        <v>134.07999999999998</v>
      </c>
      <c r="E82" s="7">
        <v>0</v>
      </c>
      <c r="F82" s="3">
        <f>140.57-4.09</f>
        <v>136.47999999999999</v>
      </c>
      <c r="H82" s="7">
        <v>0</v>
      </c>
      <c r="I82" s="3">
        <f>140.83-4.1</f>
        <v>136.73000000000002</v>
      </c>
      <c r="K82" s="7">
        <v>0</v>
      </c>
      <c r="L82" s="3">
        <f>140.64-4.1</f>
        <v>136.54</v>
      </c>
      <c r="N82" s="7">
        <v>0</v>
      </c>
      <c r="O82" s="3">
        <f>136.88-3.99</f>
        <v>132.88999999999999</v>
      </c>
      <c r="Q82" s="9">
        <v>0</v>
      </c>
      <c r="R82" s="3">
        <f>136.52-3.98</f>
        <v>132.54000000000002</v>
      </c>
      <c r="T82" s="9">
        <v>0</v>
      </c>
      <c r="U82" s="3">
        <f>138.8-4.04</f>
        <v>134.76000000000002</v>
      </c>
      <c r="W82" s="7">
        <v>0</v>
      </c>
      <c r="X82" s="3">
        <f>139.1-4.05</f>
        <v>135.04999999999998</v>
      </c>
      <c r="Z82" s="9">
        <v>0</v>
      </c>
      <c r="AA82" s="3">
        <f>137.53-4.01</f>
        <v>133.52000000000001</v>
      </c>
      <c r="AC82" s="9">
        <v>0</v>
      </c>
      <c r="AD82" s="3">
        <f>136.88-3.99</f>
        <v>132.88999999999999</v>
      </c>
      <c r="AF82" s="7">
        <v>0</v>
      </c>
      <c r="AG82" s="3">
        <f>133.11-3.88</f>
        <v>129.23000000000002</v>
      </c>
      <c r="AI82" s="9">
        <v>0</v>
      </c>
      <c r="AJ82" s="3">
        <f>137.99-4.02</f>
        <v>133.97</v>
      </c>
      <c r="AL82" s="2">
        <v>0</v>
      </c>
      <c r="AM82" s="5">
        <f t="shared" si="3"/>
        <v>1608.68</v>
      </c>
    </row>
    <row r="83" spans="1:39" x14ac:dyDescent="0.25">
      <c r="A83" s="11">
        <v>80</v>
      </c>
      <c r="B83" s="7">
        <v>4800</v>
      </c>
      <c r="C83" s="3">
        <f>641.58-23.69</f>
        <v>617.89</v>
      </c>
      <c r="E83" s="7">
        <v>7600</v>
      </c>
      <c r="F83" s="3">
        <f>1004.28-34.25</f>
        <v>970.03</v>
      </c>
      <c r="H83" s="7">
        <v>9680</v>
      </c>
      <c r="I83" s="3">
        <f>1111.46-37.37</f>
        <v>1074.0900000000001</v>
      </c>
      <c r="K83" s="7">
        <v>9280</v>
      </c>
      <c r="L83" s="3">
        <f>1074.66-36.3</f>
        <v>1038.3600000000001</v>
      </c>
      <c r="N83" s="7">
        <v>5040</v>
      </c>
      <c r="O83" s="3">
        <f>786.84-27.92</f>
        <v>758.92000000000007</v>
      </c>
      <c r="Q83" s="9">
        <v>3840</v>
      </c>
      <c r="R83" s="3">
        <f>560.68-21.33</f>
        <v>539.34999999999991</v>
      </c>
      <c r="T83" s="9">
        <v>3360</v>
      </c>
      <c r="U83" s="3">
        <f>498.85-19.53</f>
        <v>479.32000000000005</v>
      </c>
      <c r="W83" s="7">
        <f>3760+133</f>
        <v>3893</v>
      </c>
      <c r="X83" s="3">
        <f>541.89-20.78</f>
        <v>521.11</v>
      </c>
      <c r="Z83" s="9">
        <f>3120+143</f>
        <v>3263</v>
      </c>
      <c r="AA83" s="3">
        <f>459.4-18.38</f>
        <v>441.02</v>
      </c>
      <c r="AC83" s="9">
        <f>3040+143</f>
        <v>3183</v>
      </c>
      <c r="AD83" s="3">
        <f>508.39-19.81</f>
        <v>488.58</v>
      </c>
      <c r="AF83" s="7">
        <f>2960+143</f>
        <v>3103</v>
      </c>
      <c r="AG83" s="3">
        <f>429.49-17.51</f>
        <v>411.98</v>
      </c>
      <c r="AI83" s="9">
        <f>3360+143</f>
        <v>3503</v>
      </c>
      <c r="AJ83" s="3">
        <f>494.44-19.4</f>
        <v>475.04</v>
      </c>
      <c r="AL83" s="2">
        <f t="shared" si="2"/>
        <v>60545</v>
      </c>
      <c r="AM83" s="5">
        <f t="shared" si="3"/>
        <v>7815.69</v>
      </c>
    </row>
    <row r="84" spans="1:39" x14ac:dyDescent="0.25">
      <c r="A84" s="11">
        <v>81</v>
      </c>
      <c r="B84" s="7">
        <v>2400</v>
      </c>
      <c r="C84" s="3">
        <f>494.27-41.56</f>
        <v>452.71</v>
      </c>
      <c r="E84" s="7">
        <v>2200</v>
      </c>
      <c r="F84" s="3">
        <f>500.18-42.05</f>
        <v>458.13</v>
      </c>
      <c r="H84" s="7">
        <v>2000</v>
      </c>
      <c r="I84" s="3">
        <f>434.88-36.57</f>
        <v>398.31</v>
      </c>
      <c r="K84" s="7">
        <v>1600</v>
      </c>
      <c r="L84" s="3">
        <f>421.92-35.47</f>
        <v>386.45000000000005</v>
      </c>
      <c r="N84" s="7">
        <v>2200</v>
      </c>
      <c r="O84" s="3">
        <f>488.56-41.07</f>
        <v>447.49</v>
      </c>
      <c r="Q84" s="9">
        <v>2800</v>
      </c>
      <c r="R84" s="3">
        <f>602.04-50.62</f>
        <v>551.41999999999996</v>
      </c>
      <c r="T84" s="9">
        <v>2600</v>
      </c>
      <c r="U84" s="3">
        <f>571.22-48.03</f>
        <v>523.19000000000005</v>
      </c>
      <c r="W84" s="7">
        <v>3000</v>
      </c>
      <c r="X84" s="3">
        <f>582.29-48.96</f>
        <v>533.32999999999993</v>
      </c>
      <c r="Z84" s="9">
        <v>2800</v>
      </c>
      <c r="AA84" s="3">
        <f>550.25-46.27</f>
        <v>503.98</v>
      </c>
      <c r="AC84" s="9">
        <v>2600</v>
      </c>
      <c r="AD84" s="3">
        <f>544.35-45.77</f>
        <v>498.58000000000004</v>
      </c>
      <c r="AF84" s="7">
        <v>2200</v>
      </c>
      <c r="AG84" s="3">
        <f>320.9-26.98</f>
        <v>293.91999999999996</v>
      </c>
      <c r="AI84" s="9">
        <v>1400</v>
      </c>
      <c r="AJ84" s="3">
        <f>319.06-26.83</f>
        <v>292.23</v>
      </c>
      <c r="AL84" s="2">
        <f t="shared" si="2"/>
        <v>27800</v>
      </c>
      <c r="AM84" s="5">
        <f t="shared" si="3"/>
        <v>5339.74</v>
      </c>
    </row>
    <row r="85" spans="1:39" x14ac:dyDescent="0.25">
      <c r="A85" s="11">
        <v>82</v>
      </c>
      <c r="B85" s="7">
        <f>8589+74</f>
        <v>8663</v>
      </c>
      <c r="C85" s="3">
        <f>1113.71-93.64</f>
        <v>1020.07</v>
      </c>
      <c r="E85" s="7">
        <f>9662+74</f>
        <v>9736</v>
      </c>
      <c r="F85" s="3">
        <f>1303.85-109.63</f>
        <v>1194.2199999999998</v>
      </c>
      <c r="H85" s="7">
        <f>11700+74</f>
        <v>11774</v>
      </c>
      <c r="I85" s="3">
        <f>1355.2-113.95</f>
        <v>1241.25</v>
      </c>
      <c r="K85" s="7">
        <f>13793+74</f>
        <v>13867</v>
      </c>
      <c r="L85" s="3">
        <f>1603.01-134.79</f>
        <v>1468.22</v>
      </c>
      <c r="N85" s="7">
        <f>12184+74</f>
        <v>12258</v>
      </c>
      <c r="O85" s="3">
        <f>1451.02-122</f>
        <v>1329.02</v>
      </c>
      <c r="Q85" s="9">
        <f>10124+74</f>
        <v>10198</v>
      </c>
      <c r="R85" s="3">
        <f>1278.55-107.5</f>
        <v>1171.05</v>
      </c>
      <c r="T85" s="9">
        <f>7654+74</f>
        <v>7728</v>
      </c>
      <c r="U85" s="3">
        <f>1103.17-92.75</f>
        <v>1010.4200000000001</v>
      </c>
      <c r="W85" s="7">
        <f>8162+74</f>
        <v>8236</v>
      </c>
      <c r="X85" s="3">
        <f>1085.11-91.24</f>
        <v>993.86999999999989</v>
      </c>
      <c r="Z85" s="9">
        <f>7564+74</f>
        <v>7638</v>
      </c>
      <c r="AA85" s="3">
        <f>994.61-83.63</f>
        <v>910.98</v>
      </c>
      <c r="AC85" s="9">
        <f>7838+74</f>
        <v>7912</v>
      </c>
      <c r="AD85" s="3">
        <f>1014.66-85.31</f>
        <v>929.34999999999991</v>
      </c>
      <c r="AF85" s="7">
        <f>9076+74</f>
        <v>9150</v>
      </c>
      <c r="AG85" s="3">
        <f>1153.89-97.02</f>
        <v>1056.8700000000001</v>
      </c>
      <c r="AI85" s="9">
        <f>10708+74</f>
        <v>10782</v>
      </c>
      <c r="AJ85" s="3">
        <f>1407.37-118.33</f>
        <v>1289.04</v>
      </c>
      <c r="AL85" s="2">
        <f t="shared" si="2"/>
        <v>117942</v>
      </c>
      <c r="AM85" s="5">
        <f t="shared" si="3"/>
        <v>13614.36</v>
      </c>
    </row>
    <row r="86" spans="1:39" x14ac:dyDescent="0.25">
      <c r="A86" s="11">
        <v>83</v>
      </c>
      <c r="B86" s="7">
        <v>560</v>
      </c>
      <c r="C86" s="3">
        <f>410.78-34.54</f>
        <v>376.23999999999995</v>
      </c>
      <c r="E86" s="7">
        <v>440</v>
      </c>
      <c r="F86" s="3">
        <f>402.98-33.88</f>
        <v>369.1</v>
      </c>
      <c r="H86" s="7">
        <v>400</v>
      </c>
      <c r="I86" s="3">
        <f>357.95-30.1</f>
        <v>327.84999999999997</v>
      </c>
      <c r="K86" s="7">
        <v>520</v>
      </c>
      <c r="L86" s="3">
        <f>382.35-32.15</f>
        <v>350.20000000000005</v>
      </c>
      <c r="N86" s="7">
        <v>440</v>
      </c>
      <c r="O86" s="3">
        <f>395.32-33.24</f>
        <v>362.08</v>
      </c>
      <c r="Q86" s="9">
        <v>280</v>
      </c>
      <c r="R86" s="3">
        <f>422.7-35.54</f>
        <v>387.15999999999997</v>
      </c>
      <c r="T86" s="9">
        <v>280</v>
      </c>
      <c r="U86" s="3">
        <f>358.04-30.11</f>
        <v>327.93</v>
      </c>
      <c r="W86" s="7">
        <v>320</v>
      </c>
      <c r="X86" s="3">
        <f>432.46-36.36</f>
        <v>396.09999999999997</v>
      </c>
      <c r="Z86" s="9">
        <v>200</v>
      </c>
      <c r="AA86" s="3">
        <f>379.44-31.91</f>
        <v>347.53</v>
      </c>
      <c r="AC86" s="9">
        <v>120</v>
      </c>
      <c r="AD86" s="3">
        <f>383.47-32.25</f>
        <v>351.22</v>
      </c>
      <c r="AF86" s="7">
        <v>120</v>
      </c>
      <c r="AG86" s="3">
        <f>72.66-6.11</f>
        <v>66.55</v>
      </c>
      <c r="AI86" s="9">
        <v>120</v>
      </c>
      <c r="AJ86" s="3">
        <f>75.4-6.34</f>
        <v>69.06</v>
      </c>
      <c r="AL86" s="2">
        <f t="shared" si="2"/>
        <v>3800</v>
      </c>
      <c r="AM86" s="5">
        <f t="shared" si="3"/>
        <v>3731.02</v>
      </c>
    </row>
    <row r="87" spans="1:39" x14ac:dyDescent="0.25">
      <c r="A87" s="11">
        <v>84</v>
      </c>
      <c r="B87" s="7">
        <f>2819+73</f>
        <v>2892</v>
      </c>
      <c r="C87" s="3">
        <f>510.91-42.96</f>
        <v>467.95000000000005</v>
      </c>
      <c r="E87" s="7">
        <f>2756+73</f>
        <v>2829</v>
      </c>
      <c r="F87" s="3">
        <f>583.51-49.06</f>
        <v>534.45000000000005</v>
      </c>
      <c r="H87" s="7">
        <f>4596+73</f>
        <v>4669</v>
      </c>
      <c r="I87" s="3">
        <f>739.27-62.16</f>
        <v>677.11</v>
      </c>
      <c r="K87" s="7">
        <f>4279+73</f>
        <v>4352</v>
      </c>
      <c r="L87" s="3">
        <f>723.03-60.8</f>
        <v>662.23</v>
      </c>
      <c r="N87" s="7">
        <f>2881+73</f>
        <v>2954</v>
      </c>
      <c r="O87" s="3">
        <f>589.63-49.58</f>
        <v>540.04999999999995</v>
      </c>
      <c r="Q87" s="9">
        <f>2701+73</f>
        <v>2774</v>
      </c>
      <c r="R87" s="3">
        <f>501.43-42.16</f>
        <v>459.27</v>
      </c>
      <c r="T87" s="9">
        <f>2791+73</f>
        <v>2864</v>
      </c>
      <c r="U87" s="3">
        <f>538.13-45.25</f>
        <v>492.88</v>
      </c>
      <c r="W87" s="7">
        <f>2873+73</f>
        <v>2946</v>
      </c>
      <c r="X87" s="3">
        <f>538.99-45.32</f>
        <v>493.67</v>
      </c>
      <c r="Z87" s="9">
        <f>2862+73</f>
        <v>2935</v>
      </c>
      <c r="AA87" s="3">
        <f>500.72-42.1</f>
        <v>458.62</v>
      </c>
      <c r="AC87" s="9">
        <f>2879+73</f>
        <v>2952</v>
      </c>
      <c r="AD87" s="3">
        <f>513.76-43.2</f>
        <v>470.56</v>
      </c>
      <c r="AF87" s="7">
        <f>2982+73</f>
        <v>3055</v>
      </c>
      <c r="AG87" s="3">
        <f>436.01-36.66</f>
        <v>399.35</v>
      </c>
      <c r="AI87" s="9">
        <f>2851+73</f>
        <v>2924</v>
      </c>
      <c r="AJ87" s="3">
        <f>437.67-36.8</f>
        <v>400.87</v>
      </c>
      <c r="AL87" s="2">
        <f t="shared" si="2"/>
        <v>38146</v>
      </c>
      <c r="AM87" s="5">
        <f t="shared" si="3"/>
        <v>6057.01</v>
      </c>
    </row>
    <row r="88" spans="1:39" x14ac:dyDescent="0.25">
      <c r="A88" s="11">
        <v>85</v>
      </c>
      <c r="B88" s="7">
        <v>900</v>
      </c>
      <c r="C88" s="3">
        <f>239.91-20.17</f>
        <v>219.74</v>
      </c>
      <c r="E88" s="7">
        <v>1200</v>
      </c>
      <c r="F88" s="3">
        <f>351.07-29.52</f>
        <v>321.55</v>
      </c>
      <c r="H88" s="7">
        <v>1700</v>
      </c>
      <c r="I88" s="3">
        <f>383.69-32.26</f>
        <v>351.43</v>
      </c>
      <c r="K88" s="7">
        <v>2200</v>
      </c>
      <c r="L88" s="3">
        <f>421.9-35.47</f>
        <v>386.42999999999995</v>
      </c>
      <c r="N88" s="7">
        <v>1600</v>
      </c>
      <c r="O88" s="3">
        <f>374.47-31.49</f>
        <v>342.98</v>
      </c>
      <c r="Q88" s="9">
        <v>1400</v>
      </c>
      <c r="R88" s="3">
        <f>361.06-30.36</f>
        <v>330.7</v>
      </c>
      <c r="T88" s="9">
        <v>1300</v>
      </c>
      <c r="U88" s="3">
        <f>300.86-25.3</f>
        <v>275.56</v>
      </c>
      <c r="W88" s="7">
        <v>1300</v>
      </c>
      <c r="X88" s="3">
        <f>287.29-24.15</f>
        <v>263.14000000000004</v>
      </c>
      <c r="Z88" s="9">
        <v>1300</v>
      </c>
      <c r="AA88" s="3">
        <f>284.61-23.93</f>
        <v>260.68</v>
      </c>
      <c r="AC88" s="9">
        <v>1300</v>
      </c>
      <c r="AD88" s="3">
        <f>286.27-24.07</f>
        <v>262.2</v>
      </c>
      <c r="AF88" s="7">
        <v>1400</v>
      </c>
      <c r="AG88" s="3">
        <f>215.57-18.12</f>
        <v>197.45</v>
      </c>
      <c r="AI88" s="9">
        <v>1400</v>
      </c>
      <c r="AJ88" s="3">
        <f>224.47-18.88</f>
        <v>205.59</v>
      </c>
      <c r="AL88" s="2">
        <f t="shared" si="2"/>
        <v>17000</v>
      </c>
      <c r="AM88" s="5">
        <f t="shared" si="3"/>
        <v>3417.45</v>
      </c>
    </row>
    <row r="89" spans="1:39" x14ac:dyDescent="0.25">
      <c r="A89" s="11">
        <v>86</v>
      </c>
      <c r="B89" s="7">
        <f>6240+334</f>
        <v>6574</v>
      </c>
      <c r="C89" s="3">
        <f>896.73-80.4</f>
        <v>816.33</v>
      </c>
      <c r="E89" s="7">
        <f>6240+334</f>
        <v>6574</v>
      </c>
      <c r="F89" s="3">
        <f>942.77-84.27</f>
        <v>858.5</v>
      </c>
      <c r="H89" s="7">
        <f>6240+334</f>
        <v>6574</v>
      </c>
      <c r="I89" s="3">
        <f>849.38-76.42</f>
        <v>772.96</v>
      </c>
      <c r="K89" s="7">
        <f>6560+334</f>
        <v>6894</v>
      </c>
      <c r="L89" s="3">
        <f>888.84-79.73</f>
        <v>809.11</v>
      </c>
      <c r="N89" s="7">
        <f>5920+334</f>
        <v>6254</v>
      </c>
      <c r="O89" s="3">
        <f>855.53-76.94</f>
        <v>778.58999999999992</v>
      </c>
      <c r="Q89" s="9">
        <f>6240+334</f>
        <v>6574</v>
      </c>
      <c r="R89" s="3">
        <f>898.7-80.56</f>
        <v>818.1400000000001</v>
      </c>
      <c r="T89" s="9">
        <f>6720+334</f>
        <v>7054</v>
      </c>
      <c r="U89" s="3">
        <f>964.53-86.1</f>
        <v>878.43</v>
      </c>
      <c r="W89" s="7">
        <f>5600+334</f>
        <v>5934</v>
      </c>
      <c r="X89" s="3">
        <f>874.27-78.51</f>
        <v>795.76</v>
      </c>
      <c r="Z89" s="9">
        <f>6240+334</f>
        <v>6574</v>
      </c>
      <c r="AA89" s="3">
        <f>860.87-77.38</f>
        <v>783.49</v>
      </c>
      <c r="AC89" s="9">
        <f>6240+334</f>
        <v>6574</v>
      </c>
      <c r="AD89" s="3">
        <f>886.28-79.52</f>
        <v>806.76</v>
      </c>
      <c r="AF89" s="7">
        <f>6240+334</f>
        <v>6574</v>
      </c>
      <c r="AG89" s="3">
        <f>865.09-77.74</f>
        <v>787.35</v>
      </c>
      <c r="AI89" s="9">
        <f>6080+334</f>
        <v>6414</v>
      </c>
      <c r="AJ89" s="3">
        <f>881.11-79.08</f>
        <v>802.03</v>
      </c>
      <c r="AL89" s="2">
        <f t="shared" si="2"/>
        <v>78568</v>
      </c>
      <c r="AM89" s="5">
        <f t="shared" si="3"/>
        <v>9707.4500000000007</v>
      </c>
    </row>
    <row r="90" spans="1:39" x14ac:dyDescent="0.25">
      <c r="A90" s="11">
        <v>87</v>
      </c>
      <c r="B90" s="7">
        <f>2360+240</f>
        <v>2600</v>
      </c>
      <c r="C90" s="3">
        <f>440.1-12.82</f>
        <v>427.28000000000003</v>
      </c>
      <c r="E90" s="7">
        <f>2560+240</f>
        <v>2800</v>
      </c>
      <c r="F90" s="3">
        <f>456.77-13.3</f>
        <v>443.46999999999997</v>
      </c>
      <c r="H90" s="7">
        <f>3400+240</f>
        <v>3640</v>
      </c>
      <c r="I90" s="3">
        <f>516.26-15.04</f>
        <v>501.21999999999997</v>
      </c>
      <c r="K90" s="7">
        <f>3280+352</f>
        <v>3632</v>
      </c>
      <c r="L90" s="3">
        <f>532.46-15.51</f>
        <v>516.95000000000005</v>
      </c>
      <c r="N90" s="7">
        <f>2280+386</f>
        <v>2666</v>
      </c>
      <c r="O90" s="3">
        <f>470.39-13.7</f>
        <v>456.69</v>
      </c>
      <c r="Q90" s="9">
        <f>2600+386</f>
        <v>2986</v>
      </c>
      <c r="R90" s="3">
        <f>553.69-16.13</f>
        <v>537.56000000000006</v>
      </c>
      <c r="T90" s="9">
        <f>4400+386</f>
        <v>4786</v>
      </c>
      <c r="U90" s="3">
        <f>791.46-23.05</f>
        <v>768.41000000000008</v>
      </c>
      <c r="W90" s="7">
        <f>5600+386</f>
        <v>5986</v>
      </c>
      <c r="X90" s="3">
        <f>946.52-27.57</f>
        <v>918.94999999999993</v>
      </c>
      <c r="Z90" s="9">
        <f>9560+386</f>
        <v>9946</v>
      </c>
      <c r="AA90" s="3">
        <f>1209.92-35.24</f>
        <v>1174.68</v>
      </c>
      <c r="AC90" s="9">
        <f>5560+386</f>
        <v>5946</v>
      </c>
      <c r="AD90" s="3">
        <f>853.21-24.85</f>
        <v>828.36</v>
      </c>
      <c r="AF90" s="7">
        <f>3880+386</f>
        <v>4266</v>
      </c>
      <c r="AG90" s="3">
        <f>634.77-53.37</f>
        <v>581.4</v>
      </c>
      <c r="AI90" s="9">
        <f>2960+386</f>
        <v>3346</v>
      </c>
      <c r="AJ90" s="3">
        <f>545.56-45.87</f>
        <v>499.68999999999994</v>
      </c>
      <c r="AL90" s="2">
        <f t="shared" si="2"/>
        <v>52600</v>
      </c>
      <c r="AM90" s="5">
        <f t="shared" si="3"/>
        <v>7654.6599999999989</v>
      </c>
    </row>
    <row r="91" spans="1:39" x14ac:dyDescent="0.25">
      <c r="A91" s="11">
        <v>88</v>
      </c>
      <c r="B91" s="7">
        <v>2200</v>
      </c>
      <c r="C91" s="3">
        <f>393.92-33.12</f>
        <v>360.8</v>
      </c>
      <c r="E91" s="7">
        <v>5000</v>
      </c>
      <c r="F91" s="3">
        <f>669.25-56.27</f>
        <v>612.98</v>
      </c>
      <c r="H91" s="7">
        <v>4000</v>
      </c>
      <c r="I91" s="3">
        <f>516.52-43.43</f>
        <v>473.09</v>
      </c>
      <c r="K91" s="7">
        <v>1800</v>
      </c>
      <c r="L91" s="3">
        <f>348.78-29.32</f>
        <v>319.45999999999998</v>
      </c>
      <c r="N91" s="7">
        <v>1100</v>
      </c>
      <c r="O91" s="3">
        <f>237.68-19.98</f>
        <v>217.70000000000002</v>
      </c>
      <c r="Q91" s="9">
        <v>3000</v>
      </c>
      <c r="R91" s="3">
        <f>461.15-38.77</f>
        <v>422.38</v>
      </c>
      <c r="T91" s="9">
        <v>1300</v>
      </c>
      <c r="U91" s="3">
        <f>330.43-27.78</f>
        <v>302.64999999999998</v>
      </c>
      <c r="W91" s="7">
        <v>1500</v>
      </c>
      <c r="X91" s="3">
        <f>335.11-28.18</f>
        <v>306.93</v>
      </c>
      <c r="Z91" s="9">
        <v>1800</v>
      </c>
      <c r="AA91" s="3">
        <f>340.08-28.59</f>
        <v>311.49</v>
      </c>
      <c r="AC91" s="9">
        <v>2600</v>
      </c>
      <c r="AD91" s="3">
        <f>408.91-34.39</f>
        <v>374.52000000000004</v>
      </c>
      <c r="AF91" s="7">
        <v>4300</v>
      </c>
      <c r="AG91" s="3">
        <f>564.69-47.48</f>
        <v>517.21</v>
      </c>
      <c r="AI91" s="9">
        <v>3300</v>
      </c>
      <c r="AJ91" s="3">
        <f>462.9-38.92</f>
        <v>423.97999999999996</v>
      </c>
      <c r="AL91" s="2">
        <f t="shared" si="2"/>
        <v>31900</v>
      </c>
      <c r="AM91" s="5">
        <f t="shared" si="3"/>
        <v>4643.1899999999987</v>
      </c>
    </row>
    <row r="92" spans="1:39" x14ac:dyDescent="0.25">
      <c r="A92" s="11">
        <v>89</v>
      </c>
      <c r="B92" s="7">
        <v>16720</v>
      </c>
      <c r="C92" s="3">
        <f>1920.73-161.5</f>
        <v>1759.23</v>
      </c>
      <c r="E92" s="7">
        <v>17600</v>
      </c>
      <c r="F92" s="3">
        <f>2139.12-179.86</f>
        <v>1959.2599999999998</v>
      </c>
      <c r="H92" s="7">
        <v>18880</v>
      </c>
      <c r="I92" s="3">
        <f>1975.84-166.13</f>
        <v>1809.71</v>
      </c>
      <c r="K92" s="7">
        <v>18840</v>
      </c>
      <c r="L92" s="3">
        <f>2009.18-168.94</f>
        <v>1840.24</v>
      </c>
      <c r="N92" s="7">
        <v>17000</v>
      </c>
      <c r="O92" s="3">
        <f>1900.57-159.8</f>
        <v>1740.77</v>
      </c>
      <c r="Q92" s="9">
        <v>15000</v>
      </c>
      <c r="R92" s="3">
        <f>1729.1-145.38</f>
        <v>1583.7199999999998</v>
      </c>
      <c r="T92" s="9">
        <v>13280</v>
      </c>
      <c r="U92" s="3">
        <f>1642.24-138.08</f>
        <v>1504.16</v>
      </c>
      <c r="W92" s="7">
        <v>12960</v>
      </c>
      <c r="X92" s="3">
        <f>1506.02-126.63</f>
        <v>1379.3899999999999</v>
      </c>
      <c r="Z92" s="9">
        <v>11960</v>
      </c>
      <c r="AA92" s="3">
        <f>1346.17-113.19</f>
        <v>1232.98</v>
      </c>
      <c r="AC92" s="9">
        <v>11560</v>
      </c>
      <c r="AD92" s="3">
        <f>1375.3-115.64</f>
        <v>1259.6599999999999</v>
      </c>
      <c r="AF92" s="7">
        <v>12600</v>
      </c>
      <c r="AG92" s="3">
        <f>1563.89-131.49</f>
        <v>1432.4</v>
      </c>
      <c r="AI92" s="9">
        <v>13720</v>
      </c>
      <c r="AJ92" s="3">
        <f>1770.56-148.87</f>
        <v>1621.69</v>
      </c>
      <c r="AL92" s="2">
        <f t="shared" si="2"/>
        <v>180120</v>
      </c>
      <c r="AM92" s="5">
        <f t="shared" si="3"/>
        <v>19123.209999999995</v>
      </c>
    </row>
    <row r="93" spans="1:39" x14ac:dyDescent="0.25">
      <c r="A93" s="11">
        <v>90</v>
      </c>
      <c r="B93" s="7">
        <f>8560+538</f>
        <v>9098</v>
      </c>
      <c r="C93" s="3">
        <f>1097.43-92.27</f>
        <v>1005.1600000000001</v>
      </c>
      <c r="E93" s="7">
        <f>8560+538</f>
        <v>9098</v>
      </c>
      <c r="F93" s="3">
        <f>1188.95-99.97</f>
        <v>1088.98</v>
      </c>
      <c r="H93" s="7">
        <f>9680+538</f>
        <v>10218</v>
      </c>
      <c r="I93" s="3">
        <f>1180.47-99.26</f>
        <v>1081.21</v>
      </c>
      <c r="K93" s="7">
        <f>9360+538</f>
        <v>9898</v>
      </c>
      <c r="L93" s="3">
        <f>1119.39-94.12</f>
        <v>1025.27</v>
      </c>
      <c r="N93" s="7">
        <f>8480+538</f>
        <v>9018</v>
      </c>
      <c r="O93" s="3">
        <f>1069.52-89.93</f>
        <v>979.58999999999992</v>
      </c>
      <c r="Q93" s="9">
        <f>8080+538</f>
        <v>8618</v>
      </c>
      <c r="R93" s="3">
        <f>1031.79-86.75</f>
        <v>945.04</v>
      </c>
      <c r="T93" s="9">
        <f>7280+538</f>
        <v>7818</v>
      </c>
      <c r="U93" s="3">
        <f>1012.47-85.13</f>
        <v>927.34</v>
      </c>
      <c r="W93" s="7">
        <f>7120+538</f>
        <v>7658</v>
      </c>
      <c r="X93" s="3">
        <f>914.7-76.91</f>
        <v>837.79000000000008</v>
      </c>
      <c r="Z93" s="9">
        <f>8400+538</f>
        <v>8938</v>
      </c>
      <c r="AA93" s="3">
        <f>1011.36-85.04</f>
        <v>926.32</v>
      </c>
      <c r="AC93" s="9">
        <f>7040+538</f>
        <v>7578</v>
      </c>
      <c r="AD93" s="3">
        <f>936-78.7</f>
        <v>857.3</v>
      </c>
      <c r="AF93" s="7">
        <f>7280+538</f>
        <v>7818</v>
      </c>
      <c r="AG93" s="3">
        <f>1025.58-86.23</f>
        <v>939.34999999999991</v>
      </c>
      <c r="AI93" s="9">
        <f>6800+538</f>
        <v>7338</v>
      </c>
      <c r="AJ93" s="3">
        <f>1008.4-84.79</f>
        <v>923.61</v>
      </c>
      <c r="AL93" s="2">
        <f t="shared" si="2"/>
        <v>103096</v>
      </c>
      <c r="AM93" s="5">
        <f t="shared" si="3"/>
        <v>11536.960000000001</v>
      </c>
    </row>
    <row r="94" spans="1:39" x14ac:dyDescent="0.25">
      <c r="A94" s="11">
        <v>91</v>
      </c>
      <c r="B94" s="7">
        <v>0</v>
      </c>
      <c r="C94" s="3">
        <f>146.39-12.31</f>
        <v>134.07999999999998</v>
      </c>
      <c r="E94" s="7">
        <v>0</v>
      </c>
      <c r="F94" s="3">
        <f>149-12.52</f>
        <v>136.47999999999999</v>
      </c>
      <c r="H94" s="7">
        <v>0</v>
      </c>
      <c r="I94" s="3">
        <f>149.28-12.55</f>
        <v>136.72999999999999</v>
      </c>
      <c r="K94" s="7">
        <v>0</v>
      </c>
      <c r="L94" s="3">
        <f>149.08-12.54</f>
        <v>136.54000000000002</v>
      </c>
      <c r="N94" s="7">
        <v>0</v>
      </c>
      <c r="O94" s="3">
        <f>145.09-12.2</f>
        <v>132.89000000000001</v>
      </c>
      <c r="Q94" s="9">
        <v>300</v>
      </c>
      <c r="R94" s="3">
        <f>172.39-14.5</f>
        <v>157.88999999999999</v>
      </c>
      <c r="T94" s="9">
        <v>200</v>
      </c>
      <c r="U94" s="3">
        <f>166.61-14.01</f>
        <v>152.60000000000002</v>
      </c>
      <c r="W94" s="7">
        <v>0</v>
      </c>
      <c r="X94" s="3">
        <f>151.01-12.7</f>
        <v>138.31</v>
      </c>
      <c r="Z94" s="9">
        <v>100</v>
      </c>
      <c r="AA94" s="3">
        <f>156.81-13.19</f>
        <v>143.62</v>
      </c>
      <c r="AC94" s="9">
        <v>100</v>
      </c>
      <c r="AD94" s="3">
        <f>157.45-13.24</f>
        <v>144.20999999999998</v>
      </c>
      <c r="AF94" s="7">
        <v>0</v>
      </c>
      <c r="AG94" s="3">
        <f>141.1-11.87</f>
        <v>129.22999999999999</v>
      </c>
      <c r="AI94" s="9">
        <v>0</v>
      </c>
      <c r="AJ94" s="3">
        <f>146.27-12.3</f>
        <v>133.97</v>
      </c>
      <c r="AL94" s="2">
        <f t="shared" si="2"/>
        <v>700</v>
      </c>
      <c r="AM94" s="5">
        <f t="shared" si="3"/>
        <v>1676.55</v>
      </c>
    </row>
    <row r="95" spans="1:39" x14ac:dyDescent="0.25">
      <c r="A95" s="11">
        <v>92</v>
      </c>
      <c r="B95" s="7">
        <v>0</v>
      </c>
      <c r="C95" s="3">
        <f>219.57-18.46</f>
        <v>201.10999999999999</v>
      </c>
      <c r="E95" s="7">
        <v>0</v>
      </c>
      <c r="F95" s="3">
        <f>223.5-18.79</f>
        <v>204.71</v>
      </c>
      <c r="H95" s="7">
        <v>0</v>
      </c>
      <c r="I95" s="3">
        <f>223.91-18.82</f>
        <v>205.09</v>
      </c>
      <c r="K95" s="7">
        <v>0</v>
      </c>
      <c r="L95" s="3">
        <f>223.6-18.8</f>
        <v>204.79999999999998</v>
      </c>
      <c r="N95" s="7">
        <v>0</v>
      </c>
      <c r="O95" s="3">
        <f>217.63-18.3</f>
        <v>199.32999999999998</v>
      </c>
      <c r="Q95" s="9">
        <v>0</v>
      </c>
      <c r="R95" s="3">
        <f>217.06-18.25</f>
        <v>198.81</v>
      </c>
      <c r="T95" s="9">
        <v>0</v>
      </c>
      <c r="U95" s="3">
        <f>220.69-18.55</f>
        <v>202.14</v>
      </c>
      <c r="W95" s="7">
        <v>0</v>
      </c>
      <c r="X95" s="3">
        <f>221.17-18.6</f>
        <v>202.57</v>
      </c>
      <c r="Z95" s="9">
        <v>0</v>
      </c>
      <c r="AA95" s="3">
        <f>218.68-18.39</f>
        <v>200.29000000000002</v>
      </c>
      <c r="AC95" s="9">
        <v>0</v>
      </c>
      <c r="AD95" s="3">
        <f>217.63-18.3</f>
        <v>199.32999999999998</v>
      </c>
      <c r="AF95" s="7">
        <v>0</v>
      </c>
      <c r="AG95" s="3">
        <f>211.64-17.8</f>
        <v>193.83999999999997</v>
      </c>
      <c r="AI95" s="9">
        <v>0</v>
      </c>
      <c r="AJ95" s="3">
        <f>219.4-18.45</f>
        <v>200.95000000000002</v>
      </c>
      <c r="AL95" s="2">
        <f t="shared" si="2"/>
        <v>0</v>
      </c>
      <c r="AM95" s="5">
        <f t="shared" si="3"/>
        <v>2412.9699999999993</v>
      </c>
    </row>
    <row r="96" spans="1:39" x14ac:dyDescent="0.25">
      <c r="A96" s="11">
        <v>93</v>
      </c>
      <c r="B96" s="7">
        <v>1800</v>
      </c>
      <c r="C96" s="3">
        <f>272.93-22.95</f>
        <v>249.98000000000002</v>
      </c>
      <c r="E96" s="7">
        <v>1500</v>
      </c>
      <c r="F96" s="3">
        <f>260.86-21.94</f>
        <v>238.92000000000002</v>
      </c>
      <c r="H96" s="7">
        <v>700</v>
      </c>
      <c r="I96" s="3">
        <f>168.16-14.14</f>
        <v>154.01999999999998</v>
      </c>
      <c r="K96" s="7">
        <v>700</v>
      </c>
      <c r="L96" s="3">
        <f>169.23-14.23</f>
        <v>155</v>
      </c>
      <c r="N96" s="7">
        <v>800</v>
      </c>
      <c r="O96" s="3">
        <f>175.01-14.72</f>
        <v>160.29</v>
      </c>
      <c r="Q96" s="9">
        <v>1000</v>
      </c>
      <c r="R96" s="3">
        <f>192.49-16.19</f>
        <v>176.3</v>
      </c>
      <c r="T96" s="9">
        <v>1000</v>
      </c>
      <c r="U96" s="3">
        <f>199.74-16.8</f>
        <v>182.94</v>
      </c>
      <c r="W96" s="7">
        <v>1200</v>
      </c>
      <c r="X96" s="3">
        <f>208.44-17.53</f>
        <v>190.91</v>
      </c>
      <c r="Z96" s="9">
        <v>1700</v>
      </c>
      <c r="AA96" s="3">
        <f>250.36-21.05</f>
        <v>229.31</v>
      </c>
      <c r="AC96" s="9">
        <v>1800</v>
      </c>
      <c r="AD96" s="3">
        <f>252.48-21.23</f>
        <v>231.25</v>
      </c>
      <c r="AF96" s="7">
        <v>1800</v>
      </c>
      <c r="AG96" s="3">
        <f>263.74-22.18</f>
        <v>241.56</v>
      </c>
      <c r="AI96" s="9">
        <v>1700</v>
      </c>
      <c r="AJ96" s="3">
        <f>262.1-22.04</f>
        <v>240.06000000000003</v>
      </c>
      <c r="AL96" s="2">
        <f t="shared" si="2"/>
        <v>15700</v>
      </c>
      <c r="AM96" s="5">
        <f t="shared" si="3"/>
        <v>2450.54</v>
      </c>
    </row>
    <row r="97" spans="1:39" x14ac:dyDescent="0.25">
      <c r="A97" s="11">
        <v>94</v>
      </c>
      <c r="B97" s="7">
        <v>8782</v>
      </c>
      <c r="C97" s="3">
        <f>1145.38-146.26</f>
        <v>999.12000000000012</v>
      </c>
      <c r="E97" s="7">
        <v>9918</v>
      </c>
      <c r="F97" s="3">
        <f>1396.53-178.33</f>
        <v>1218.2</v>
      </c>
      <c r="H97" s="7">
        <v>12603</v>
      </c>
      <c r="I97" s="3">
        <f>1476.21-188.51</f>
        <v>1287.7</v>
      </c>
      <c r="K97" s="7">
        <v>11982</v>
      </c>
      <c r="L97" s="3">
        <f>1448.24-184.94</f>
        <v>1263.3</v>
      </c>
      <c r="N97" s="7">
        <v>10026</v>
      </c>
      <c r="O97" s="3">
        <f>1323.26-168.97</f>
        <v>1154.29</v>
      </c>
      <c r="Q97" s="9">
        <v>7988</v>
      </c>
      <c r="R97" s="3">
        <f>1144.28-146.12</f>
        <v>998.16</v>
      </c>
      <c r="T97" s="9">
        <v>7658</v>
      </c>
      <c r="U97" s="3">
        <f>1166.32-148.94</f>
        <v>1017.3799999999999</v>
      </c>
      <c r="W97" s="7">
        <v>8158</v>
      </c>
      <c r="X97" s="3">
        <f>1147.26-146.5</f>
        <v>1000.76</v>
      </c>
      <c r="Z97" s="9">
        <v>8081</v>
      </c>
      <c r="AA97" s="3">
        <f>929.86-118.74</f>
        <v>811.12</v>
      </c>
      <c r="AC97" s="9">
        <v>7496</v>
      </c>
      <c r="AD97" s="3">
        <f>970.74-123.96</f>
        <v>846.78</v>
      </c>
      <c r="AF97" s="7">
        <v>7188</v>
      </c>
      <c r="AG97" s="3">
        <f>957.96-122.32</f>
        <v>835.6400000000001</v>
      </c>
      <c r="AI97" s="9">
        <v>7438</v>
      </c>
      <c r="AJ97" s="3">
        <f>1031.32-131.7</f>
        <v>899.61999999999989</v>
      </c>
      <c r="AL97" s="2">
        <f t="shared" si="2"/>
        <v>107318</v>
      </c>
      <c r="AM97" s="5">
        <f t="shared" si="3"/>
        <v>12332.07</v>
      </c>
    </row>
    <row r="98" spans="1:39" x14ac:dyDescent="0.25">
      <c r="A98" s="11">
        <v>95</v>
      </c>
      <c r="B98" s="7">
        <f>1200+23</f>
        <v>1223</v>
      </c>
      <c r="C98" s="3">
        <f>385.88-16.24</f>
        <v>369.64</v>
      </c>
      <c r="E98" s="7">
        <f>1440+23</f>
        <v>1463</v>
      </c>
      <c r="F98" s="3">
        <f>331.33-14.65</f>
        <v>316.68</v>
      </c>
      <c r="H98" s="7">
        <f>2320+23</f>
        <v>2343</v>
      </c>
      <c r="I98" s="3">
        <f>392.51-16.43</f>
        <v>376.08</v>
      </c>
      <c r="K98" s="7">
        <f>2200+23</f>
        <v>2223</v>
      </c>
      <c r="L98" s="3">
        <f>377.72-16</f>
        <v>361.72</v>
      </c>
      <c r="N98" s="7">
        <f>1400+23</f>
        <v>1423</v>
      </c>
      <c r="O98" s="3">
        <f>301.88-13.79</f>
        <v>288.08999999999997</v>
      </c>
      <c r="Q98" s="9">
        <f>1200+23</f>
        <v>1223</v>
      </c>
      <c r="R98" s="3">
        <f>468.1-18.63</f>
        <v>449.47</v>
      </c>
      <c r="T98" s="9">
        <f>1880+23</f>
        <v>1903</v>
      </c>
      <c r="U98" s="3">
        <f>581.58-21.94</f>
        <v>559.64</v>
      </c>
      <c r="W98" s="7">
        <f>4800+23</f>
        <v>4823</v>
      </c>
      <c r="X98" s="3">
        <f>765.73-27.3</f>
        <v>738.43000000000006</v>
      </c>
      <c r="Z98" s="9">
        <f>6880+23</f>
        <v>6903</v>
      </c>
      <c r="AA98" s="3">
        <f>890.57-30.94</f>
        <v>859.63</v>
      </c>
      <c r="AC98" s="9">
        <f>4160+23</f>
        <v>4183</v>
      </c>
      <c r="AD98" s="3">
        <f>704.32-25.51</f>
        <v>678.81000000000006</v>
      </c>
      <c r="AF98" s="7">
        <f>2880+23</f>
        <v>2903</v>
      </c>
      <c r="AG98" s="3">
        <f>392.62-16.44</f>
        <v>376.18</v>
      </c>
      <c r="AI98" s="9">
        <f>1160+23</f>
        <v>1183</v>
      </c>
      <c r="AJ98" s="3">
        <f>205.11-10.97</f>
        <v>194.14000000000001</v>
      </c>
      <c r="AL98" s="2">
        <f t="shared" si="2"/>
        <v>31796</v>
      </c>
      <c r="AM98" s="5">
        <f t="shared" si="3"/>
        <v>5568.5100000000011</v>
      </c>
    </row>
    <row r="99" spans="1:39" x14ac:dyDescent="0.25">
      <c r="A99" s="11">
        <v>96</v>
      </c>
      <c r="B99" s="7">
        <v>12720</v>
      </c>
      <c r="C99" s="3">
        <f>1478.7-129.33</f>
        <v>1349.3700000000001</v>
      </c>
      <c r="E99" s="7">
        <v>12880</v>
      </c>
      <c r="F99" s="3">
        <f>1597.32-139.3</f>
        <v>1458.02</v>
      </c>
      <c r="H99" s="7">
        <v>14080</v>
      </c>
      <c r="I99" s="3">
        <f>1525.2-133.24</f>
        <v>1391.96</v>
      </c>
      <c r="K99" s="7">
        <v>14560</v>
      </c>
      <c r="L99" s="3">
        <f>1585.78-138.33</f>
        <v>1447.45</v>
      </c>
      <c r="N99" s="7">
        <v>13120</v>
      </c>
      <c r="O99" s="3">
        <f>1503.93-131.45</f>
        <v>1372.48</v>
      </c>
      <c r="Q99" s="9">
        <v>12880</v>
      </c>
      <c r="R99" s="3">
        <f>1473.87-128.93</f>
        <v>1344.9399999999998</v>
      </c>
      <c r="T99" s="9">
        <v>11920</v>
      </c>
      <c r="U99" s="3">
        <f>1466.23-128.28</f>
        <v>1337.95</v>
      </c>
      <c r="W99" s="7">
        <v>15440</v>
      </c>
      <c r="X99" s="3">
        <f>1775.84-154.32</f>
        <v>1621.52</v>
      </c>
      <c r="Z99" s="9">
        <v>16800</v>
      </c>
      <c r="AA99" s="3">
        <f>1815.59-157.66</f>
        <v>1657.9299999999998</v>
      </c>
      <c r="AC99" s="9">
        <v>13920</v>
      </c>
      <c r="AD99" s="3">
        <f>1594.99-139.11</f>
        <v>1455.88</v>
      </c>
      <c r="AF99" s="7">
        <v>14960</v>
      </c>
      <c r="AG99" s="3">
        <f>1853.46-160.84</f>
        <v>1692.6200000000001</v>
      </c>
      <c r="AI99" s="9">
        <v>14080</v>
      </c>
      <c r="AJ99" s="3">
        <f>1821.2-158.13</f>
        <v>1663.0700000000002</v>
      </c>
      <c r="AL99" s="2">
        <f t="shared" si="2"/>
        <v>167360</v>
      </c>
      <c r="AM99" s="5">
        <f t="shared" si="3"/>
        <v>17793.190000000006</v>
      </c>
    </row>
    <row r="100" spans="1:39" x14ac:dyDescent="0.25">
      <c r="A100" s="11">
        <v>97</v>
      </c>
      <c r="B100" s="7">
        <v>3840</v>
      </c>
      <c r="C100" s="3">
        <f>604.44-50.82</f>
        <v>553.62</v>
      </c>
      <c r="E100" s="7">
        <v>3840</v>
      </c>
      <c r="F100" s="3">
        <f>640.06-53.82</f>
        <v>586.2399999999999</v>
      </c>
      <c r="H100" s="7">
        <v>3840</v>
      </c>
      <c r="I100" s="3">
        <f>573.66-48.23</f>
        <v>525.42999999999995</v>
      </c>
      <c r="K100" s="7">
        <v>3840</v>
      </c>
      <c r="L100" s="3">
        <f>566.16-47.61</f>
        <v>518.54999999999995</v>
      </c>
      <c r="N100" s="7">
        <v>3840</v>
      </c>
      <c r="O100" s="3">
        <f>577.07-48.52</f>
        <v>528.55000000000007</v>
      </c>
      <c r="Q100" s="9">
        <v>3840</v>
      </c>
      <c r="R100" s="3">
        <f>594.86-50.02</f>
        <v>544.84</v>
      </c>
      <c r="T100" s="9">
        <v>3360</v>
      </c>
      <c r="U100" s="3">
        <f>554.61-46.63</f>
        <v>507.98</v>
      </c>
      <c r="W100" s="7">
        <v>2880</v>
      </c>
      <c r="X100" s="3">
        <f>522.05-43.89</f>
        <v>478.15999999999997</v>
      </c>
      <c r="Z100" s="9">
        <v>2880</v>
      </c>
      <c r="AA100" s="3">
        <f>498.89-41.95</f>
        <v>456.94</v>
      </c>
      <c r="AC100" s="9">
        <v>3360</v>
      </c>
      <c r="AD100" s="3">
        <f>522.1-43.9</f>
        <v>478.20000000000005</v>
      </c>
      <c r="AF100" s="7">
        <v>2880</v>
      </c>
      <c r="AG100" s="3">
        <f>521-43.81</f>
        <v>477.19</v>
      </c>
      <c r="AI100" s="9">
        <v>2880</v>
      </c>
      <c r="AJ100" s="3">
        <f>542.12-45.59</f>
        <v>496.53</v>
      </c>
      <c r="AL100" s="2">
        <f t="shared" si="2"/>
        <v>41280</v>
      </c>
      <c r="AM100" s="5">
        <f t="shared" si="3"/>
        <v>6152.23</v>
      </c>
    </row>
    <row r="101" spans="1:39" x14ac:dyDescent="0.25">
      <c r="A101" s="11">
        <v>98</v>
      </c>
      <c r="B101" s="7">
        <v>0</v>
      </c>
      <c r="C101" s="3">
        <f>85.39-7.18</f>
        <v>78.210000000000008</v>
      </c>
      <c r="E101" s="7">
        <v>387</v>
      </c>
      <c r="F101" s="3">
        <f>216.44-18.2</f>
        <v>198.24</v>
      </c>
      <c r="H101" s="7">
        <v>0</v>
      </c>
      <c r="I101" s="3">
        <f>87.08-7.32</f>
        <v>79.759999999999991</v>
      </c>
      <c r="K101" s="7">
        <v>0</v>
      </c>
      <c r="L101" s="3">
        <f>86.96-7.31</f>
        <v>79.649999999999991</v>
      </c>
      <c r="N101" s="7">
        <v>1644</v>
      </c>
      <c r="O101" s="3">
        <f>317.74-26.72</f>
        <v>291.02</v>
      </c>
      <c r="Q101" s="9">
        <v>0</v>
      </c>
      <c r="R101" s="3">
        <f>86.33-7.26</f>
        <v>79.069999999999993</v>
      </c>
      <c r="T101" s="9">
        <v>0</v>
      </c>
      <c r="U101" s="3">
        <f>85.83-7.22</f>
        <v>78.61</v>
      </c>
      <c r="W101" s="7">
        <v>1</v>
      </c>
      <c r="X101" s="3">
        <f>105.4-8.87</f>
        <v>96.53</v>
      </c>
      <c r="Z101" s="9">
        <v>10</v>
      </c>
      <c r="AA101" s="3">
        <f>113.09-9.51</f>
        <v>103.58</v>
      </c>
      <c r="AC101" s="9">
        <v>0</v>
      </c>
      <c r="AD101" s="3">
        <f>84.64-7.12</f>
        <v>77.52</v>
      </c>
      <c r="AF101" s="7">
        <v>0</v>
      </c>
      <c r="AG101" s="3">
        <f>70.54-5.93</f>
        <v>64.610000000000014</v>
      </c>
      <c r="AI101" s="9">
        <v>0</v>
      </c>
      <c r="AJ101" s="3">
        <f>73.13-6.15</f>
        <v>66.97999999999999</v>
      </c>
      <c r="AL101" s="2">
        <f t="shared" ref="AL101:AL164" si="4">+B101+E101+H101+K101+N101+Q101+T101+W101+Z101+AC101+AF101+AI101</f>
        <v>2042</v>
      </c>
      <c r="AM101" s="5">
        <f t="shared" ref="AM101:AM164" si="5">+C101+F101+I101+L101+O101+R101+U101+X101+AA101+AD101+AG101+AJ101</f>
        <v>1293.7800000000002</v>
      </c>
    </row>
    <row r="102" spans="1:39" x14ac:dyDescent="0.25">
      <c r="A102" s="11">
        <v>99</v>
      </c>
      <c r="B102" s="7">
        <v>1065</v>
      </c>
      <c r="C102" s="3">
        <f>253.27-21.3</f>
        <v>231.97</v>
      </c>
      <c r="E102" s="7">
        <v>1563</v>
      </c>
      <c r="F102" s="3">
        <f>337.31-28.36</f>
        <v>308.95</v>
      </c>
      <c r="H102" s="7">
        <v>1755</v>
      </c>
      <c r="I102" s="3">
        <f>335.82-28.24</f>
        <v>307.58</v>
      </c>
      <c r="K102" s="7">
        <v>2675</v>
      </c>
      <c r="L102" s="3">
        <f>400.45-33.67</f>
        <v>366.78</v>
      </c>
      <c r="N102" s="7">
        <v>1144</v>
      </c>
      <c r="O102" s="3">
        <f>279.96-23.54</f>
        <v>256.41999999999996</v>
      </c>
      <c r="Q102" s="9">
        <v>680</v>
      </c>
      <c r="R102" s="3">
        <f>194.18-16.33</f>
        <v>177.85000000000002</v>
      </c>
      <c r="T102" s="9">
        <v>631</v>
      </c>
      <c r="U102" s="3">
        <f>195.78-16.46</f>
        <v>179.32</v>
      </c>
      <c r="W102" s="7">
        <v>783</v>
      </c>
      <c r="X102" s="3">
        <f>200.56-16.86</f>
        <v>183.7</v>
      </c>
      <c r="Z102" s="9">
        <v>1093</v>
      </c>
      <c r="AA102" s="3">
        <f>222.17-18.68</f>
        <v>203.48999999999998</v>
      </c>
      <c r="AC102" s="9">
        <v>873</v>
      </c>
      <c r="AD102" s="3">
        <f>203.06-17.07</f>
        <v>185.99</v>
      </c>
      <c r="AF102" s="7">
        <v>772</v>
      </c>
      <c r="AG102" s="3">
        <f>139.97-11.77</f>
        <v>128.19999999999999</v>
      </c>
      <c r="AI102" s="9">
        <v>703</v>
      </c>
      <c r="AJ102" s="3">
        <f>136.97-11.51</f>
        <v>125.46</v>
      </c>
      <c r="AL102" s="2">
        <f t="shared" si="4"/>
        <v>13737</v>
      </c>
      <c r="AM102" s="5">
        <f t="shared" si="5"/>
        <v>2655.7099999999991</v>
      </c>
    </row>
    <row r="103" spans="1:39" x14ac:dyDescent="0.25">
      <c r="A103" s="11">
        <v>100</v>
      </c>
      <c r="B103" s="7">
        <v>1100</v>
      </c>
      <c r="C103" s="3">
        <f>274.77-23.1</f>
        <v>251.67</v>
      </c>
      <c r="E103" s="7">
        <v>1400</v>
      </c>
      <c r="F103" s="3">
        <f>315.39-26.52</f>
        <v>288.87</v>
      </c>
      <c r="H103" s="7">
        <v>1600</v>
      </c>
      <c r="I103" s="3">
        <f>320.79-26.97</f>
        <v>293.82000000000005</v>
      </c>
      <c r="K103" s="7">
        <v>1500</v>
      </c>
      <c r="L103" s="3">
        <f>304.82-25.63</f>
        <v>279.19</v>
      </c>
      <c r="N103" s="7">
        <v>1200</v>
      </c>
      <c r="O103" s="3">
        <f>287.43-24.17</f>
        <v>263.26</v>
      </c>
      <c r="Q103" s="9">
        <v>1200</v>
      </c>
      <c r="R103" s="3">
        <f>286.15-24.06</f>
        <v>262.08999999999997</v>
      </c>
      <c r="T103" s="9">
        <v>1100</v>
      </c>
      <c r="U103" s="3">
        <f>284.95-23.96</f>
        <v>260.99</v>
      </c>
      <c r="W103" s="7">
        <v>1200</v>
      </c>
      <c r="X103" s="3">
        <f>281.09-23.63</f>
        <v>257.45999999999998</v>
      </c>
      <c r="Z103" s="9">
        <v>1500</v>
      </c>
      <c r="AA103" s="3">
        <f>298.69-25.12</f>
        <v>273.57</v>
      </c>
      <c r="AC103" s="9">
        <v>1400</v>
      </c>
      <c r="AD103" s="3">
        <f>297.96-25.06</f>
        <v>272.89999999999998</v>
      </c>
      <c r="AF103" s="7">
        <v>3000</v>
      </c>
      <c r="AG103" s="3">
        <f>408.2-34.33</f>
        <v>373.87</v>
      </c>
      <c r="AI103" s="9">
        <v>3300</v>
      </c>
      <c r="AJ103" s="3">
        <f>462.9-38.92</f>
        <v>423.97999999999996</v>
      </c>
      <c r="AL103" s="2">
        <f t="shared" si="4"/>
        <v>19500</v>
      </c>
      <c r="AM103" s="5">
        <f t="shared" si="5"/>
        <v>3501.67</v>
      </c>
    </row>
    <row r="104" spans="1:39" x14ac:dyDescent="0.25">
      <c r="A104" s="11">
        <v>101</v>
      </c>
      <c r="B104" s="7">
        <v>300</v>
      </c>
      <c r="C104" s="3">
        <f>296.78-24.95</f>
        <v>271.83</v>
      </c>
      <c r="E104" s="7">
        <v>400</v>
      </c>
      <c r="F104" s="3">
        <f>306.03-25.73</f>
        <v>280.29999999999995</v>
      </c>
      <c r="H104" s="7">
        <v>500</v>
      </c>
      <c r="I104" s="3">
        <f>301.02-25.31</f>
        <v>275.70999999999998</v>
      </c>
      <c r="K104" s="7">
        <v>500</v>
      </c>
      <c r="L104" s="3">
        <f>301.54-25.36</f>
        <v>276.18</v>
      </c>
      <c r="N104" s="7">
        <v>500</v>
      </c>
      <c r="O104" s="3">
        <f>296.87-24.96</f>
        <v>271.91000000000003</v>
      </c>
      <c r="Q104" s="9">
        <v>500</v>
      </c>
      <c r="R104" s="3">
        <f>296.26-24.91</f>
        <v>271.34999999999997</v>
      </c>
      <c r="T104" s="9">
        <v>400</v>
      </c>
      <c r="U104" s="3">
        <f>301.43-25.34</f>
        <v>276.09000000000003</v>
      </c>
      <c r="W104" s="7">
        <v>400</v>
      </c>
      <c r="X104" s="3">
        <f>298.88-25.13</f>
        <v>273.75</v>
      </c>
      <c r="Z104" s="9">
        <v>700</v>
      </c>
      <c r="AA104" s="3">
        <f>294.71-24.78</f>
        <v>269.92999999999995</v>
      </c>
      <c r="AC104" s="9">
        <v>300</v>
      </c>
      <c r="AD104" s="3">
        <f>292.86-24.63</f>
        <v>268.23</v>
      </c>
      <c r="AF104" s="7">
        <v>400</v>
      </c>
      <c r="AG104" s="3">
        <f>289.23-24.32</f>
        <v>264.91000000000003</v>
      </c>
      <c r="AI104" s="9">
        <v>400</v>
      </c>
      <c r="AJ104" s="3">
        <f>300.12-25.24</f>
        <v>274.88</v>
      </c>
      <c r="AL104" s="2">
        <f t="shared" si="4"/>
        <v>5300</v>
      </c>
      <c r="AM104" s="5">
        <f t="shared" si="5"/>
        <v>3275.0699999999997</v>
      </c>
    </row>
    <row r="105" spans="1:39" x14ac:dyDescent="0.25">
      <c r="A105" s="11">
        <v>102</v>
      </c>
      <c r="B105" s="7">
        <v>219</v>
      </c>
      <c r="C105" s="3">
        <f>183.95-15.46</f>
        <v>168.48999999999998</v>
      </c>
      <c r="E105" s="7">
        <v>432</v>
      </c>
      <c r="F105" s="3">
        <f>208.28-17.51</f>
        <v>190.77</v>
      </c>
      <c r="H105" s="7">
        <v>561</v>
      </c>
      <c r="I105" s="3">
        <f>213.83-17.98</f>
        <v>195.85000000000002</v>
      </c>
      <c r="K105" s="7">
        <v>484</v>
      </c>
      <c r="L105" s="3">
        <f>214.75-18.06</f>
        <v>196.69</v>
      </c>
      <c r="N105" s="7">
        <v>581</v>
      </c>
      <c r="O105" s="3">
        <f>227.26-19.1</f>
        <v>208.16</v>
      </c>
      <c r="Q105" s="9">
        <v>757</v>
      </c>
      <c r="R105" s="3">
        <f>234.72-19.74</f>
        <v>214.98</v>
      </c>
      <c r="T105" s="9">
        <v>1272</v>
      </c>
      <c r="U105" s="3">
        <f>306.44-25.77</f>
        <v>280.67</v>
      </c>
      <c r="W105" s="7">
        <v>1833</v>
      </c>
      <c r="X105" s="3">
        <f>370.28-31.13</f>
        <v>339.15</v>
      </c>
      <c r="Z105" s="9">
        <v>3293</v>
      </c>
      <c r="AA105" s="3">
        <f>475.13-39.95</f>
        <v>435.18</v>
      </c>
      <c r="AC105" s="9">
        <v>1981</v>
      </c>
      <c r="AD105" s="3">
        <f>374.89-31.52</f>
        <v>343.37</v>
      </c>
      <c r="AF105" s="7">
        <v>520</v>
      </c>
      <c r="AG105" s="3">
        <f>109.63-9.22</f>
        <v>100.41</v>
      </c>
      <c r="AI105" s="9">
        <v>948</v>
      </c>
      <c r="AJ105" s="3">
        <f>167.72-14.1</f>
        <v>153.62</v>
      </c>
      <c r="AL105" s="2">
        <f t="shared" si="4"/>
        <v>12881</v>
      </c>
      <c r="AM105" s="5">
        <f t="shared" si="5"/>
        <v>2827.3399999999992</v>
      </c>
    </row>
    <row r="106" spans="1:39" x14ac:dyDescent="0.25">
      <c r="A106" s="11">
        <v>103</v>
      </c>
      <c r="B106" s="7">
        <v>700</v>
      </c>
      <c r="C106" s="3">
        <f>280.97-23.62</f>
        <v>257.35000000000002</v>
      </c>
      <c r="E106" s="7">
        <v>300</v>
      </c>
      <c r="F106" s="3">
        <f>252.69-21.24</f>
        <v>231.45</v>
      </c>
      <c r="H106" s="7">
        <v>300</v>
      </c>
      <c r="I106" s="3">
        <f>248.61-20.9</f>
        <v>227.71</v>
      </c>
      <c r="K106" s="7">
        <v>500</v>
      </c>
      <c r="L106" s="3">
        <f>266.54-22.41</f>
        <v>244.13000000000002</v>
      </c>
      <c r="N106" s="7">
        <v>300</v>
      </c>
      <c r="O106" s="3">
        <f>183.06-15.39</f>
        <v>167.67000000000002</v>
      </c>
      <c r="Q106" s="9">
        <v>300</v>
      </c>
      <c r="R106" s="3">
        <f>242.75-20.41</f>
        <v>222.34</v>
      </c>
      <c r="T106" s="9">
        <v>300</v>
      </c>
      <c r="U106" s="3">
        <f>180.28-15.15</f>
        <v>165.13</v>
      </c>
      <c r="W106" s="7">
        <v>300</v>
      </c>
      <c r="X106" s="3">
        <f>244.23-20.53</f>
        <v>223.7</v>
      </c>
      <c r="Z106" s="9">
        <v>300</v>
      </c>
      <c r="AA106" s="3">
        <f>239.86-20.17</f>
        <v>219.69</v>
      </c>
      <c r="AC106" s="9">
        <v>300</v>
      </c>
      <c r="AD106" s="3">
        <f>241.95-20.35</f>
        <v>221.6</v>
      </c>
      <c r="AF106" s="7">
        <v>300</v>
      </c>
      <c r="AG106" s="3">
        <f>83.15-6.99</f>
        <v>76.160000000000011</v>
      </c>
      <c r="AI106" s="9">
        <v>500</v>
      </c>
      <c r="AJ106" s="3">
        <f>111.5-9.37</f>
        <v>102.13</v>
      </c>
      <c r="AL106" s="2">
        <f t="shared" si="4"/>
        <v>4400</v>
      </c>
      <c r="AM106" s="5">
        <f t="shared" si="5"/>
        <v>2359.06</v>
      </c>
    </row>
    <row r="107" spans="1:39" x14ac:dyDescent="0.25">
      <c r="A107" s="11">
        <v>104</v>
      </c>
      <c r="B107" s="7">
        <v>4439</v>
      </c>
      <c r="C107" s="3">
        <f>609.16-56.22</f>
        <v>552.93999999999994</v>
      </c>
      <c r="E107" s="7">
        <v>4315</v>
      </c>
      <c r="F107" s="3">
        <f>654.55-60.04</f>
        <v>594.51</v>
      </c>
      <c r="H107" s="7">
        <v>4587</v>
      </c>
      <c r="I107" s="3">
        <f>597.49-55.24</f>
        <v>542.25</v>
      </c>
      <c r="K107" s="7">
        <v>4707</v>
      </c>
      <c r="L107" s="3">
        <f>619.79-57.11</f>
        <v>562.67999999999995</v>
      </c>
      <c r="N107" s="7">
        <v>4005</v>
      </c>
      <c r="O107" s="3">
        <f>571.01-53.01</f>
        <v>518</v>
      </c>
      <c r="Q107" s="9">
        <v>3928</v>
      </c>
      <c r="R107" s="3">
        <f>566.49-52.64</f>
        <v>513.85</v>
      </c>
      <c r="T107" s="9">
        <v>4534</v>
      </c>
      <c r="U107" s="3">
        <f>646.26-59.34</f>
        <v>586.91999999999996</v>
      </c>
      <c r="W107" s="7">
        <v>7071</v>
      </c>
      <c r="X107" s="3">
        <f>847.08-76.23</f>
        <v>770.85</v>
      </c>
      <c r="Z107" s="9">
        <v>7707</v>
      </c>
      <c r="AA107" s="3">
        <f>879.88-78.98</f>
        <v>800.9</v>
      </c>
      <c r="AC107" s="9">
        <v>5415</v>
      </c>
      <c r="AD107" s="3">
        <f>701.83-64.01</f>
        <v>637.82000000000005</v>
      </c>
      <c r="AF107" s="7">
        <v>4231</v>
      </c>
      <c r="AG107" s="3">
        <f>561.84-52.24</f>
        <v>509.6</v>
      </c>
      <c r="AI107" s="9">
        <v>5092</v>
      </c>
      <c r="AJ107" s="3">
        <f>693.24-63.29</f>
        <v>629.95000000000005</v>
      </c>
      <c r="AL107" s="2">
        <f t="shared" si="4"/>
        <v>60031</v>
      </c>
      <c r="AM107" s="5">
        <f t="shared" si="5"/>
        <v>7220.2699999999995</v>
      </c>
    </row>
    <row r="108" spans="1:39" x14ac:dyDescent="0.25">
      <c r="A108" s="11">
        <v>105</v>
      </c>
      <c r="B108" s="7">
        <v>1437</v>
      </c>
      <c r="C108" s="3">
        <f>317.43-31.69</f>
        <v>285.74</v>
      </c>
      <c r="E108" s="7">
        <v>1377</v>
      </c>
      <c r="F108" s="3">
        <f>331.09-32.84</f>
        <v>298.25</v>
      </c>
      <c r="H108" s="7">
        <v>1406</v>
      </c>
      <c r="I108" s="3">
        <f>310.92-31.14</f>
        <v>279.78000000000003</v>
      </c>
      <c r="K108" s="7">
        <v>1444</v>
      </c>
      <c r="L108" s="3">
        <f>313.39-31.35</f>
        <v>282.03999999999996</v>
      </c>
      <c r="N108" s="7">
        <v>1416</v>
      </c>
      <c r="O108" s="3">
        <f>314.59-31.45</f>
        <v>283.14</v>
      </c>
      <c r="Q108" s="9">
        <v>1495</v>
      </c>
      <c r="R108" s="3">
        <f>315.33-31.51</f>
        <v>283.82</v>
      </c>
      <c r="T108" s="9">
        <v>1488</v>
      </c>
      <c r="U108" s="3">
        <f>326.42-32.45</f>
        <v>293.97000000000003</v>
      </c>
      <c r="W108" s="7">
        <v>1600</v>
      </c>
      <c r="X108" s="3">
        <f>316.34-31.6</f>
        <v>284.73999999999995</v>
      </c>
      <c r="Z108" s="9">
        <v>1548</v>
      </c>
      <c r="AA108" s="3">
        <f>303.98-30.56</f>
        <v>273.42</v>
      </c>
      <c r="AC108" s="9">
        <v>1419</v>
      </c>
      <c r="AD108" s="3">
        <f>308.33-30.92</f>
        <v>277.40999999999997</v>
      </c>
      <c r="AF108" s="7">
        <v>1470</v>
      </c>
      <c r="AG108" s="3">
        <f>313.52-31.36</f>
        <v>282.15999999999997</v>
      </c>
      <c r="AI108" s="9">
        <v>1403</v>
      </c>
      <c r="AJ108" s="3">
        <f>324.56-32.29</f>
        <v>292.27</v>
      </c>
      <c r="AL108" s="2">
        <f t="shared" si="4"/>
        <v>17503</v>
      </c>
      <c r="AM108" s="5">
        <f t="shared" si="5"/>
        <v>3416.7399999999993</v>
      </c>
    </row>
    <row r="109" spans="1:39" x14ac:dyDescent="0.25">
      <c r="A109" s="11">
        <v>106</v>
      </c>
      <c r="B109" s="7">
        <v>1517</v>
      </c>
      <c r="C109" s="3">
        <f>318.49-31.78</f>
        <v>286.71000000000004</v>
      </c>
      <c r="E109" s="7">
        <v>1463</v>
      </c>
      <c r="F109" s="3">
        <f>332.81-32.98</f>
        <v>299.83</v>
      </c>
      <c r="H109" s="7">
        <v>1797</v>
      </c>
      <c r="I109" s="3">
        <f>319.24-31.84</f>
        <v>287.40000000000003</v>
      </c>
      <c r="K109" s="7">
        <v>1843</v>
      </c>
      <c r="L109" s="3">
        <f>316.77-31.63</f>
        <v>285.14</v>
      </c>
      <c r="N109" s="7">
        <v>1545</v>
      </c>
      <c r="O109" s="3">
        <f>316.3-31.59</f>
        <v>284.71000000000004</v>
      </c>
      <c r="Q109" s="9">
        <v>1334</v>
      </c>
      <c r="R109" s="3">
        <f>313.12-31.32</f>
        <v>281.8</v>
      </c>
      <c r="T109" s="9">
        <v>2349</v>
      </c>
      <c r="U109" s="3">
        <f>407.55-39.27</f>
        <v>368.28000000000003</v>
      </c>
      <c r="W109" s="7">
        <v>2987</v>
      </c>
      <c r="X109" s="3">
        <f>456.94-43.42</f>
        <v>413.52</v>
      </c>
      <c r="Z109" s="9">
        <v>3506</v>
      </c>
      <c r="AA109" s="3">
        <f>477.06-45.11</f>
        <v>431.95</v>
      </c>
      <c r="AC109" s="9">
        <v>2251</v>
      </c>
      <c r="AD109" s="3">
        <f>358.56-35.15</f>
        <v>323.41000000000003</v>
      </c>
      <c r="AF109" s="7">
        <v>1575</v>
      </c>
      <c r="AG109" s="3">
        <f>315.37-31.52</f>
        <v>283.85000000000002</v>
      </c>
      <c r="AI109" s="9">
        <v>1678</v>
      </c>
      <c r="AJ109" s="3">
        <f>329.78-32.73</f>
        <v>297.04999999999995</v>
      </c>
      <c r="AL109" s="2">
        <f t="shared" si="4"/>
        <v>23845</v>
      </c>
      <c r="AM109" s="5">
        <f t="shared" si="5"/>
        <v>3843.6499999999996</v>
      </c>
    </row>
    <row r="110" spans="1:39" x14ac:dyDescent="0.25">
      <c r="A110" s="11">
        <v>107</v>
      </c>
      <c r="B110" s="7">
        <v>100</v>
      </c>
      <c r="C110" s="3">
        <f>139.36-11.72</f>
        <v>127.64000000000001</v>
      </c>
      <c r="E110" s="7">
        <v>200</v>
      </c>
      <c r="F110" s="3">
        <f>269.58-22.67</f>
        <v>246.90999999999997</v>
      </c>
      <c r="H110" s="7">
        <v>3500</v>
      </c>
      <c r="I110" s="3">
        <f>509.9-42.87</f>
        <v>467.03</v>
      </c>
      <c r="K110" s="7">
        <v>300</v>
      </c>
      <c r="L110" s="3">
        <f>189.88-15.97</f>
        <v>173.91</v>
      </c>
      <c r="N110" s="7">
        <v>100</v>
      </c>
      <c r="O110" s="3">
        <f>118.39-9.95</f>
        <v>108.44</v>
      </c>
      <c r="Q110" s="9">
        <v>100</v>
      </c>
      <c r="R110" s="3">
        <f>189.4-15.92</f>
        <v>173.48000000000002</v>
      </c>
      <c r="T110" s="9">
        <v>0</v>
      </c>
      <c r="U110" s="3">
        <f>115.4-9.7</f>
        <v>105.7</v>
      </c>
      <c r="W110" s="7">
        <v>100</v>
      </c>
      <c r="X110" s="3">
        <f>168.7-14.19</f>
        <v>154.51</v>
      </c>
      <c r="Z110" s="9">
        <v>100</v>
      </c>
      <c r="AA110" s="3">
        <f>126.56-10.64</f>
        <v>115.92</v>
      </c>
      <c r="AC110" s="9">
        <v>100</v>
      </c>
      <c r="AD110" s="3">
        <f>136.76-11.5</f>
        <v>125.25999999999999</v>
      </c>
      <c r="AF110" s="7">
        <v>0</v>
      </c>
      <c r="AG110" s="3">
        <f>70.54-5.93</f>
        <v>64.610000000000014</v>
      </c>
      <c r="AI110" s="9">
        <v>100</v>
      </c>
      <c r="AJ110" s="3">
        <f>75.02-6.31</f>
        <v>68.709999999999994</v>
      </c>
      <c r="AL110" s="2">
        <f t="shared" si="4"/>
        <v>4700</v>
      </c>
      <c r="AM110" s="5">
        <f t="shared" si="5"/>
        <v>1932.12</v>
      </c>
    </row>
    <row r="111" spans="1:39" x14ac:dyDescent="0.25">
      <c r="A111" s="11">
        <v>108</v>
      </c>
      <c r="B111" s="7">
        <v>13360</v>
      </c>
      <c r="C111" s="3">
        <f>1570.38-132.04</f>
        <v>1438.3400000000001</v>
      </c>
      <c r="E111" s="7">
        <v>13760</v>
      </c>
      <c r="F111" s="3">
        <f>1730.12-145.47</f>
        <v>1584.6499999999999</v>
      </c>
      <c r="H111" s="7">
        <v>15680</v>
      </c>
      <c r="I111" s="3">
        <f>1656.29-139.26</f>
        <v>1517.03</v>
      </c>
      <c r="K111" s="7">
        <v>15680</v>
      </c>
      <c r="L111" s="3">
        <f>1725.89-145.11</f>
        <v>1580.7800000000002</v>
      </c>
      <c r="N111" s="7">
        <v>13920</v>
      </c>
      <c r="O111" s="3">
        <f>1608.22-135.22</f>
        <v>1473</v>
      </c>
      <c r="Q111" s="9">
        <v>12960</v>
      </c>
      <c r="R111" s="3">
        <f>1501.35-126.23</f>
        <v>1375.12</v>
      </c>
      <c r="T111" s="9">
        <v>10720</v>
      </c>
      <c r="U111" s="3">
        <f>1350.8-113.58</f>
        <v>1237.22</v>
      </c>
      <c r="W111" s="7">
        <v>10960</v>
      </c>
      <c r="X111" s="3">
        <f>1230.21-103.43</f>
        <v>1126.78</v>
      </c>
      <c r="Z111" s="9">
        <v>8160</v>
      </c>
      <c r="AA111" s="3">
        <f>1012.38-85.12</f>
        <v>927.26</v>
      </c>
      <c r="AC111" s="9">
        <v>10320</v>
      </c>
      <c r="AD111" s="3">
        <f>1147.35-96.47</f>
        <v>1050.8799999999999</v>
      </c>
      <c r="AF111" s="7">
        <v>11520</v>
      </c>
      <c r="AG111" s="3">
        <f>1433.87-120.56</f>
        <v>1313.31</v>
      </c>
      <c r="AI111" s="9">
        <v>12080</v>
      </c>
      <c r="AJ111" s="3">
        <f>1564.75-131.57</f>
        <v>1433.18</v>
      </c>
      <c r="AL111" s="2">
        <f t="shared" si="4"/>
        <v>149120</v>
      </c>
      <c r="AM111" s="5">
        <f t="shared" si="5"/>
        <v>16057.549999999997</v>
      </c>
    </row>
    <row r="112" spans="1:39" x14ac:dyDescent="0.25">
      <c r="A112" s="11">
        <v>109</v>
      </c>
      <c r="B112" s="7">
        <v>3600</v>
      </c>
      <c r="C112" s="3">
        <f>591.49-49.73</f>
        <v>541.76</v>
      </c>
      <c r="E112" s="7">
        <v>3800</v>
      </c>
      <c r="F112" s="3">
        <f>640.57-53.86</f>
        <v>586.71</v>
      </c>
      <c r="H112" s="7">
        <v>4200</v>
      </c>
      <c r="I112" s="3">
        <f>603.65-50.76</f>
        <v>552.89</v>
      </c>
      <c r="K112" s="7">
        <v>4000</v>
      </c>
      <c r="L112" s="3">
        <f>597.02-50.19</f>
        <v>546.82999999999993</v>
      </c>
      <c r="N112" s="7">
        <v>3200</v>
      </c>
      <c r="O112" s="3">
        <f>542.06-45.57</f>
        <v>496.48999999999995</v>
      </c>
      <c r="Q112" s="9">
        <v>2200</v>
      </c>
      <c r="R112" s="3">
        <f>416.81-35.04</f>
        <v>381.77</v>
      </c>
      <c r="T112" s="9">
        <v>4200</v>
      </c>
      <c r="U112" s="3">
        <f>672.33-56.53</f>
        <v>615.80000000000007</v>
      </c>
      <c r="W112" s="7">
        <v>6400</v>
      </c>
      <c r="X112" s="3">
        <f>837.36-70.41</f>
        <v>766.95</v>
      </c>
      <c r="Z112" s="9">
        <v>8800</v>
      </c>
      <c r="AA112" s="3">
        <f>997.47-83.87</f>
        <v>913.6</v>
      </c>
      <c r="AC112" s="9">
        <v>6200</v>
      </c>
      <c r="AD112" s="3">
        <f>804.36-67.63</f>
        <v>736.73</v>
      </c>
      <c r="AF112" s="7">
        <v>5200</v>
      </c>
      <c r="AG112" s="3">
        <f>695.52-58.48</f>
        <v>637.04</v>
      </c>
      <c r="AI112" s="9">
        <v>3800</v>
      </c>
      <c r="AJ112" s="3">
        <f>549.04-46.17</f>
        <v>502.86999999999995</v>
      </c>
      <c r="AL112" s="2">
        <f t="shared" si="4"/>
        <v>55600</v>
      </c>
      <c r="AM112" s="5">
        <f t="shared" si="5"/>
        <v>7279.4400000000005</v>
      </c>
    </row>
    <row r="113" spans="1:39" x14ac:dyDescent="0.25">
      <c r="A113" s="11">
        <v>110</v>
      </c>
      <c r="B113" s="7">
        <v>4280</v>
      </c>
      <c r="C113" s="3">
        <f>697.31-58.63</f>
        <v>638.67999999999995</v>
      </c>
      <c r="E113" s="7">
        <v>4480</v>
      </c>
      <c r="F113" s="3">
        <f>760.78-63.96</f>
        <v>696.81999999999994</v>
      </c>
      <c r="H113" s="7">
        <v>5400</v>
      </c>
      <c r="I113" s="3">
        <f>782.91-65.83</f>
        <v>717.07999999999993</v>
      </c>
      <c r="K113" s="7">
        <v>5920</v>
      </c>
      <c r="L113" s="3">
        <f>855.96-71.97</f>
        <v>783.99</v>
      </c>
      <c r="N113" s="7">
        <v>4480</v>
      </c>
      <c r="O113" s="3">
        <f>741.59-62.36</f>
        <v>679.23</v>
      </c>
      <c r="Q113" s="9">
        <v>4240</v>
      </c>
      <c r="R113" s="3">
        <f>633.67-53.28</f>
        <v>580.39</v>
      </c>
      <c r="T113" s="9">
        <v>4800</v>
      </c>
      <c r="U113" s="3">
        <f>788.72-66.31</f>
        <v>722.41000000000008</v>
      </c>
      <c r="W113" s="7">
        <v>5760</v>
      </c>
      <c r="X113" s="3">
        <f>839.23-70.56</f>
        <v>768.67000000000007</v>
      </c>
      <c r="Z113" s="9">
        <v>7720</v>
      </c>
      <c r="AA113" s="3">
        <f>957.3-80.49</f>
        <v>876.81</v>
      </c>
      <c r="AC113" s="9">
        <v>5880</v>
      </c>
      <c r="AD113" s="3">
        <f>840.75-70.69</f>
        <v>770.06</v>
      </c>
      <c r="AF113" s="7">
        <v>5640</v>
      </c>
      <c r="AG113" s="3">
        <f>748.51-62.94</f>
        <v>685.56999999999994</v>
      </c>
      <c r="AI113" s="9">
        <v>4880</v>
      </c>
      <c r="AJ113" s="3">
        <f>684.57-57.56</f>
        <v>627.01</v>
      </c>
      <c r="AL113" s="2">
        <f t="shared" si="4"/>
        <v>63480</v>
      </c>
      <c r="AM113" s="5">
        <f t="shared" si="5"/>
        <v>8546.7199999999993</v>
      </c>
    </row>
    <row r="114" spans="1:39" x14ac:dyDescent="0.25">
      <c r="A114" s="11">
        <v>111</v>
      </c>
      <c r="B114" s="7">
        <v>10080</v>
      </c>
      <c r="C114" s="3">
        <f>1230.58-103.47</f>
        <v>1127.1099999999999</v>
      </c>
      <c r="E114" s="7">
        <v>12080</v>
      </c>
      <c r="F114" s="3">
        <f>1558.34-131.03</f>
        <v>1427.31</v>
      </c>
      <c r="H114" s="7">
        <v>12960</v>
      </c>
      <c r="I114" s="3">
        <f>1463.56-123.06</f>
        <v>1340.5</v>
      </c>
      <c r="K114" s="7">
        <v>10880</v>
      </c>
      <c r="L114" s="3">
        <f>1296.23-108.99</f>
        <v>1187.24</v>
      </c>
      <c r="N114" s="7">
        <v>11200</v>
      </c>
      <c r="O114" s="3">
        <f>1344.06-113.01</f>
        <v>1231.05</v>
      </c>
      <c r="Q114" s="9">
        <v>11440</v>
      </c>
      <c r="R114" s="3">
        <f>1375.67-115.67</f>
        <v>1260</v>
      </c>
      <c r="T114" s="9">
        <v>10480</v>
      </c>
      <c r="U114" s="3">
        <f>1311.88-110.31</f>
        <v>1201.5700000000002</v>
      </c>
      <c r="W114" s="7">
        <v>9600</v>
      </c>
      <c r="X114" s="3">
        <f>1164.79-97.94</f>
        <v>1066.8499999999999</v>
      </c>
      <c r="Z114" s="9">
        <v>11360</v>
      </c>
      <c r="AA114" s="3">
        <f>1235-103.84</f>
        <v>1131.1600000000001</v>
      </c>
      <c r="AC114" s="9">
        <v>9360</v>
      </c>
      <c r="AD114" s="3">
        <f>1109-93.24</f>
        <v>1015.76</v>
      </c>
      <c r="AF114" s="7">
        <v>10160</v>
      </c>
      <c r="AG114" s="3">
        <f>1270.16-106.8</f>
        <v>1163.3600000000001</v>
      </c>
      <c r="AI114" s="9">
        <v>11120</v>
      </c>
      <c r="AJ114" s="3">
        <f>1444.26-121.43</f>
        <v>1322.83</v>
      </c>
      <c r="AL114" s="2">
        <f t="shared" si="4"/>
        <v>130720</v>
      </c>
      <c r="AM114" s="5">
        <f t="shared" si="5"/>
        <v>14474.740000000002</v>
      </c>
    </row>
    <row r="115" spans="1:39" x14ac:dyDescent="0.25">
      <c r="A115" s="11">
        <v>112</v>
      </c>
      <c r="B115" s="7">
        <f>2200+974</f>
        <v>3174</v>
      </c>
      <c r="C115" s="3">
        <f>631.43-53.09</f>
        <v>578.33999999999992</v>
      </c>
      <c r="E115" s="7">
        <f>2300+974</f>
        <v>3274</v>
      </c>
      <c r="F115" s="3">
        <f>682.13-57.35</f>
        <v>624.78</v>
      </c>
      <c r="H115" s="7">
        <f>2100+974</f>
        <v>3074</v>
      </c>
      <c r="I115" s="3">
        <f>597.91-50.27</f>
        <v>547.64</v>
      </c>
      <c r="K115" s="7">
        <f>2200+974</f>
        <v>3174</v>
      </c>
      <c r="L115" s="3">
        <f>620.39-52.17</f>
        <v>568.22</v>
      </c>
      <c r="N115" s="7">
        <f>2000+974</f>
        <v>2974</v>
      </c>
      <c r="O115" s="3">
        <f>587.95-49.44</f>
        <v>538.51</v>
      </c>
      <c r="Q115" s="9">
        <f>1900+974</f>
        <v>2874</v>
      </c>
      <c r="R115" s="3">
        <f>594.06-49.95</f>
        <v>544.1099999999999</v>
      </c>
      <c r="T115" s="9">
        <f>2600+974</f>
        <v>3574</v>
      </c>
      <c r="U115" s="3">
        <f>736.1-61.9</f>
        <v>674.2</v>
      </c>
      <c r="W115" s="7">
        <f>3400+974</f>
        <v>4374</v>
      </c>
      <c r="X115" s="3">
        <f>781.82-65.73</f>
        <v>716.09</v>
      </c>
      <c r="Z115" s="9">
        <f>3900+974</f>
        <v>4874</v>
      </c>
      <c r="AA115" s="3">
        <f>782.23-65.77</f>
        <v>716.46</v>
      </c>
      <c r="AC115" s="9">
        <f>2900+974</f>
        <v>3874</v>
      </c>
      <c r="AD115" s="3">
        <f>710.96-59.78</f>
        <v>651.18000000000006</v>
      </c>
      <c r="AF115" s="7">
        <f>2400+974</f>
        <v>3374</v>
      </c>
      <c r="AG115" s="3">
        <f>533.86-44.89</f>
        <v>488.97</v>
      </c>
      <c r="AI115" s="9">
        <f>2200+974</f>
        <v>3174</v>
      </c>
      <c r="AJ115" s="3">
        <f>530.66-44.62</f>
        <v>486.03999999999996</v>
      </c>
      <c r="AL115" s="2">
        <f t="shared" si="4"/>
        <v>41788</v>
      </c>
      <c r="AM115" s="5">
        <f t="shared" si="5"/>
        <v>7134.54</v>
      </c>
    </row>
    <row r="116" spans="1:39" x14ac:dyDescent="0.25">
      <c r="A116" s="11">
        <v>113</v>
      </c>
      <c r="B116" s="7">
        <v>800</v>
      </c>
      <c r="C116" s="3">
        <f>250.46-21.06</f>
        <v>229.4</v>
      </c>
      <c r="E116" s="7">
        <v>1000</v>
      </c>
      <c r="F116" s="3">
        <f>359.69-30.24</f>
        <v>329.45</v>
      </c>
      <c r="H116" s="7">
        <v>900</v>
      </c>
      <c r="I116" s="3">
        <f>260.06-21.87</f>
        <v>238.19</v>
      </c>
      <c r="K116" s="7">
        <v>700</v>
      </c>
      <c r="L116" s="3">
        <f>247.52-20.81</f>
        <v>226.71</v>
      </c>
      <c r="N116" s="7">
        <v>700</v>
      </c>
      <c r="O116" s="3">
        <f>229.67-19.31</f>
        <v>210.35999999999999</v>
      </c>
      <c r="Q116" s="9">
        <v>2400</v>
      </c>
      <c r="R116" s="3">
        <f>494.46-41.58</f>
        <v>452.88</v>
      </c>
      <c r="T116" s="9">
        <v>3100</v>
      </c>
      <c r="U116" s="3">
        <f>590.01-49.61</f>
        <v>540.4</v>
      </c>
      <c r="W116" s="7">
        <v>1200</v>
      </c>
      <c r="X116" s="3">
        <f>276.31-23.23</f>
        <v>253.08</v>
      </c>
      <c r="Z116" s="9">
        <v>1700</v>
      </c>
      <c r="AA116" s="3">
        <f>429.93-36.15</f>
        <v>393.78000000000003</v>
      </c>
      <c r="AC116" s="9">
        <v>1100</v>
      </c>
      <c r="AD116" s="3">
        <f>252.58-21.24</f>
        <v>231.34</v>
      </c>
      <c r="AF116" s="7">
        <v>900</v>
      </c>
      <c r="AG116" s="3">
        <f>155.37-13.06</f>
        <v>142.31</v>
      </c>
      <c r="AI116" s="9">
        <v>900</v>
      </c>
      <c r="AJ116" s="3">
        <f>161.7-13.59</f>
        <v>148.10999999999999</v>
      </c>
      <c r="AL116" s="2">
        <f t="shared" si="4"/>
        <v>15400</v>
      </c>
      <c r="AM116" s="5">
        <f t="shared" si="5"/>
        <v>3396.01</v>
      </c>
    </row>
    <row r="117" spans="1:39" x14ac:dyDescent="0.25">
      <c r="A117" s="11">
        <v>114</v>
      </c>
      <c r="B117" s="7">
        <f>1465+146</f>
        <v>1611</v>
      </c>
      <c r="C117" s="3">
        <f>357.21-30.04</f>
        <v>327.16999999999996</v>
      </c>
      <c r="E117" s="7">
        <f>748+146</f>
        <v>894</v>
      </c>
      <c r="F117" s="3">
        <f>281.14-23.64</f>
        <v>257.5</v>
      </c>
      <c r="H117" s="7">
        <f>725+146</f>
        <v>871</v>
      </c>
      <c r="I117" s="3">
        <f>260.88-21.94</f>
        <v>238.94</v>
      </c>
      <c r="K117" s="7">
        <f>842+146</f>
        <v>988</v>
      </c>
      <c r="L117" s="3">
        <f>273.28-22.98</f>
        <v>250.29999999999998</v>
      </c>
      <c r="N117" s="7">
        <f>686+146</f>
        <v>832</v>
      </c>
      <c r="O117" s="3">
        <f>277.42-23.32</f>
        <v>254.10000000000002</v>
      </c>
      <c r="Q117" s="9">
        <f>1641+146</f>
        <v>1787</v>
      </c>
      <c r="R117" s="3">
        <f>402.51-33.84</f>
        <v>368.66999999999996</v>
      </c>
      <c r="S117" s="9"/>
      <c r="T117">
        <f>2336+146</f>
        <v>2482</v>
      </c>
      <c r="U117" s="3">
        <f>482.06-40.54</f>
        <v>441.52</v>
      </c>
      <c r="W117" s="7">
        <f>2564+146</f>
        <v>2710</v>
      </c>
      <c r="X117" s="3">
        <f>487.1-40.95</f>
        <v>446.15000000000003</v>
      </c>
      <c r="Z117" s="9">
        <f>3207+146</f>
        <v>3353</v>
      </c>
      <c r="AA117" s="3">
        <f>525-44.15</f>
        <v>480.85</v>
      </c>
      <c r="AC117" s="9">
        <f>2906+146</f>
        <v>3052</v>
      </c>
      <c r="AD117" s="3">
        <f>513.49-43.18</f>
        <v>470.31</v>
      </c>
      <c r="AF117" s="7">
        <f>2790+146</f>
        <v>2936</v>
      </c>
      <c r="AG117" s="3">
        <f>442.88-37.24</f>
        <v>405.64</v>
      </c>
      <c r="AI117" s="9">
        <f>1988+146</f>
        <v>2134</v>
      </c>
      <c r="AJ117" s="3">
        <f>360.51-30.32</f>
        <v>330.19</v>
      </c>
      <c r="AL117" s="2">
        <f t="shared" si="4"/>
        <v>23650</v>
      </c>
      <c r="AM117" s="5">
        <f t="shared" si="5"/>
        <v>4271.3399999999992</v>
      </c>
    </row>
    <row r="118" spans="1:39" x14ac:dyDescent="0.25">
      <c r="A118" s="11">
        <v>115</v>
      </c>
      <c r="B118" s="7">
        <v>4000</v>
      </c>
      <c r="C118" s="3">
        <f>667.65-56.14</f>
        <v>611.51</v>
      </c>
      <c r="E118" s="7">
        <v>4080</v>
      </c>
      <c r="F118" s="3">
        <f>708.53-59.58</f>
        <v>648.94999999999993</v>
      </c>
      <c r="H118" s="7">
        <v>3840</v>
      </c>
      <c r="I118" s="3">
        <f>638.7-53.7</f>
        <v>585</v>
      </c>
      <c r="K118" s="7">
        <v>4360</v>
      </c>
      <c r="L118" s="3">
        <f>684.88-57.59</f>
        <v>627.29</v>
      </c>
      <c r="N118" s="7">
        <v>3760</v>
      </c>
      <c r="O118" s="3">
        <f>655.42-55.11</f>
        <v>600.30999999999995</v>
      </c>
      <c r="Q118" s="9">
        <v>3840</v>
      </c>
      <c r="R118" s="3">
        <f>645.53-54.28</f>
        <v>591.25</v>
      </c>
      <c r="T118" s="9">
        <v>3680</v>
      </c>
      <c r="U118" s="3">
        <f>686.53-57.72</f>
        <v>628.80999999999995</v>
      </c>
      <c r="W118" s="7">
        <v>3680</v>
      </c>
      <c r="X118" s="3">
        <f>640.63-53.86</f>
        <v>586.77</v>
      </c>
      <c r="Z118" s="9">
        <v>3760</v>
      </c>
      <c r="AA118" s="3">
        <f>626.03-52.64</f>
        <v>573.39</v>
      </c>
      <c r="AC118" s="9">
        <v>3760</v>
      </c>
      <c r="AD118" s="3">
        <f>638.04-53.65</f>
        <v>584.39</v>
      </c>
      <c r="AF118" s="7">
        <v>3640</v>
      </c>
      <c r="AG118" s="3">
        <f>485.24-40.8</f>
        <v>444.44</v>
      </c>
      <c r="AI118" s="9">
        <v>3760</v>
      </c>
      <c r="AJ118" s="3">
        <f>520.63-43.78</f>
        <v>476.85</v>
      </c>
      <c r="AL118" s="2">
        <f t="shared" si="4"/>
        <v>46160</v>
      </c>
      <c r="AM118" s="5">
        <f t="shared" si="5"/>
        <v>6958.96</v>
      </c>
    </row>
    <row r="119" spans="1:39" x14ac:dyDescent="0.25">
      <c r="A119" s="11">
        <v>116</v>
      </c>
      <c r="B119" s="7">
        <f>4300+106</f>
        <v>4406</v>
      </c>
      <c r="C119" s="3">
        <f>688.28-57.87</f>
        <v>630.41</v>
      </c>
      <c r="E119" s="7">
        <f>4500+106</f>
        <v>4606</v>
      </c>
      <c r="F119" s="3">
        <f>769.71-64.72</f>
        <v>704.99</v>
      </c>
      <c r="H119" s="7">
        <f>5000+106</f>
        <v>5106</v>
      </c>
      <c r="I119" s="3">
        <f>757.2-63.67</f>
        <v>693.53000000000009</v>
      </c>
      <c r="K119" s="7">
        <f>4700+106</f>
        <v>4806</v>
      </c>
      <c r="L119" s="3">
        <f>735.28-61.82</f>
        <v>673.45999999999992</v>
      </c>
      <c r="N119" s="7">
        <f>4000+106</f>
        <v>4106</v>
      </c>
      <c r="O119" s="3">
        <f>682.22-57.37</f>
        <v>624.85</v>
      </c>
      <c r="Q119" s="9">
        <f>4200+106</f>
        <v>4306</v>
      </c>
      <c r="R119" s="3">
        <f>690.1-58.02</f>
        <v>632.08000000000004</v>
      </c>
      <c r="T119" s="9">
        <f>3900+106</f>
        <v>4006</v>
      </c>
      <c r="U119" s="3">
        <f>700.85-58.93</f>
        <v>641.92000000000007</v>
      </c>
      <c r="W119" s="7">
        <f>3800+106</f>
        <v>3906</v>
      </c>
      <c r="X119" s="3">
        <f>652.64-54.87</f>
        <v>597.77</v>
      </c>
      <c r="Z119" s="9">
        <f>3900+106</f>
        <v>4006</v>
      </c>
      <c r="AA119" s="3">
        <f>636.5-53.52</f>
        <v>582.98</v>
      </c>
      <c r="AC119" s="9">
        <f>3700+106</f>
        <v>3806</v>
      </c>
      <c r="AD119" s="3">
        <f>636.56-53.52</f>
        <v>583.04</v>
      </c>
      <c r="AF119" s="7">
        <f>3900+106</f>
        <v>4006</v>
      </c>
      <c r="AG119" s="3">
        <f>540.78-45.47</f>
        <v>495.30999999999995</v>
      </c>
      <c r="AI119" s="9">
        <f>3900+106</f>
        <v>4006</v>
      </c>
      <c r="AJ119" s="3">
        <f>563.4-47.37</f>
        <v>516.03</v>
      </c>
      <c r="AL119" s="2">
        <f t="shared" si="4"/>
        <v>51072</v>
      </c>
      <c r="AM119" s="5">
        <f t="shared" si="5"/>
        <v>7376.37</v>
      </c>
    </row>
    <row r="120" spans="1:39" x14ac:dyDescent="0.25">
      <c r="A120" s="11">
        <v>117</v>
      </c>
      <c r="B120" s="7">
        <f>1200+328</f>
        <v>1528</v>
      </c>
      <c r="C120" s="3">
        <f>307.08-25.82</f>
        <v>281.26</v>
      </c>
      <c r="E120" s="7">
        <f>1000+328</f>
        <v>1328</v>
      </c>
      <c r="F120" s="3">
        <f>297.08-24.98</f>
        <v>272.09999999999997</v>
      </c>
      <c r="H120" s="7">
        <f>1200+328</f>
        <v>1528</v>
      </c>
      <c r="I120" s="3">
        <f>301.39-25.34</f>
        <v>276.05</v>
      </c>
      <c r="K120" s="7">
        <f>1560+328</f>
        <v>1888</v>
      </c>
      <c r="L120" s="3">
        <f>334.54-28.13</f>
        <v>306.41000000000003</v>
      </c>
      <c r="N120" s="7">
        <f>1400+328</f>
        <v>1728</v>
      </c>
      <c r="O120" s="3">
        <f>325.81-27.39</f>
        <v>298.42</v>
      </c>
      <c r="Q120" s="9">
        <f>1640+328</f>
        <v>1968</v>
      </c>
      <c r="R120" s="3">
        <f>379.41-31.91</f>
        <v>347.5</v>
      </c>
      <c r="T120" s="9">
        <f>2240+328</f>
        <v>2568</v>
      </c>
      <c r="U120" s="3">
        <f>451.69-37.98</f>
        <v>413.71</v>
      </c>
      <c r="W120" s="7">
        <f>2840+328</f>
        <v>3168</v>
      </c>
      <c r="X120" s="3">
        <f>480.54-40.4</f>
        <v>440.14000000000004</v>
      </c>
      <c r="Z120" s="9">
        <f>3440+328</f>
        <v>3768</v>
      </c>
      <c r="AA120" s="3">
        <f>513.65-43.18</f>
        <v>470.46999999999997</v>
      </c>
      <c r="AC120" s="9">
        <f>2160+328</f>
        <v>2488</v>
      </c>
      <c r="AD120" s="3">
        <f>415.95-34.97</f>
        <v>380.98</v>
      </c>
      <c r="AF120" s="7">
        <f>1600+328</f>
        <v>1928</v>
      </c>
      <c r="AG120" s="3">
        <f>304.86-25.64</f>
        <v>279.22000000000003</v>
      </c>
      <c r="AI120" s="9">
        <f>1600+328</f>
        <v>1928</v>
      </c>
      <c r="AJ120" s="3">
        <f>317.36-26.68</f>
        <v>290.68</v>
      </c>
      <c r="AL120" s="2">
        <f t="shared" si="4"/>
        <v>25816</v>
      </c>
      <c r="AM120" s="5">
        <f t="shared" si="5"/>
        <v>4056.9399999999991</v>
      </c>
    </row>
    <row r="121" spans="1:39" x14ac:dyDescent="0.25">
      <c r="A121" s="11">
        <v>118</v>
      </c>
      <c r="B121" s="7">
        <f>15160+219</f>
        <v>15379</v>
      </c>
      <c r="C121" s="3">
        <f>1785.05-155.09</f>
        <v>1629.96</v>
      </c>
      <c r="E121" s="7">
        <f>15680+219</f>
        <v>15899</v>
      </c>
      <c r="F121" s="3">
        <f>1975.33-171.09</f>
        <v>1804.24</v>
      </c>
      <c r="H121" s="7">
        <f>19160+225</f>
        <v>19385</v>
      </c>
      <c r="I121" s="3">
        <f>2024.57-175.23</f>
        <v>1849.34</v>
      </c>
      <c r="K121" s="7">
        <f>17400+219</f>
        <v>17619</v>
      </c>
      <c r="L121" s="3">
        <f>1916.18-166.11</f>
        <v>1750.0700000000002</v>
      </c>
      <c r="N121" s="7">
        <f>14520+219</f>
        <v>14739</v>
      </c>
      <c r="O121" s="3">
        <f>1735.73-150.94</f>
        <v>1584.79</v>
      </c>
      <c r="Q121" s="9">
        <f>11480+219</f>
        <v>11699</v>
      </c>
      <c r="R121" s="3">
        <f>1481.81-129.6</f>
        <v>1352.21</v>
      </c>
      <c r="T121" s="9">
        <f>10200+219</f>
        <v>10419</v>
      </c>
      <c r="U121" s="3">
        <f>1364.74-119.75</f>
        <v>1244.99</v>
      </c>
      <c r="W121" s="7">
        <f>10480+219</f>
        <v>10699</v>
      </c>
      <c r="X121" s="3">
        <f>1250.57-110.15</f>
        <v>1140.4199999999998</v>
      </c>
      <c r="Z121" s="9">
        <f>10240+219</f>
        <v>10459</v>
      </c>
      <c r="AA121" s="3">
        <f>1153.78-102.01</f>
        <v>1051.77</v>
      </c>
      <c r="AC121" s="9">
        <f>9840+219</f>
        <v>10059</v>
      </c>
      <c r="AD121" s="3">
        <f>1172.59-103.59</f>
        <v>1069</v>
      </c>
      <c r="AF121" s="7">
        <f>10480+219</f>
        <v>10699</v>
      </c>
      <c r="AG121" s="3">
        <f>1404.09-123.06</f>
        <v>1281.03</v>
      </c>
      <c r="AI121" s="9">
        <f>11240+219</f>
        <v>11459</v>
      </c>
      <c r="AJ121" s="3">
        <f>1558.19-136.02</f>
        <v>1422.17</v>
      </c>
      <c r="AL121" s="2">
        <f t="shared" si="4"/>
        <v>158514</v>
      </c>
      <c r="AM121" s="5">
        <f t="shared" si="5"/>
        <v>17179.990000000002</v>
      </c>
    </row>
    <row r="122" spans="1:39" x14ac:dyDescent="0.25">
      <c r="A122" s="11">
        <v>119</v>
      </c>
      <c r="B122" s="7">
        <v>1920</v>
      </c>
      <c r="C122" s="3">
        <f>366.93-30.85</f>
        <v>336.08</v>
      </c>
      <c r="E122" s="7">
        <v>1920</v>
      </c>
      <c r="F122" s="3">
        <f>344.95-29.01</f>
        <v>315.94</v>
      </c>
      <c r="H122" s="7">
        <v>1760</v>
      </c>
      <c r="I122" s="3">
        <f>314.94-26.48</f>
        <v>288.45999999999998</v>
      </c>
      <c r="K122" s="7">
        <v>1840</v>
      </c>
      <c r="L122" s="3">
        <f>316.37-26.6</f>
        <v>289.77</v>
      </c>
      <c r="N122" s="7">
        <v>1600</v>
      </c>
      <c r="O122" s="3">
        <f>292.07-24.56</f>
        <v>267.51</v>
      </c>
      <c r="Q122" s="9">
        <v>2320</v>
      </c>
      <c r="R122" s="3">
        <f>372.36-31.31</f>
        <v>341.05</v>
      </c>
      <c r="T122" s="9">
        <v>1920</v>
      </c>
      <c r="U122" s="3">
        <f>360.69-30.33</f>
        <v>330.36</v>
      </c>
      <c r="W122" s="7">
        <v>3040</v>
      </c>
      <c r="X122" s="3">
        <f>451.71-37.98</f>
        <v>413.72999999999996</v>
      </c>
      <c r="Z122" s="9">
        <v>3760</v>
      </c>
      <c r="AA122" s="3">
        <f>495.6-41.67</f>
        <v>453.93</v>
      </c>
      <c r="AC122" s="9">
        <v>2480</v>
      </c>
      <c r="AD122" s="3">
        <f>397.52-33.42</f>
        <v>364.09999999999997</v>
      </c>
      <c r="AF122" s="7">
        <v>1840</v>
      </c>
      <c r="AG122" s="3">
        <f>268.53-22.58</f>
        <v>245.95</v>
      </c>
      <c r="AI122" s="9">
        <v>1600</v>
      </c>
      <c r="AJ122" s="3">
        <f>249.55-20.99</f>
        <v>228.56</v>
      </c>
      <c r="AL122" s="2">
        <f t="shared" si="4"/>
        <v>26000</v>
      </c>
      <c r="AM122" s="5">
        <f t="shared" si="5"/>
        <v>3875.4399999999996</v>
      </c>
    </row>
    <row r="123" spans="1:39" x14ac:dyDescent="0.25">
      <c r="A123" s="11">
        <v>120</v>
      </c>
      <c r="B123" s="7">
        <v>1440</v>
      </c>
      <c r="C123" s="3">
        <f>310.6-26.11</f>
        <v>284.49</v>
      </c>
      <c r="E123" s="7">
        <v>1520</v>
      </c>
      <c r="F123" s="3">
        <f>339.78-28.57</f>
        <v>311.20999999999998</v>
      </c>
      <c r="H123" s="7">
        <v>1920</v>
      </c>
      <c r="I123" s="3">
        <f>354.38-29.8</f>
        <v>324.58</v>
      </c>
      <c r="K123" s="7">
        <v>1680</v>
      </c>
      <c r="L123" s="3">
        <f>333.13-28.01</f>
        <v>305.12</v>
      </c>
      <c r="N123" s="7">
        <v>1520</v>
      </c>
      <c r="O123" s="3">
        <f>309.47-26.02</f>
        <v>283.45000000000005</v>
      </c>
      <c r="Q123" s="9">
        <v>1280</v>
      </c>
      <c r="R123" s="3">
        <f>280.08-23.55</f>
        <v>256.52999999999997</v>
      </c>
      <c r="T123" s="9">
        <v>1200</v>
      </c>
      <c r="U123" s="3">
        <f>327.83-27.57</f>
        <v>300.26</v>
      </c>
      <c r="W123" s="7">
        <v>1440</v>
      </c>
      <c r="X123" s="3">
        <f>360.62-30.32</f>
        <v>330.3</v>
      </c>
      <c r="Z123" s="9">
        <v>1760</v>
      </c>
      <c r="AA123" s="3">
        <f>351.63-29.56</f>
        <v>322.07</v>
      </c>
      <c r="AC123" s="9">
        <v>1680</v>
      </c>
      <c r="AD123" s="3">
        <f>342.5-28.8</f>
        <v>313.7</v>
      </c>
      <c r="AF123" s="7">
        <v>1280</v>
      </c>
      <c r="AG123" s="3">
        <f>201.12-16.91</f>
        <v>184.21</v>
      </c>
      <c r="AI123" s="9">
        <v>1280</v>
      </c>
      <c r="AJ123" s="3">
        <f>209.39-17.6</f>
        <v>191.79</v>
      </c>
      <c r="AL123" s="2">
        <f t="shared" si="4"/>
        <v>18000</v>
      </c>
      <c r="AM123" s="5">
        <f t="shared" si="5"/>
        <v>3407.7100000000005</v>
      </c>
    </row>
    <row r="124" spans="1:39" x14ac:dyDescent="0.25">
      <c r="A124" s="11">
        <v>121</v>
      </c>
      <c r="B124" s="7">
        <v>23040</v>
      </c>
      <c r="C124" s="3">
        <f>2520.25-321.83</f>
        <v>2198.42</v>
      </c>
      <c r="E124" s="7">
        <v>24320</v>
      </c>
      <c r="F124" s="3">
        <f>2890.01-369.05</f>
        <v>2520.96</v>
      </c>
      <c r="H124" s="7">
        <v>23760</v>
      </c>
      <c r="I124" s="3">
        <f>2462.44-314.44</f>
        <v>2148</v>
      </c>
      <c r="K124" s="7">
        <v>24240</v>
      </c>
      <c r="L124" s="3">
        <f>2545.54-325.06</f>
        <v>2220.48</v>
      </c>
      <c r="N124" s="7">
        <v>22400</v>
      </c>
      <c r="O124" s="3">
        <f>2488.74-317.8</f>
        <v>2170.9399999999996</v>
      </c>
      <c r="Q124" s="9">
        <v>22560</v>
      </c>
      <c r="R124" s="3">
        <f>2504.22-319.78</f>
        <v>2184.4399999999996</v>
      </c>
      <c r="T124" s="9">
        <v>21200</v>
      </c>
      <c r="U124" s="3">
        <f>2514.19-321.05</f>
        <v>2193.14</v>
      </c>
      <c r="W124" s="7">
        <v>21280</v>
      </c>
      <c r="X124" s="3">
        <f>2348.61-299.91</f>
        <v>2048.7000000000003</v>
      </c>
      <c r="Z124" s="9">
        <v>20160</v>
      </c>
      <c r="AA124" s="3">
        <f>2003.29-255.81</f>
        <v>1747.48</v>
      </c>
      <c r="AC124" s="9">
        <v>20000</v>
      </c>
      <c r="AD124" s="3">
        <f>2088.85-266.75</f>
        <v>1822.1</v>
      </c>
      <c r="AF124" s="7">
        <v>19440</v>
      </c>
      <c r="AG124" s="3">
        <f>2506.7-320.1</f>
        <v>2186.6</v>
      </c>
      <c r="AI124" s="9">
        <v>17920</v>
      </c>
      <c r="AJ124" s="3">
        <f>2412.54-308.07</f>
        <v>2104.4699999999998</v>
      </c>
      <c r="AL124" s="2">
        <f t="shared" si="4"/>
        <v>260320</v>
      </c>
      <c r="AM124" s="5">
        <f t="shared" si="5"/>
        <v>25545.729999999996</v>
      </c>
    </row>
    <row r="125" spans="1:39" x14ac:dyDescent="0.25">
      <c r="A125" s="11">
        <v>122</v>
      </c>
      <c r="B125" s="7">
        <v>3900</v>
      </c>
      <c r="C125" s="3">
        <f>483.86-40.69</f>
        <v>443.17</v>
      </c>
      <c r="E125" s="7">
        <v>3400</v>
      </c>
      <c r="F125" s="3">
        <f>467.76-39.33</f>
        <v>428.43</v>
      </c>
      <c r="H125" s="7">
        <v>3600</v>
      </c>
      <c r="I125" s="3">
        <f>434.39-36.53</f>
        <v>397.86</v>
      </c>
      <c r="K125" s="7">
        <v>4300</v>
      </c>
      <c r="L125" s="3">
        <f>505.41-42.5</f>
        <v>462.91</v>
      </c>
      <c r="N125" s="7">
        <v>3600</v>
      </c>
      <c r="O125" s="3">
        <f>454.1-38.18</f>
        <v>415.92</v>
      </c>
      <c r="Q125" s="9">
        <v>3800</v>
      </c>
      <c r="R125" s="3">
        <f>477.43-40.14</f>
        <v>437.29</v>
      </c>
      <c r="T125" s="9">
        <v>5000</v>
      </c>
      <c r="U125" s="3">
        <f>628.62-52.85</f>
        <v>575.77</v>
      </c>
      <c r="W125" s="7">
        <v>6400</v>
      </c>
      <c r="X125" s="3">
        <f>715.34-60.15</f>
        <v>655.19000000000005</v>
      </c>
      <c r="Z125" s="9">
        <v>6300</v>
      </c>
      <c r="AA125" s="3">
        <f>670.04-56.34</f>
        <v>613.69999999999993</v>
      </c>
      <c r="AC125" s="9">
        <v>5400</v>
      </c>
      <c r="AD125" s="3">
        <f>617.31-51.9</f>
        <v>565.41</v>
      </c>
      <c r="AF125" s="7">
        <v>5800</v>
      </c>
      <c r="AG125" s="3">
        <f>745.28-62.67</f>
        <v>682.61</v>
      </c>
      <c r="AI125" s="9">
        <v>5100</v>
      </c>
      <c r="AJ125" s="3">
        <f>688.79-57.92</f>
        <v>630.87</v>
      </c>
      <c r="AL125" s="2">
        <f t="shared" si="4"/>
        <v>56600</v>
      </c>
      <c r="AM125" s="5">
        <f t="shared" si="5"/>
        <v>6309.1299999999992</v>
      </c>
    </row>
    <row r="126" spans="1:39" x14ac:dyDescent="0.25">
      <c r="A126" s="11">
        <v>123</v>
      </c>
      <c r="B126" s="7">
        <v>1080</v>
      </c>
      <c r="C126" s="3">
        <f>253.16-21.29</f>
        <v>231.87</v>
      </c>
      <c r="E126" s="7">
        <v>1260</v>
      </c>
      <c r="F126" s="3">
        <f>274.3-23.07</f>
        <v>251.23000000000002</v>
      </c>
      <c r="H126" s="7">
        <v>1260</v>
      </c>
      <c r="I126" s="3">
        <f>276.58-23.26</f>
        <v>253.32</v>
      </c>
      <c r="K126" s="7">
        <v>1080</v>
      </c>
      <c r="L126" s="3">
        <f>260.88-21.94</f>
        <v>238.94</v>
      </c>
      <c r="N126" s="7">
        <v>900</v>
      </c>
      <c r="O126" s="3">
        <f>225.88-19</f>
        <v>206.88</v>
      </c>
      <c r="Q126" s="9">
        <v>540</v>
      </c>
      <c r="R126" s="3">
        <f>163.38-13.74</f>
        <v>149.63999999999999</v>
      </c>
      <c r="T126" s="9">
        <v>360</v>
      </c>
      <c r="U126" s="3">
        <f>124.77-10.49</f>
        <v>114.28</v>
      </c>
      <c r="W126" s="7">
        <v>360</v>
      </c>
      <c r="X126" s="3">
        <f>120.44-10.13</f>
        <v>110.31</v>
      </c>
      <c r="Z126" s="9">
        <v>180</v>
      </c>
      <c r="AA126" s="3">
        <f>105.34-8.85</f>
        <v>96.490000000000009</v>
      </c>
      <c r="AC126" s="9">
        <v>360</v>
      </c>
      <c r="AD126" s="3">
        <f>121.58-10.22</f>
        <v>111.36</v>
      </c>
      <c r="AF126" s="7">
        <v>540</v>
      </c>
      <c r="AG126" s="3">
        <f>112.04-9.42</f>
        <v>102.62</v>
      </c>
      <c r="AI126" s="9">
        <v>540</v>
      </c>
      <c r="AJ126" s="3">
        <f>116.53-9.8</f>
        <v>106.73</v>
      </c>
      <c r="AL126" s="2">
        <f t="shared" si="4"/>
        <v>8460</v>
      </c>
      <c r="AM126" s="5">
        <f t="shared" si="5"/>
        <v>1973.67</v>
      </c>
    </row>
    <row r="127" spans="1:39" x14ac:dyDescent="0.25">
      <c r="A127" s="11">
        <v>124</v>
      </c>
      <c r="B127" s="7">
        <f>9280+120</f>
        <v>9400</v>
      </c>
      <c r="C127" s="3">
        <f>1239.24-104.2</f>
        <v>1135.04</v>
      </c>
      <c r="E127" s="7">
        <f>12000+120</f>
        <v>12120</v>
      </c>
      <c r="F127" s="3">
        <f>1606.71-135.1</f>
        <v>1471.6100000000001</v>
      </c>
      <c r="H127" s="7">
        <f>13280+120</f>
        <v>13400</v>
      </c>
      <c r="I127" s="3">
        <f>1533.72-128.95</f>
        <v>1404.77</v>
      </c>
      <c r="K127" s="7">
        <f>10720+120</f>
        <v>10840</v>
      </c>
      <c r="L127" s="3">
        <f>1354.78-113.92</f>
        <v>1240.8599999999999</v>
      </c>
      <c r="N127" s="7">
        <f>8320+120</f>
        <v>8440</v>
      </c>
      <c r="O127" s="3">
        <f>1033.51-86.9</f>
        <v>946.61</v>
      </c>
      <c r="Q127" s="9">
        <f>7840+120</f>
        <v>7960</v>
      </c>
      <c r="R127" s="3">
        <f>1005.49-84.54</f>
        <v>920.95</v>
      </c>
      <c r="T127" s="9">
        <f>8320+120</f>
        <v>8440</v>
      </c>
      <c r="U127" s="3">
        <f>1139.87-95.84</f>
        <v>1044.03</v>
      </c>
      <c r="W127" s="7">
        <f>12480+120</f>
        <v>12600</v>
      </c>
      <c r="X127" s="3">
        <f>1413.13-118.82</f>
        <v>1294.3100000000002</v>
      </c>
      <c r="Z127" s="9">
        <f>15680+120</f>
        <v>15800</v>
      </c>
      <c r="AA127" s="3">
        <f>1595.11-134.12</f>
        <v>1460.9899999999998</v>
      </c>
      <c r="AC127" s="9">
        <f>12800+120</f>
        <v>12920</v>
      </c>
      <c r="AD127" s="3">
        <f>1406.38-118.25</f>
        <v>1288.1300000000001</v>
      </c>
      <c r="AF127" s="7">
        <f>9920+120</f>
        <v>10040</v>
      </c>
      <c r="AG127" s="3">
        <f>1289.46-108.42</f>
        <v>1181.04</v>
      </c>
      <c r="AI127" s="9">
        <f>7520+120</f>
        <v>7640</v>
      </c>
      <c r="AJ127" s="3">
        <f>1042.55-87.66</f>
        <v>954.89</v>
      </c>
      <c r="AL127" s="2">
        <f t="shared" si="4"/>
        <v>129600</v>
      </c>
      <c r="AM127" s="5">
        <f t="shared" si="5"/>
        <v>14343.23</v>
      </c>
    </row>
    <row r="128" spans="1:39" x14ac:dyDescent="0.25">
      <c r="A128" s="11">
        <v>125</v>
      </c>
      <c r="B128" s="7">
        <v>2600</v>
      </c>
      <c r="C128" s="3">
        <f>425.67-35.79</f>
        <v>389.88</v>
      </c>
      <c r="E128" s="7">
        <v>3300</v>
      </c>
      <c r="F128" s="3">
        <f>526.17-44.24</f>
        <v>481.92999999999995</v>
      </c>
      <c r="H128" s="7">
        <v>4800</v>
      </c>
      <c r="I128" s="3">
        <f>600.47-50.49</f>
        <v>549.98</v>
      </c>
      <c r="K128" s="7">
        <v>4400</v>
      </c>
      <c r="L128" s="3">
        <f>608.97-51.2</f>
        <v>557.77</v>
      </c>
      <c r="N128" s="7">
        <v>3100</v>
      </c>
      <c r="O128" s="3">
        <f>513.92-43.21</f>
        <v>470.71</v>
      </c>
      <c r="Q128" s="9">
        <v>2300</v>
      </c>
      <c r="R128" s="3">
        <f>446.68-37.55</f>
        <v>409.13</v>
      </c>
      <c r="T128" s="9">
        <v>2000</v>
      </c>
      <c r="U128" s="3">
        <f>436.69-36.72</f>
        <v>399.97</v>
      </c>
      <c r="W128" s="7">
        <v>1900</v>
      </c>
      <c r="X128" s="3">
        <f>413.52-34.77</f>
        <v>378.75</v>
      </c>
      <c r="Z128" s="9">
        <v>2400</v>
      </c>
      <c r="AA128" s="3">
        <f>327.44-27.53</f>
        <v>299.90999999999997</v>
      </c>
      <c r="AC128" s="9">
        <v>2200</v>
      </c>
      <c r="AD128" s="3">
        <f>321.75-27.05</f>
        <v>294.7</v>
      </c>
      <c r="AF128" s="7">
        <v>2100</v>
      </c>
      <c r="AG128" s="3">
        <f>299.84-25.21</f>
        <v>274.63</v>
      </c>
      <c r="AI128" s="9">
        <v>1900</v>
      </c>
      <c r="AJ128" s="3">
        <f>287.21-24.15</f>
        <v>263.06</v>
      </c>
      <c r="AL128" s="2">
        <f t="shared" si="4"/>
        <v>33000</v>
      </c>
      <c r="AM128" s="5">
        <f t="shared" si="5"/>
        <v>4770.42</v>
      </c>
    </row>
    <row r="129" spans="1:39" x14ac:dyDescent="0.25">
      <c r="A129" s="11">
        <v>126</v>
      </c>
      <c r="B129" s="7">
        <v>2300</v>
      </c>
      <c r="C129" s="3">
        <f>460.23-38.7</f>
        <v>421.53000000000003</v>
      </c>
      <c r="E129" s="7">
        <v>2500</v>
      </c>
      <c r="F129" s="3">
        <f>513.34-43.17</f>
        <v>470.17</v>
      </c>
      <c r="H129" s="7">
        <v>2700</v>
      </c>
      <c r="I129" s="3">
        <f>479.19-40.29</f>
        <v>438.9</v>
      </c>
      <c r="K129" s="7">
        <v>3600</v>
      </c>
      <c r="L129" s="3">
        <f>568.1-47.77</f>
        <v>520.33000000000004</v>
      </c>
      <c r="N129" s="7">
        <v>2700</v>
      </c>
      <c r="O129" s="3">
        <f>509.66-42.85</f>
        <v>466.81</v>
      </c>
      <c r="Q129" s="9">
        <v>2800</v>
      </c>
      <c r="R129" s="3">
        <f>488.51-41.07</f>
        <v>447.44</v>
      </c>
      <c r="T129" s="9">
        <v>2200</v>
      </c>
      <c r="U129" s="3">
        <f>453.55-38.13</f>
        <v>415.42</v>
      </c>
      <c r="W129" s="7">
        <v>2000</v>
      </c>
      <c r="X129" s="3">
        <f>395.84-33.29</f>
        <v>362.54999999999995</v>
      </c>
      <c r="Z129" s="9">
        <v>2400</v>
      </c>
      <c r="AA129" s="3">
        <f>435.18-36.59</f>
        <v>398.59000000000003</v>
      </c>
      <c r="AC129" s="9">
        <v>2400</v>
      </c>
      <c r="AD129" s="3">
        <f>419.41-35.26</f>
        <v>384.15000000000003</v>
      </c>
      <c r="AF129" s="7">
        <v>2100</v>
      </c>
      <c r="AG129" s="3">
        <f>299.84-25.21</f>
        <v>274.63</v>
      </c>
      <c r="AI129" s="9">
        <v>2100</v>
      </c>
      <c r="AJ129" s="3">
        <f>312.29-26.26</f>
        <v>286.03000000000003</v>
      </c>
      <c r="AL129" s="2">
        <f t="shared" si="4"/>
        <v>29800</v>
      </c>
      <c r="AM129" s="5">
        <f t="shared" si="5"/>
        <v>4886.5499999999993</v>
      </c>
    </row>
    <row r="130" spans="1:39" x14ac:dyDescent="0.25">
      <c r="A130" s="11">
        <v>127</v>
      </c>
      <c r="B130" s="7">
        <v>1600</v>
      </c>
      <c r="C130" s="3">
        <f>354.81-29.83</f>
        <v>324.98</v>
      </c>
      <c r="E130" s="7">
        <v>1800</v>
      </c>
      <c r="F130" s="3">
        <f>392.8-33.02</f>
        <v>359.78000000000003</v>
      </c>
      <c r="H130" s="7">
        <v>1300</v>
      </c>
      <c r="I130" s="3">
        <f>322.83-27.14</f>
        <v>295.69</v>
      </c>
      <c r="K130" s="7">
        <v>1400</v>
      </c>
      <c r="L130" s="3">
        <f>314.34-26.43</f>
        <v>287.90999999999997</v>
      </c>
      <c r="N130" s="7">
        <v>1300</v>
      </c>
      <c r="O130" s="3">
        <f>314.6-26.45</f>
        <v>288.15000000000003</v>
      </c>
      <c r="Q130" s="9">
        <v>1700</v>
      </c>
      <c r="R130" s="3">
        <f>350.52-29.47</f>
        <v>321.04999999999995</v>
      </c>
      <c r="T130" s="9">
        <v>1500</v>
      </c>
      <c r="U130" s="3">
        <f>341.59-28.73</f>
        <v>312.85999999999996</v>
      </c>
      <c r="W130" s="7">
        <v>1600</v>
      </c>
      <c r="X130" s="3">
        <f>327.94-27.57</f>
        <v>300.37</v>
      </c>
      <c r="Z130" s="9">
        <v>1700</v>
      </c>
      <c r="AA130" s="3">
        <f>322.19-27.09</f>
        <v>295.10000000000002</v>
      </c>
      <c r="AC130" s="9">
        <v>1500</v>
      </c>
      <c r="AD130" s="3">
        <f>305.86-25.71</f>
        <v>280.15000000000003</v>
      </c>
      <c r="AF130" s="7">
        <v>1600</v>
      </c>
      <c r="AG130" s="3">
        <f>239.63-20.14</f>
        <v>219.49</v>
      </c>
      <c r="AI130" s="9">
        <v>1300</v>
      </c>
      <c r="AJ130" s="3">
        <f>211.9-17.81</f>
        <v>194.09</v>
      </c>
      <c r="AL130" s="2">
        <f t="shared" si="4"/>
        <v>18300</v>
      </c>
      <c r="AM130" s="5">
        <f t="shared" si="5"/>
        <v>3479.62</v>
      </c>
    </row>
    <row r="131" spans="1:39" x14ac:dyDescent="0.25">
      <c r="A131" s="11">
        <v>128</v>
      </c>
      <c r="B131" s="7">
        <v>5200</v>
      </c>
      <c r="C131" s="3">
        <f>630.94-18.38</f>
        <v>612.56000000000006</v>
      </c>
      <c r="E131" s="7">
        <v>6160</v>
      </c>
      <c r="F131" s="3">
        <f>781.4-22.76</f>
        <v>758.64</v>
      </c>
      <c r="H131" s="7">
        <v>8160</v>
      </c>
      <c r="I131" s="3">
        <f>865.7-25.21</f>
        <v>840.49</v>
      </c>
      <c r="K131" s="7">
        <v>7760</v>
      </c>
      <c r="L131" s="3">
        <f>838.96-24.44</f>
        <v>814.52</v>
      </c>
      <c r="N131" s="7">
        <v>7360</v>
      </c>
      <c r="O131" s="3">
        <f>813.37-23.69</f>
        <v>789.68</v>
      </c>
      <c r="Q131" s="9">
        <v>6240</v>
      </c>
      <c r="R131" s="3">
        <f>762.69-22.21</f>
        <v>740.48</v>
      </c>
      <c r="T131" s="9">
        <v>6960</v>
      </c>
      <c r="U131" s="3">
        <f>825.82-24.05</f>
        <v>801.7700000000001</v>
      </c>
      <c r="W131" s="7">
        <v>7200</v>
      </c>
      <c r="X131" s="3">
        <f>814.48-23.72</f>
        <v>790.76</v>
      </c>
      <c r="Z131" s="9">
        <v>8800</v>
      </c>
      <c r="AA131" s="3">
        <f>879.09-25.6</f>
        <v>853.49</v>
      </c>
      <c r="AC131" s="9">
        <v>7440</v>
      </c>
      <c r="AD131" s="3">
        <f>805.66-23.47</f>
        <v>782.18999999999994</v>
      </c>
      <c r="AF131" s="7">
        <v>6800</v>
      </c>
      <c r="AG131" s="3">
        <f>816.67-23.79</f>
        <v>792.88</v>
      </c>
      <c r="AI131" s="9">
        <v>6240</v>
      </c>
      <c r="AJ131" s="3">
        <f>784.77-22.86</f>
        <v>761.91</v>
      </c>
      <c r="AL131" s="2">
        <f t="shared" si="4"/>
        <v>84320</v>
      </c>
      <c r="AM131" s="5">
        <f t="shared" si="5"/>
        <v>9339.369999999999</v>
      </c>
    </row>
    <row r="132" spans="1:39" x14ac:dyDescent="0.25">
      <c r="A132" s="11">
        <v>129</v>
      </c>
      <c r="B132" s="7">
        <v>0</v>
      </c>
      <c r="C132" s="3">
        <f>89.65-11.44</f>
        <v>78.210000000000008</v>
      </c>
      <c r="E132" s="7">
        <v>0</v>
      </c>
      <c r="F132" s="3">
        <f>91.27-11.66</f>
        <v>79.61</v>
      </c>
      <c r="H132" s="7">
        <v>0</v>
      </c>
      <c r="I132" s="3">
        <f>91.44-11.68</f>
        <v>79.759999999999991</v>
      </c>
      <c r="K132" s="7">
        <v>0</v>
      </c>
      <c r="L132" s="3">
        <f>91.31-11.66</f>
        <v>79.650000000000006</v>
      </c>
      <c r="N132" s="7">
        <v>0</v>
      </c>
      <c r="O132" s="3">
        <f>88.87-11.35</f>
        <v>77.52000000000001</v>
      </c>
      <c r="Q132" s="9">
        <v>0</v>
      </c>
      <c r="R132" s="3">
        <f>88.65-11.33</f>
        <v>77.320000000000007</v>
      </c>
      <c r="T132" s="9">
        <v>0</v>
      </c>
      <c r="U132" s="3">
        <f>90.12-11.51</f>
        <v>78.61</v>
      </c>
      <c r="W132" s="7">
        <v>0</v>
      </c>
      <c r="X132" s="3">
        <f>90.31-11.53</f>
        <v>78.78</v>
      </c>
      <c r="Z132" s="9">
        <v>0</v>
      </c>
      <c r="AA132" s="3">
        <f>89.28-11.39</f>
        <v>77.89</v>
      </c>
      <c r="AC132" s="9">
        <v>0</v>
      </c>
      <c r="AD132" s="3">
        <f>88.87-11.35</f>
        <v>77.52000000000001</v>
      </c>
      <c r="AF132" s="7">
        <v>0</v>
      </c>
      <c r="AG132" s="3">
        <f>74.07-9.46</f>
        <v>64.609999999999985</v>
      </c>
      <c r="AI132" s="9">
        <v>0</v>
      </c>
      <c r="AJ132" s="3">
        <f>76.79-9.81</f>
        <v>66.98</v>
      </c>
      <c r="AL132" s="2">
        <f t="shared" si="4"/>
        <v>0</v>
      </c>
      <c r="AM132" s="5">
        <f t="shared" si="5"/>
        <v>916.45999999999992</v>
      </c>
    </row>
    <row r="133" spans="1:39" x14ac:dyDescent="0.25">
      <c r="A133" s="11">
        <v>130</v>
      </c>
      <c r="B133" s="7">
        <f>353+90</f>
        <v>443</v>
      </c>
      <c r="C133" s="3">
        <f>176.79-14.87</f>
        <v>161.91999999999999</v>
      </c>
      <c r="E133" s="7">
        <f>150+90</f>
        <v>240</v>
      </c>
      <c r="F133" s="3">
        <f>157.89-13.28</f>
        <v>144.60999999999999</v>
      </c>
      <c r="H133" s="7">
        <f>99+90</f>
        <v>189</v>
      </c>
      <c r="I133" s="3">
        <f>139.67-11.75</f>
        <v>127.91999999999999</v>
      </c>
      <c r="K133" s="7">
        <f>146+90</f>
        <v>236</v>
      </c>
      <c r="L133" s="3">
        <f>148.11-12.45</f>
        <v>135.66000000000003</v>
      </c>
      <c r="N133" s="7">
        <f>107+90</f>
        <v>197</v>
      </c>
      <c r="O133" s="3">
        <f>141.63-11.91</f>
        <v>129.72</v>
      </c>
      <c r="Q133" s="9">
        <f>114+90</f>
        <v>204</v>
      </c>
      <c r="R133" s="3">
        <f>141.25-11.88</f>
        <v>129.37</v>
      </c>
      <c r="T133" s="9">
        <f>166+90</f>
        <v>256</v>
      </c>
      <c r="U133" s="3">
        <f>159.6-13.42</f>
        <v>146.18</v>
      </c>
      <c r="W133" s="7">
        <f>204+90</f>
        <v>294</v>
      </c>
      <c r="X133" s="3">
        <f>154.33-12.98</f>
        <v>141.35000000000002</v>
      </c>
      <c r="Z133" s="9">
        <f>243+90</f>
        <v>333</v>
      </c>
      <c r="AA133" s="3">
        <f>162.45-13.66</f>
        <v>148.79</v>
      </c>
      <c r="AC133" s="9">
        <f>73+90</f>
        <v>163</v>
      </c>
      <c r="AD133" s="3">
        <f>132.46-11.14</f>
        <v>121.32000000000001</v>
      </c>
      <c r="AF133" s="7">
        <f>94+90</f>
        <v>184</v>
      </c>
      <c r="AG133" s="3">
        <f>99.65-8.38</f>
        <v>91.27000000000001</v>
      </c>
      <c r="AI133" s="9">
        <f>172+90</f>
        <v>262</v>
      </c>
      <c r="AJ133" s="3">
        <f>104.91-8.82</f>
        <v>96.09</v>
      </c>
      <c r="AL133" s="2">
        <f t="shared" si="4"/>
        <v>3001</v>
      </c>
      <c r="AM133" s="5">
        <f t="shared" si="5"/>
        <v>1574.1999999999998</v>
      </c>
    </row>
    <row r="134" spans="1:39" x14ac:dyDescent="0.25">
      <c r="A134" s="11">
        <v>131</v>
      </c>
      <c r="B134" s="7">
        <f>10160+23</f>
        <v>10183</v>
      </c>
      <c r="C134" s="3">
        <f>1227.48-103.21</f>
        <v>1124.27</v>
      </c>
      <c r="E134" s="7">
        <f>10320+23</f>
        <v>10343</v>
      </c>
      <c r="F134" s="3">
        <f>1333.03-112.08</f>
        <v>1220.95</v>
      </c>
      <c r="H134" s="7">
        <f>11440+23</f>
        <v>11463</v>
      </c>
      <c r="I134" s="3">
        <f>1280.38-107.65</f>
        <v>1172.73</v>
      </c>
      <c r="K134" s="7">
        <f>10560+23</f>
        <v>10583</v>
      </c>
      <c r="L134" s="3">
        <f>1232.22-103.61</f>
        <v>1128.6100000000001</v>
      </c>
      <c r="N134" s="7">
        <f>10640+23</f>
        <v>10663</v>
      </c>
      <c r="O134" s="3">
        <f>1277.75-107.44</f>
        <v>1170.31</v>
      </c>
      <c r="Q134" s="9">
        <f>8720+23</f>
        <v>8743</v>
      </c>
      <c r="R134" s="3">
        <f>1161.63-97.67</f>
        <v>1063.96</v>
      </c>
      <c r="T134" s="9">
        <f>8320+23</f>
        <v>8343</v>
      </c>
      <c r="U134" s="3">
        <f>1211.9-101.9</f>
        <v>1110</v>
      </c>
      <c r="W134" s="7">
        <f>10160+23</f>
        <v>10183</v>
      </c>
      <c r="X134" s="3">
        <f>1274.51-107.16</f>
        <v>1167.3499999999999</v>
      </c>
      <c r="Z134" s="9">
        <f>13760+23</f>
        <v>13783</v>
      </c>
      <c r="AA134" s="3">
        <f>1574.41-132.38</f>
        <v>1442.0300000000002</v>
      </c>
      <c r="AC134" s="9">
        <f>8800+23</f>
        <v>8823</v>
      </c>
      <c r="AD134" s="3">
        <f>1179.03-99.14</f>
        <v>1079.8899999999999</v>
      </c>
      <c r="AF134" s="7">
        <f>8960+23</f>
        <v>8983</v>
      </c>
      <c r="AG134" s="3">
        <f>1142.67-96.08</f>
        <v>1046.5900000000001</v>
      </c>
      <c r="AI134" s="9">
        <f>9680+23</f>
        <v>9703</v>
      </c>
      <c r="AJ134" s="3">
        <f>1281.19-107.72</f>
        <v>1173.47</v>
      </c>
      <c r="AL134" s="2">
        <f t="shared" si="4"/>
        <v>121796</v>
      </c>
      <c r="AM134" s="5">
        <f t="shared" si="5"/>
        <v>13900.16</v>
      </c>
    </row>
    <row r="135" spans="1:39" x14ac:dyDescent="0.25">
      <c r="A135" s="11">
        <v>132</v>
      </c>
      <c r="B135" s="7">
        <v>300</v>
      </c>
      <c r="C135" s="3">
        <f>114.43-9.62</f>
        <v>104.81</v>
      </c>
      <c r="E135" s="7">
        <v>300</v>
      </c>
      <c r="F135" s="3">
        <f>118.41-9.95</f>
        <v>108.46</v>
      </c>
      <c r="H135" s="7">
        <v>400</v>
      </c>
      <c r="I135" s="3">
        <f>121.8-10.24</f>
        <v>111.56</v>
      </c>
      <c r="K135" s="7">
        <v>300</v>
      </c>
      <c r="L135" s="3">
        <f>114.49-9.63</f>
        <v>104.86</v>
      </c>
      <c r="N135" s="7">
        <v>300</v>
      </c>
      <c r="O135" s="3">
        <f>113.46-9.54</f>
        <v>103.91999999999999</v>
      </c>
      <c r="Q135" s="9">
        <v>300</v>
      </c>
      <c r="R135" s="3">
        <f>113.27-9.52</f>
        <v>103.75</v>
      </c>
      <c r="T135" s="9">
        <v>400</v>
      </c>
      <c r="U135" s="3">
        <f>125.28-10.53</f>
        <v>114.75</v>
      </c>
      <c r="W135" s="7">
        <v>300</v>
      </c>
      <c r="X135" s="3">
        <f>143.85-12.09</f>
        <v>131.76</v>
      </c>
      <c r="Z135" s="9">
        <v>300</v>
      </c>
      <c r="AA135" s="3">
        <f>111.32-9.36</f>
        <v>101.96</v>
      </c>
      <c r="AC135" s="9">
        <v>300</v>
      </c>
      <c r="AD135" s="3">
        <f>112.13-9.43</f>
        <v>102.69999999999999</v>
      </c>
      <c r="AF135" s="7">
        <v>300</v>
      </c>
      <c r="AG135" s="3">
        <f>83.15-6.99</f>
        <v>76.160000000000011</v>
      </c>
      <c r="AI135" s="9">
        <v>300</v>
      </c>
      <c r="AJ135" s="3">
        <f>86.4-7.26</f>
        <v>79.14</v>
      </c>
      <c r="AL135" s="2">
        <f t="shared" si="4"/>
        <v>3800</v>
      </c>
      <c r="AM135" s="5">
        <f t="shared" si="5"/>
        <v>1243.8300000000002</v>
      </c>
    </row>
    <row r="136" spans="1:39" x14ac:dyDescent="0.25">
      <c r="A136" s="11">
        <v>133</v>
      </c>
      <c r="B136" s="7">
        <f>7917+45</f>
        <v>7962</v>
      </c>
      <c r="C136" s="3">
        <f>964.14-81.06</f>
        <v>883.07999999999993</v>
      </c>
      <c r="E136" s="7">
        <f>8578+45</f>
        <v>8623</v>
      </c>
      <c r="F136" s="3">
        <f>1107.32-93.11</f>
        <v>1014.2099999999999</v>
      </c>
      <c r="H136" s="7">
        <f>10048+45</f>
        <v>10093</v>
      </c>
      <c r="I136" s="3">
        <f>1127.9-94.83</f>
        <v>1033.0700000000002</v>
      </c>
      <c r="K136" s="7">
        <f>9644+45</f>
        <v>9689</v>
      </c>
      <c r="L136" s="3">
        <f>1111.78-93.48</f>
        <v>1018.3</v>
      </c>
      <c r="N136" s="7">
        <f>8647+45</f>
        <v>8692</v>
      </c>
      <c r="O136" s="3">
        <f>1027.01-86.35</f>
        <v>940.66</v>
      </c>
      <c r="Q136" s="9">
        <f>7104+45</f>
        <v>7149</v>
      </c>
      <c r="R136" s="3">
        <f>874.74-73.55</f>
        <v>801.19</v>
      </c>
      <c r="T136" s="9">
        <f>6844+45</f>
        <v>6889</v>
      </c>
      <c r="U136" s="3">
        <f>894.98-75.25</f>
        <v>819.73</v>
      </c>
      <c r="W136" s="7">
        <f>6346+45</f>
        <v>6391</v>
      </c>
      <c r="X136" s="3">
        <f>758.36-63.77</f>
        <v>694.59</v>
      </c>
      <c r="Z136" s="9">
        <f>5933+45</f>
        <v>5978</v>
      </c>
      <c r="AA136" s="3">
        <f>672.65-56.55</f>
        <v>616.1</v>
      </c>
      <c r="AC136" s="9">
        <f>5667+45</f>
        <v>5712</v>
      </c>
      <c r="AD136" s="3">
        <f>695.21-58.45</f>
        <v>636.76</v>
      </c>
      <c r="AF136" s="7">
        <f>6293+45</f>
        <v>6338</v>
      </c>
      <c r="AG136" s="3">
        <f>818.34-68.81</f>
        <v>749.53</v>
      </c>
      <c r="AI136" s="9">
        <f>6740+45</f>
        <v>6785</v>
      </c>
      <c r="AJ136" s="3">
        <f>908.85-76.41</f>
        <v>832.44</v>
      </c>
      <c r="AL136" s="2">
        <f t="shared" si="4"/>
        <v>90301</v>
      </c>
      <c r="AM136" s="5">
        <f t="shared" si="5"/>
        <v>10039.660000000002</v>
      </c>
    </row>
    <row r="137" spans="1:39" x14ac:dyDescent="0.25">
      <c r="A137" s="11">
        <v>134</v>
      </c>
      <c r="B137" s="7">
        <v>3500</v>
      </c>
      <c r="C137" s="3">
        <f>674.16-56.68</f>
        <v>617.48</v>
      </c>
      <c r="E137" s="7">
        <v>2900</v>
      </c>
      <c r="F137" s="3">
        <f>778.18-65.43</f>
        <v>712.75</v>
      </c>
      <c r="H137" s="7">
        <v>3900</v>
      </c>
      <c r="I137" s="3">
        <f>732.39-61.58</f>
        <v>670.81</v>
      </c>
      <c r="K137" s="7">
        <v>3100</v>
      </c>
      <c r="L137" s="3">
        <f>603.08-50.71</f>
        <v>552.37</v>
      </c>
      <c r="N137" s="7">
        <v>3600</v>
      </c>
      <c r="O137" s="3">
        <f>697.73-58.66</f>
        <v>639.07000000000005</v>
      </c>
      <c r="Q137" s="9">
        <v>3100</v>
      </c>
      <c r="R137" s="3">
        <f>649.66-54.62</f>
        <v>595.04</v>
      </c>
      <c r="T137" s="9">
        <v>3200</v>
      </c>
      <c r="U137" s="3">
        <f>681.93-57.34</f>
        <v>624.58999999999992</v>
      </c>
      <c r="W137" s="7">
        <v>2900</v>
      </c>
      <c r="X137" s="3">
        <f>717.56-60.34</f>
        <v>657.21999999999991</v>
      </c>
      <c r="Z137" s="9">
        <v>2900</v>
      </c>
      <c r="AA137" s="3">
        <f>773.24-65.02</f>
        <v>708.22</v>
      </c>
      <c r="AC137" s="9">
        <v>3300</v>
      </c>
      <c r="AD137" s="3">
        <f>734.25-61.74</f>
        <v>672.51</v>
      </c>
      <c r="AF137" s="7">
        <v>3400</v>
      </c>
      <c r="AG137" s="3">
        <f>456.35-38.37</f>
        <v>417.98</v>
      </c>
      <c r="AI137" s="9">
        <v>3400</v>
      </c>
      <c r="AJ137" s="3">
        <f>475.44-39.97</f>
        <v>435.47</v>
      </c>
      <c r="AL137" s="2">
        <f t="shared" si="4"/>
        <v>39200</v>
      </c>
      <c r="AM137" s="5">
        <f t="shared" si="5"/>
        <v>7303.5100000000011</v>
      </c>
    </row>
    <row r="138" spans="1:39" x14ac:dyDescent="0.25">
      <c r="A138" s="11">
        <v>135</v>
      </c>
      <c r="B138" s="7">
        <f>3400+46</f>
        <v>3446</v>
      </c>
      <c r="C138" s="3">
        <f>559.16-21.29</f>
        <v>537.87</v>
      </c>
      <c r="E138" s="7">
        <f>3720+46</f>
        <v>3766</v>
      </c>
      <c r="F138" s="3">
        <f>618.6-23.02</f>
        <v>595.58000000000004</v>
      </c>
      <c r="H138" s="7">
        <f>4720+46</f>
        <v>4766</v>
      </c>
      <c r="I138" s="3">
        <f>670.33-24.52</f>
        <v>645.81000000000006</v>
      </c>
      <c r="K138" s="7">
        <f>4680+46</f>
        <v>4726</v>
      </c>
      <c r="L138" s="3">
        <f>684.35-24.93</f>
        <v>659.42000000000007</v>
      </c>
      <c r="N138" s="7">
        <f>3640+46</f>
        <v>3686</v>
      </c>
      <c r="O138" s="3">
        <f>569.72-21.59</f>
        <v>548.13</v>
      </c>
      <c r="Q138" s="9">
        <f>3400+46</f>
        <v>3446</v>
      </c>
      <c r="R138" s="3">
        <f>625.89-23.23</f>
        <v>602.66</v>
      </c>
      <c r="T138" s="9">
        <f>4440+46</f>
        <v>4486</v>
      </c>
      <c r="U138" s="3">
        <f>803.02-28.39</f>
        <v>774.63</v>
      </c>
      <c r="W138" s="7">
        <f>5400+46</f>
        <v>5446</v>
      </c>
      <c r="X138" s="3">
        <f>799.1-28.27</f>
        <v>770.83</v>
      </c>
      <c r="Z138" s="9">
        <f>9360+46</f>
        <v>9406</v>
      </c>
      <c r="AA138" s="3">
        <f>1145.77-38.37</f>
        <v>1107.4000000000001</v>
      </c>
      <c r="AC138" s="9">
        <f>5760+46</f>
        <v>5806</v>
      </c>
      <c r="AD138" s="3">
        <f>1044.85-35.43</f>
        <v>1009.42</v>
      </c>
      <c r="AF138" s="7">
        <f>5440+46</f>
        <v>5486</v>
      </c>
      <c r="AG138" s="3">
        <f>699.38-25.37</f>
        <v>674.01</v>
      </c>
      <c r="AI138" s="9">
        <f>4080+46</f>
        <v>4126</v>
      </c>
      <c r="AJ138" s="3">
        <f>567.44-21.53</f>
        <v>545.91000000000008</v>
      </c>
      <c r="AL138" s="2">
        <f t="shared" si="4"/>
        <v>58592</v>
      </c>
      <c r="AM138" s="5">
        <f t="shared" si="5"/>
        <v>8471.67</v>
      </c>
    </row>
    <row r="139" spans="1:39" x14ac:dyDescent="0.25">
      <c r="A139" s="11">
        <v>136</v>
      </c>
      <c r="B139" s="7">
        <v>5720</v>
      </c>
      <c r="C139" s="3">
        <f>728.09-21.21</f>
        <v>706.88</v>
      </c>
      <c r="E139" s="7">
        <v>5880</v>
      </c>
      <c r="F139" s="3">
        <f>800.8-23.32</f>
        <v>777.4799999999999</v>
      </c>
      <c r="H139" s="7">
        <v>6600</v>
      </c>
      <c r="I139" s="3">
        <f>775.59-22.59</f>
        <v>753</v>
      </c>
      <c r="K139" s="7">
        <v>6600</v>
      </c>
      <c r="L139" s="3">
        <f>789.46-22.99</f>
        <v>766.47</v>
      </c>
      <c r="N139" s="7">
        <v>5720</v>
      </c>
      <c r="O139" s="3">
        <f>729.17-21.24</f>
        <v>707.93</v>
      </c>
      <c r="Q139" s="9">
        <v>5080</v>
      </c>
      <c r="R139" s="3">
        <f>651.3-18.97</f>
        <v>632.32999999999993</v>
      </c>
      <c r="T139" s="9">
        <v>4800</v>
      </c>
      <c r="U139" s="3">
        <f>691.77-20.15</f>
        <v>671.62</v>
      </c>
      <c r="W139" s="7">
        <v>4840</v>
      </c>
      <c r="X139" s="3">
        <f>611.82-17.82</f>
        <v>594</v>
      </c>
      <c r="Z139" s="9">
        <v>5080</v>
      </c>
      <c r="AA139" s="3">
        <f>604.1-17.6</f>
        <v>586.5</v>
      </c>
      <c r="AC139" s="9">
        <v>4800</v>
      </c>
      <c r="AD139" s="3">
        <f>593.66-17.29</f>
        <v>576.37</v>
      </c>
      <c r="AF139" s="7">
        <v>5000</v>
      </c>
      <c r="AG139" s="3">
        <f>612.22-17.83</f>
        <v>594.39</v>
      </c>
      <c r="AI139" s="9">
        <v>5400</v>
      </c>
      <c r="AJ139" s="3">
        <f>685.32-19.96</f>
        <v>665.36</v>
      </c>
      <c r="AL139" s="2">
        <f t="shared" si="4"/>
        <v>65520</v>
      </c>
      <c r="AM139" s="5">
        <f t="shared" si="5"/>
        <v>8032.33</v>
      </c>
    </row>
    <row r="140" spans="1:39" x14ac:dyDescent="0.25">
      <c r="A140" s="11">
        <v>137</v>
      </c>
      <c r="B140" s="7">
        <v>7848</v>
      </c>
      <c r="C140" s="3">
        <f>985.02-82.83</f>
        <v>902.18999999999994</v>
      </c>
      <c r="E140" s="7">
        <v>10060</v>
      </c>
      <c r="F140" s="3">
        <f>1233.41-103.71</f>
        <v>1129.7</v>
      </c>
      <c r="H140" s="7">
        <v>11224</v>
      </c>
      <c r="I140" s="3">
        <f>1182.79-99.45</f>
        <v>1083.3399999999999</v>
      </c>
      <c r="K140" s="7">
        <v>11094</v>
      </c>
      <c r="L140" s="3">
        <f>1186.46-99.76</f>
        <v>1086.7</v>
      </c>
      <c r="N140" s="7">
        <v>9890</v>
      </c>
      <c r="O140" s="3">
        <f>1121.81-94.32</f>
        <v>1027.49</v>
      </c>
      <c r="Q140" s="9">
        <v>8293</v>
      </c>
      <c r="R140" s="3">
        <f>981.58-82.53</f>
        <v>899.05000000000007</v>
      </c>
      <c r="T140" s="9">
        <v>7184</v>
      </c>
      <c r="U140" s="3">
        <f>981.33-82.51</f>
        <v>898.82</v>
      </c>
      <c r="W140" s="7">
        <v>7660</v>
      </c>
      <c r="X140" s="3">
        <f>939.75-79.01</f>
        <v>860.74</v>
      </c>
      <c r="Z140" s="9">
        <v>9804</v>
      </c>
      <c r="AA140" s="3">
        <f>1088.09-91.49</f>
        <v>996.59999999999991</v>
      </c>
      <c r="AC140" s="9">
        <v>7261</v>
      </c>
      <c r="AD140" s="3">
        <f>923.14-77.62</f>
        <v>845.52</v>
      </c>
      <c r="AF140" s="7">
        <v>7057</v>
      </c>
      <c r="AG140" s="3">
        <f>896.59-75.39</f>
        <v>821.2</v>
      </c>
      <c r="AI140" s="9">
        <v>7623</v>
      </c>
      <c r="AJ140" s="3">
        <f>1005.41-84.54</f>
        <v>920.87</v>
      </c>
      <c r="AL140" s="2">
        <f t="shared" si="4"/>
        <v>104998</v>
      </c>
      <c r="AM140" s="5">
        <f t="shared" si="5"/>
        <v>11472.220000000001</v>
      </c>
    </row>
    <row r="141" spans="1:39" x14ac:dyDescent="0.25">
      <c r="A141" s="11">
        <v>138</v>
      </c>
      <c r="B141" s="7">
        <v>246</v>
      </c>
      <c r="C141" s="3">
        <f>147.16-12.37</f>
        <v>134.79</v>
      </c>
      <c r="E141" s="7">
        <v>265</v>
      </c>
      <c r="F141" s="3">
        <f>169.24-14.23</f>
        <v>155.01000000000002</v>
      </c>
      <c r="H141" s="7">
        <v>296</v>
      </c>
      <c r="I141" s="3">
        <f>154.19-12.97</f>
        <v>141.22</v>
      </c>
      <c r="K141" s="7">
        <v>174</v>
      </c>
      <c r="L141" s="3">
        <f>128.15-10.77</f>
        <v>117.38000000000001</v>
      </c>
      <c r="N141" s="7">
        <v>370</v>
      </c>
      <c r="O141" s="3">
        <f>170.1-14.3</f>
        <v>155.79999999999998</v>
      </c>
      <c r="Q141" s="9">
        <v>279</v>
      </c>
      <c r="R141" s="3">
        <f>150.28-12.64</f>
        <v>137.63999999999999</v>
      </c>
      <c r="T141" s="9">
        <v>335</v>
      </c>
      <c r="U141" s="3">
        <f>173.17-14.56</f>
        <v>158.60999999999999</v>
      </c>
      <c r="W141" s="7">
        <v>254</v>
      </c>
      <c r="X141" s="3">
        <f>164.29-13.81</f>
        <v>150.47999999999999</v>
      </c>
      <c r="Z141" s="9">
        <v>1019</v>
      </c>
      <c r="AA141" s="3">
        <f>217.86-18.32</f>
        <v>199.54000000000002</v>
      </c>
      <c r="AC141" s="9">
        <v>295</v>
      </c>
      <c r="AD141" s="3">
        <f>161.54-13.58</f>
        <v>147.95999999999998</v>
      </c>
      <c r="AF141" s="7">
        <v>585</v>
      </c>
      <c r="AG141" s="3">
        <f>117.46-9.88</f>
        <v>107.58</v>
      </c>
      <c r="AI141" s="9">
        <v>840</v>
      </c>
      <c r="AJ141" s="3">
        <f>154.17-12.97</f>
        <v>141.19999999999999</v>
      </c>
      <c r="AL141" s="2">
        <f t="shared" si="4"/>
        <v>4958</v>
      </c>
      <c r="AM141" s="5">
        <f t="shared" si="5"/>
        <v>1747.2099999999998</v>
      </c>
    </row>
    <row r="142" spans="1:39" x14ac:dyDescent="0.25">
      <c r="A142" s="11">
        <v>139</v>
      </c>
      <c r="B142" s="7">
        <v>9480</v>
      </c>
      <c r="C142" s="3">
        <f>1134.91-95.42</f>
        <v>1039.49</v>
      </c>
      <c r="E142" s="7">
        <v>9360</v>
      </c>
      <c r="F142" s="3">
        <f>1219.28-102.52</f>
        <v>1116.76</v>
      </c>
      <c r="H142" s="7">
        <v>8400</v>
      </c>
      <c r="I142" s="3">
        <f>1005.46-84.54</f>
        <v>920.92000000000007</v>
      </c>
      <c r="K142" s="7">
        <v>7800</v>
      </c>
      <c r="L142" s="3">
        <f>985.23-82.84</f>
        <v>902.39</v>
      </c>
      <c r="N142" s="7">
        <v>8520</v>
      </c>
      <c r="O142" s="3">
        <f>1084.4-91.18</f>
        <v>993.22</v>
      </c>
      <c r="Q142" s="9">
        <v>7320</v>
      </c>
      <c r="R142" s="3">
        <f>982.87-82.64</f>
        <v>900.23</v>
      </c>
      <c r="T142" s="9">
        <v>5400</v>
      </c>
      <c r="U142" s="3">
        <f>818.8-68.85</f>
        <v>749.94999999999993</v>
      </c>
      <c r="W142" s="7">
        <v>6840</v>
      </c>
      <c r="X142" s="3">
        <f>873.84-73.47</f>
        <v>800.37</v>
      </c>
      <c r="Z142" s="9">
        <v>9360</v>
      </c>
      <c r="AA142" s="3">
        <f>1049.07-88.21</f>
        <v>960.8599999999999</v>
      </c>
      <c r="AC142" s="9">
        <v>6960</v>
      </c>
      <c r="AD142" s="3">
        <f>852.11-71.64</f>
        <v>780.47</v>
      </c>
      <c r="AF142" s="7">
        <v>4920</v>
      </c>
      <c r="AG142" s="3">
        <f>639.34-53.76</f>
        <v>585.58000000000004</v>
      </c>
      <c r="AI142" s="9">
        <v>3480</v>
      </c>
      <c r="AJ142" s="3">
        <f>485.48-40.82</f>
        <v>444.66</v>
      </c>
      <c r="AL142" s="2">
        <f t="shared" si="4"/>
        <v>87840</v>
      </c>
      <c r="AM142" s="5">
        <f t="shared" si="5"/>
        <v>10194.9</v>
      </c>
    </row>
    <row r="143" spans="1:39" x14ac:dyDescent="0.25">
      <c r="A143" s="11">
        <v>140</v>
      </c>
      <c r="B143" s="7">
        <f>3168+73</f>
        <v>3241</v>
      </c>
      <c r="C143" s="3">
        <f>678.22-86.61</f>
        <v>591.61</v>
      </c>
      <c r="E143" s="7">
        <f>3137+73</f>
        <v>3210</v>
      </c>
      <c r="F143" s="3">
        <f>709.33-90.58</f>
        <v>618.75</v>
      </c>
      <c r="H143" s="7">
        <f>3735+73</f>
        <v>3808</v>
      </c>
      <c r="I143" s="3">
        <f>707.91-90.4</f>
        <v>617.51</v>
      </c>
      <c r="K143" s="7">
        <f>4815+81</f>
        <v>4896</v>
      </c>
      <c r="L143" s="3">
        <f>831.61-106.19</f>
        <v>725.42000000000007</v>
      </c>
      <c r="N143" s="7">
        <f>3761+96</f>
        <v>3857</v>
      </c>
      <c r="O143" s="3">
        <f>763.93-97.55</f>
        <v>666.38</v>
      </c>
      <c r="Q143" s="9">
        <f>4063+96</f>
        <v>4159</v>
      </c>
      <c r="R143" s="3">
        <f>831.29-106.15</f>
        <v>725.14</v>
      </c>
      <c r="T143" s="9">
        <f>5610+96</f>
        <v>5706</v>
      </c>
      <c r="U143" s="3">
        <f>1020.29-130.29</f>
        <v>890</v>
      </c>
      <c r="W143" s="7">
        <f>6865+96</f>
        <v>6961</v>
      </c>
      <c r="X143" s="3">
        <f>1081.74-138.13</f>
        <v>943.61</v>
      </c>
      <c r="Z143" s="9">
        <f>8529+96</f>
        <v>8625</v>
      </c>
      <c r="AA143" s="3">
        <f>1191.74-152.19</f>
        <v>1039.55</v>
      </c>
      <c r="AC143" s="9">
        <f>5130+96</f>
        <v>5226</v>
      </c>
      <c r="AD143" s="3">
        <f>906.3-115.73</f>
        <v>790.56999999999994</v>
      </c>
      <c r="AF143" s="7">
        <f>4413+96</f>
        <v>4509</v>
      </c>
      <c r="AG143" s="3">
        <f>656.5-83.83</f>
        <v>572.66999999999996</v>
      </c>
      <c r="AI143" s="9">
        <f>4161+96</f>
        <v>4257</v>
      </c>
      <c r="AJ143" s="3">
        <f>650.68-83.09</f>
        <v>567.58999999999992</v>
      </c>
      <c r="AL143" s="2">
        <f t="shared" si="4"/>
        <v>58455</v>
      </c>
      <c r="AM143" s="5">
        <f t="shared" si="5"/>
        <v>8748.7999999999993</v>
      </c>
    </row>
    <row r="144" spans="1:39" x14ac:dyDescent="0.25">
      <c r="A144" s="11">
        <v>141</v>
      </c>
      <c r="B144" s="7">
        <v>4900</v>
      </c>
      <c r="C144" s="3">
        <f>761.62-64.04</f>
        <v>697.58</v>
      </c>
      <c r="E144" s="7">
        <v>5700</v>
      </c>
      <c r="F144" s="3">
        <f>882.51-74.2</f>
        <v>808.31</v>
      </c>
      <c r="H144" s="7">
        <v>6400</v>
      </c>
      <c r="I144" s="3">
        <f>864.2-72.67</f>
        <v>791.53000000000009</v>
      </c>
      <c r="K144" s="7">
        <v>6600</v>
      </c>
      <c r="L144" s="3">
        <f>896.56-75.39</f>
        <v>821.17</v>
      </c>
      <c r="N144" s="7">
        <v>6000</v>
      </c>
      <c r="O144" s="3">
        <f>853.12-71.73</f>
        <v>781.39</v>
      </c>
      <c r="Q144" s="9">
        <v>5800</v>
      </c>
      <c r="R144" s="3">
        <f>775.2-65.18</f>
        <v>710.02</v>
      </c>
      <c r="T144" s="9">
        <v>5200</v>
      </c>
      <c r="U144" s="3">
        <f>840.09-70.63</f>
        <v>769.46</v>
      </c>
      <c r="W144" s="7">
        <v>5400</v>
      </c>
      <c r="X144" s="3">
        <f>812.79-68.34</f>
        <v>744.44999999999993</v>
      </c>
      <c r="Z144" s="9">
        <v>6200</v>
      </c>
      <c r="AA144" s="3">
        <f>826.99-69.53</f>
        <v>757.46</v>
      </c>
      <c r="AC144" s="9">
        <v>4900</v>
      </c>
      <c r="AD144" s="3">
        <f>735.78-61.87</f>
        <v>673.91</v>
      </c>
      <c r="AF144" s="7">
        <v>4500</v>
      </c>
      <c r="AG144" s="3">
        <f>588.78-49.51</f>
        <v>539.27</v>
      </c>
      <c r="AI144" s="9">
        <v>4800</v>
      </c>
      <c r="AJ144" s="3">
        <f>651.14-54.75</f>
        <v>596.39</v>
      </c>
      <c r="AL144" s="2">
        <f t="shared" si="4"/>
        <v>66400</v>
      </c>
      <c r="AM144" s="5">
        <f t="shared" si="5"/>
        <v>8690.9399999999987</v>
      </c>
    </row>
    <row r="145" spans="1:39" x14ac:dyDescent="0.25">
      <c r="A145" s="11">
        <v>142</v>
      </c>
      <c r="B145" s="7">
        <f>12400+73</f>
        <v>12473</v>
      </c>
      <c r="C145" s="3">
        <f>1486.72-130</f>
        <v>1356.72</v>
      </c>
      <c r="E145" s="7">
        <f>13320+73</f>
        <v>13393</v>
      </c>
      <c r="F145" s="3">
        <f>1698.23-147.79</f>
        <v>1550.44</v>
      </c>
      <c r="H145" s="7">
        <f>15640+73</f>
        <v>15713</v>
      </c>
      <c r="I145" s="3">
        <f>1709.13-148.7</f>
        <v>1560.43</v>
      </c>
      <c r="K145" s="7">
        <f>15560+73</f>
        <v>15633</v>
      </c>
      <c r="L145" s="3">
        <f>1719.85-149.61</f>
        <v>1570.2399999999998</v>
      </c>
      <c r="N145" s="7">
        <f>13120+73</f>
        <v>13193</v>
      </c>
      <c r="O145" s="3">
        <f>1547.97-135.15</f>
        <v>1412.82</v>
      </c>
      <c r="Q145" s="9">
        <f>12320+73</f>
        <v>12393</v>
      </c>
      <c r="R145" s="3">
        <f>1513.71-132.27</f>
        <v>1381.44</v>
      </c>
      <c r="T145" s="9">
        <f>11640+73</f>
        <v>11713</v>
      </c>
      <c r="U145" s="3">
        <f>1479.4-129.39</f>
        <v>1350.0100000000002</v>
      </c>
      <c r="W145" s="7">
        <f>12040+73</f>
        <v>12113</v>
      </c>
      <c r="X145" s="3">
        <f>1415.41-124.01</f>
        <v>1291.4000000000001</v>
      </c>
      <c r="Z145" s="9">
        <f>12680+73</f>
        <v>12753</v>
      </c>
      <c r="AA145" s="3">
        <f>1444.31-126.44</f>
        <v>1317.87</v>
      </c>
      <c r="AC145" s="9">
        <f>10360+73</f>
        <v>10433</v>
      </c>
      <c r="AD145" s="3">
        <f>1249.37-110.05</f>
        <v>1139.32</v>
      </c>
      <c r="AF145" s="7">
        <f>10880+73</f>
        <v>10953</v>
      </c>
      <c r="AG145" s="3">
        <f>1392.27-122.07</f>
        <v>1270.2</v>
      </c>
      <c r="AI145" s="9">
        <f>11120+73</f>
        <v>11193</v>
      </c>
      <c r="AJ145" s="3">
        <f>1480.86-129.51</f>
        <v>1351.35</v>
      </c>
      <c r="AL145" s="2">
        <f t="shared" si="4"/>
        <v>151956</v>
      </c>
      <c r="AM145" s="5">
        <f t="shared" si="5"/>
        <v>16552.239999999998</v>
      </c>
    </row>
    <row r="146" spans="1:39" x14ac:dyDescent="0.25">
      <c r="A146" s="11">
        <v>143</v>
      </c>
      <c r="B146" s="7">
        <v>5900</v>
      </c>
      <c r="C146" s="3">
        <f>760.35-63.93</f>
        <v>696.42000000000007</v>
      </c>
      <c r="E146" s="7">
        <v>5700</v>
      </c>
      <c r="F146" s="3">
        <f>811.04-68.2</f>
        <v>742.83999999999992</v>
      </c>
      <c r="H146" s="7">
        <v>6000</v>
      </c>
      <c r="I146" s="3">
        <f>776.24-65.27</f>
        <v>710.97</v>
      </c>
      <c r="K146" s="7">
        <v>6600</v>
      </c>
      <c r="L146" s="3">
        <f>851.15-71.57</f>
        <v>779.57999999999993</v>
      </c>
      <c r="N146" s="7">
        <v>6100</v>
      </c>
      <c r="O146" s="3">
        <f>815.38-68.55</f>
        <v>746.83</v>
      </c>
      <c r="Q146" s="9">
        <v>6500</v>
      </c>
      <c r="R146" s="3">
        <f>853.48-71.76</f>
        <v>781.72</v>
      </c>
      <c r="T146" s="9">
        <v>7100</v>
      </c>
      <c r="U146" s="3">
        <f>941.63-79.17</f>
        <v>862.46</v>
      </c>
      <c r="W146" s="7">
        <v>8300</v>
      </c>
      <c r="X146" s="3">
        <f>977.84-82.22</f>
        <v>895.62</v>
      </c>
      <c r="Z146" s="9">
        <v>9100</v>
      </c>
      <c r="AA146" s="3">
        <f>989.68-83.21</f>
        <v>906.46999999999991</v>
      </c>
      <c r="AC146" s="9">
        <v>7600</v>
      </c>
      <c r="AD146" s="3">
        <f>913.69-76.83</f>
        <v>836.86</v>
      </c>
      <c r="AF146" s="7">
        <v>7200</v>
      </c>
      <c r="AG146" s="3">
        <f>913.8-76.83</f>
        <v>836.96999999999991</v>
      </c>
      <c r="AI146" s="9">
        <v>6900</v>
      </c>
      <c r="AJ146" s="3">
        <f>914.68-76.9</f>
        <v>837.78</v>
      </c>
      <c r="AL146" s="2">
        <f t="shared" si="4"/>
        <v>83000</v>
      </c>
      <c r="AM146" s="5">
        <f t="shared" si="5"/>
        <v>9634.52</v>
      </c>
    </row>
    <row r="147" spans="1:39" x14ac:dyDescent="0.25">
      <c r="A147" s="11">
        <v>144</v>
      </c>
      <c r="B147" s="7">
        <v>4000</v>
      </c>
      <c r="C147" s="3">
        <f>640.69-53.87</f>
        <v>586.82000000000005</v>
      </c>
      <c r="E147" s="7">
        <v>9840</v>
      </c>
      <c r="F147" s="3">
        <f>1336.55-112.38</f>
        <v>1224.17</v>
      </c>
      <c r="H147" s="7">
        <v>6400</v>
      </c>
      <c r="I147" s="3">
        <f>850.84-71.54</f>
        <v>779.30000000000007</v>
      </c>
      <c r="K147" s="7">
        <v>5920</v>
      </c>
      <c r="L147" s="3">
        <f>812.96-68.36</f>
        <v>744.6</v>
      </c>
      <c r="N147" s="7">
        <v>5040</v>
      </c>
      <c r="O147" s="3">
        <f>753.34-63.34</f>
        <v>690</v>
      </c>
      <c r="Q147" s="9">
        <v>4480</v>
      </c>
      <c r="R147" s="3">
        <f>682.21-57.37</f>
        <v>624.84</v>
      </c>
      <c r="T147" s="9">
        <v>4640</v>
      </c>
      <c r="U147" s="3">
        <f>706.82-59.43</f>
        <v>647.3900000000001</v>
      </c>
      <c r="W147" s="7">
        <v>4640</v>
      </c>
      <c r="X147" s="3">
        <f>641.46-53.94</f>
        <v>587.52</v>
      </c>
      <c r="Z147" s="9">
        <v>4640</v>
      </c>
      <c r="AA147" s="3">
        <f>607.73-51.1</f>
        <v>556.63</v>
      </c>
      <c r="AC147" s="9">
        <v>3840</v>
      </c>
      <c r="AD147" s="3">
        <f>548.78-46.14</f>
        <v>502.64</v>
      </c>
      <c r="AF147" s="7">
        <v>3920</v>
      </c>
      <c r="AG147" s="3">
        <f>518.94-43.63</f>
        <v>475.31000000000006</v>
      </c>
      <c r="AI147" s="9">
        <v>4240</v>
      </c>
      <c r="AJ147" s="3">
        <f>580.86-48.84</f>
        <v>532.02</v>
      </c>
      <c r="AL147" s="2">
        <f t="shared" si="4"/>
        <v>61600</v>
      </c>
      <c r="AM147" s="5">
        <f t="shared" si="5"/>
        <v>7951.2400000000016</v>
      </c>
    </row>
    <row r="148" spans="1:39" x14ac:dyDescent="0.25">
      <c r="A148" s="11">
        <v>145</v>
      </c>
      <c r="B148" s="7">
        <v>2800</v>
      </c>
      <c r="C148" s="3">
        <f>539.32-45.35</f>
        <v>493.97</v>
      </c>
      <c r="E148" s="7">
        <v>2800</v>
      </c>
      <c r="F148" s="3">
        <f>563.18-47.35</f>
        <v>515.82999999999993</v>
      </c>
      <c r="H148" s="7">
        <v>3200</v>
      </c>
      <c r="I148" s="3">
        <f>535.15-44.99</f>
        <v>490.15999999999997</v>
      </c>
      <c r="K148" s="7">
        <v>2600</v>
      </c>
      <c r="L148" s="3">
        <f>525.94-44.22</f>
        <v>481.72</v>
      </c>
      <c r="N148" s="7">
        <v>2200</v>
      </c>
      <c r="O148" s="3">
        <f>420.84-35.38</f>
        <v>385.46</v>
      </c>
      <c r="Q148" s="9">
        <v>1600</v>
      </c>
      <c r="R148" s="3">
        <f>372.16-31.3</f>
        <v>340.86</v>
      </c>
      <c r="T148" s="9">
        <v>1200</v>
      </c>
      <c r="U148" s="3">
        <f>315.8-26.56</f>
        <v>289.24</v>
      </c>
      <c r="W148" s="7">
        <v>1200</v>
      </c>
      <c r="X148" s="3">
        <f>306.88-25.8</f>
        <v>281.08</v>
      </c>
      <c r="Z148" s="9">
        <v>1400</v>
      </c>
      <c r="AA148" s="3">
        <f>299.68-25.19</f>
        <v>274.49</v>
      </c>
      <c r="AC148" s="9">
        <v>1800</v>
      </c>
      <c r="AD148" s="3">
        <f>349.35-29.37</f>
        <v>319.98</v>
      </c>
      <c r="AF148" s="7">
        <v>1800</v>
      </c>
      <c r="AG148" s="3">
        <f>313.87-26.39</f>
        <v>287.48</v>
      </c>
      <c r="AI148" s="9">
        <v>2000</v>
      </c>
      <c r="AJ148" s="3">
        <f>330.41-27.78</f>
        <v>302.63</v>
      </c>
      <c r="AL148" s="2">
        <f t="shared" si="4"/>
        <v>24600</v>
      </c>
      <c r="AM148" s="5">
        <f t="shared" si="5"/>
        <v>4462.8999999999996</v>
      </c>
    </row>
    <row r="149" spans="1:39" x14ac:dyDescent="0.25">
      <c r="A149" s="11">
        <v>146</v>
      </c>
      <c r="B149" s="7">
        <v>4300</v>
      </c>
      <c r="C149" s="3">
        <f>703.52-59.15</f>
        <v>644.37</v>
      </c>
      <c r="E149" s="7">
        <v>3900</v>
      </c>
      <c r="F149" s="3">
        <f>713.8-60.01</f>
        <v>653.79</v>
      </c>
      <c r="H149" s="7">
        <v>5900</v>
      </c>
      <c r="I149" s="3">
        <f>827.58-69.58</f>
        <v>758</v>
      </c>
      <c r="K149" s="7">
        <v>5300</v>
      </c>
      <c r="L149" s="3">
        <f>741.82-62.37</f>
        <v>679.45</v>
      </c>
      <c r="N149" s="7">
        <v>5800</v>
      </c>
      <c r="O149" s="3">
        <f>794.09-66.77</f>
        <v>727.32</v>
      </c>
      <c r="Q149" s="9">
        <v>7400</v>
      </c>
      <c r="R149" s="3">
        <f>931.6-78.33</f>
        <v>853.27</v>
      </c>
      <c r="T149" s="9">
        <v>7000</v>
      </c>
      <c r="U149" s="3">
        <f>940.38-79.07</f>
        <v>861.31</v>
      </c>
      <c r="W149" s="7">
        <v>5500</v>
      </c>
      <c r="X149" s="3">
        <f>754.01-63.4</f>
        <v>690.61</v>
      </c>
      <c r="Z149" s="9">
        <v>6500</v>
      </c>
      <c r="AA149" s="3">
        <f>792.78-66.65</f>
        <v>726.13</v>
      </c>
      <c r="AC149" s="9">
        <v>7000</v>
      </c>
      <c r="AD149" s="3">
        <f>867.14-72.91</f>
        <v>794.23</v>
      </c>
      <c r="AF149" s="7">
        <v>6300</v>
      </c>
      <c r="AG149" s="3">
        <f>805.46-67.72</f>
        <v>737.74</v>
      </c>
      <c r="AI149" s="9">
        <v>7100</v>
      </c>
      <c r="AJ149" s="3">
        <f>939.77-79.01</f>
        <v>860.76</v>
      </c>
      <c r="AL149" s="2">
        <f t="shared" si="4"/>
        <v>72000</v>
      </c>
      <c r="AM149" s="5">
        <f t="shared" si="5"/>
        <v>8986.98</v>
      </c>
    </row>
    <row r="150" spans="1:39" x14ac:dyDescent="0.25">
      <c r="A150" s="11">
        <v>147</v>
      </c>
      <c r="B150" s="7">
        <v>400</v>
      </c>
      <c r="C150" s="3">
        <f>117.7-3.43</f>
        <v>114.27</v>
      </c>
      <c r="E150" s="7">
        <v>500</v>
      </c>
      <c r="F150" s="3">
        <f>131.84-3.84</f>
        <v>128</v>
      </c>
      <c r="H150" s="7">
        <v>400</v>
      </c>
      <c r="I150" s="3">
        <f>116.74-3.4</f>
        <v>113.33999999999999</v>
      </c>
      <c r="K150" s="7">
        <v>500</v>
      </c>
      <c r="L150" s="3">
        <f>124.71-3.63</f>
        <v>121.08</v>
      </c>
      <c r="N150" s="7">
        <v>400</v>
      </c>
      <c r="O150" s="3">
        <f>116.71-3.4</f>
        <v>113.30999999999999</v>
      </c>
      <c r="Q150" s="9">
        <v>400</v>
      </c>
      <c r="R150" s="3">
        <f>116.52-3.39</f>
        <v>113.13</v>
      </c>
      <c r="T150" s="9">
        <v>500</v>
      </c>
      <c r="U150" s="3">
        <f>151.8-4.42</f>
        <v>147.38000000000002</v>
      </c>
      <c r="W150" s="7">
        <v>500</v>
      </c>
      <c r="X150" s="3">
        <f>148.36-4.32</f>
        <v>144.04000000000002</v>
      </c>
      <c r="Z150" s="9">
        <v>1400</v>
      </c>
      <c r="AA150" s="3">
        <f>214.06-6.23</f>
        <v>207.83</v>
      </c>
      <c r="AC150" s="9">
        <v>1200</v>
      </c>
      <c r="AD150" s="3">
        <f>201.38-5.87</f>
        <v>195.51</v>
      </c>
      <c r="AF150" s="7">
        <v>800</v>
      </c>
      <c r="AG150" s="3">
        <f>135.24-3.94</f>
        <v>131.30000000000001</v>
      </c>
      <c r="AI150" s="9">
        <v>2700</v>
      </c>
      <c r="AJ150" s="3">
        <f>365.65-10.65</f>
        <v>355</v>
      </c>
      <c r="AL150" s="2">
        <f t="shared" si="4"/>
        <v>9700</v>
      </c>
      <c r="AM150" s="5">
        <f t="shared" si="5"/>
        <v>1884.1899999999998</v>
      </c>
    </row>
    <row r="151" spans="1:39" x14ac:dyDescent="0.25">
      <c r="A151" s="11">
        <v>148</v>
      </c>
      <c r="B151" s="7">
        <v>6800</v>
      </c>
      <c r="C151" s="3">
        <f>981.11-28.58</f>
        <v>952.53</v>
      </c>
      <c r="E151" s="7">
        <v>7280</v>
      </c>
      <c r="F151" s="3">
        <f>1109.22-32.31</f>
        <v>1076.9100000000001</v>
      </c>
      <c r="H151" s="7">
        <v>8080</v>
      </c>
      <c r="I151" s="3">
        <f>1111.02-32.36</f>
        <v>1078.6600000000001</v>
      </c>
      <c r="K151" s="7">
        <v>8400</v>
      </c>
      <c r="L151" s="3">
        <f>1165.85-33.96</f>
        <v>1131.8899999999999</v>
      </c>
      <c r="N151" s="7">
        <v>7600</v>
      </c>
      <c r="O151" s="3">
        <f>1080.9-31.48</f>
        <v>1049.42</v>
      </c>
      <c r="Q151" s="9">
        <v>4560</v>
      </c>
      <c r="R151" s="3">
        <f>671.89-19.57</f>
        <v>652.31999999999994</v>
      </c>
      <c r="T151" s="9">
        <v>3360</v>
      </c>
      <c r="U151" s="3">
        <f>531.89-15.49</f>
        <v>516.4</v>
      </c>
      <c r="W151" s="7">
        <v>3360</v>
      </c>
      <c r="X151" s="3">
        <f>507.72-14.79</f>
        <v>492.93</v>
      </c>
      <c r="Z151" s="9">
        <v>4640</v>
      </c>
      <c r="AA151" s="3">
        <f>647.02-18.85</f>
        <v>628.16999999999996</v>
      </c>
      <c r="AC151" s="9">
        <v>4320</v>
      </c>
      <c r="AD151" s="3">
        <f>621.89-18.11</f>
        <v>603.78</v>
      </c>
      <c r="AF151" s="7">
        <v>4960</v>
      </c>
      <c r="AG151" s="3">
        <f>607.68-17.7</f>
        <v>589.9799999999999</v>
      </c>
      <c r="AI151" s="9">
        <v>5760</v>
      </c>
      <c r="AJ151" s="3">
        <f>727.94-21.2</f>
        <v>706.74</v>
      </c>
      <c r="AL151" s="2">
        <f t="shared" si="4"/>
        <v>69120</v>
      </c>
      <c r="AM151" s="5">
        <f t="shared" si="5"/>
        <v>9479.73</v>
      </c>
    </row>
    <row r="152" spans="1:39" x14ac:dyDescent="0.25">
      <c r="A152" s="11">
        <v>149</v>
      </c>
      <c r="B152" s="7">
        <v>640</v>
      </c>
      <c r="C152" s="3">
        <f>146.37-4.26</f>
        <v>142.11000000000001</v>
      </c>
      <c r="E152" s="7">
        <v>560</v>
      </c>
      <c r="F152" s="3">
        <f>141.37-4.12</f>
        <v>137.25</v>
      </c>
      <c r="H152" s="7">
        <v>2880</v>
      </c>
      <c r="I152" s="3">
        <f>435.15-12.67</f>
        <v>422.47999999999996</v>
      </c>
      <c r="K152" s="7">
        <v>1360</v>
      </c>
      <c r="L152" s="3">
        <f>239.67-6.98</f>
        <v>232.69</v>
      </c>
      <c r="N152" s="7">
        <v>1520</v>
      </c>
      <c r="O152" s="3">
        <f>263.48-7.67</f>
        <v>255.81000000000003</v>
      </c>
      <c r="Q152" s="9">
        <v>720</v>
      </c>
      <c r="R152" s="3">
        <f>155.75-4.54</f>
        <v>151.21</v>
      </c>
      <c r="T152" s="9">
        <v>4640</v>
      </c>
      <c r="U152" s="3">
        <f>711.67-20.73</f>
        <v>690.93999999999994</v>
      </c>
      <c r="W152" s="7">
        <v>5040</v>
      </c>
      <c r="X152" s="3">
        <f>731.53-21.31</f>
        <v>710.22</v>
      </c>
      <c r="Z152" s="9">
        <v>8560</v>
      </c>
      <c r="AA152" s="3">
        <f>1143.45-33.3</f>
        <v>1110.1500000000001</v>
      </c>
      <c r="AC152" s="9">
        <v>3920</v>
      </c>
      <c r="AD152" s="3">
        <f>569.79-16.6</f>
        <v>553.18999999999994</v>
      </c>
      <c r="AF152" s="7">
        <v>2800</v>
      </c>
      <c r="AG152" s="3">
        <f>362.37-10.55</f>
        <v>351.82</v>
      </c>
      <c r="AI152" s="9">
        <v>2320</v>
      </c>
      <c r="AJ152" s="3">
        <f>320.66-9.34</f>
        <v>311.32000000000005</v>
      </c>
      <c r="AL152" s="2">
        <f t="shared" si="4"/>
        <v>34960</v>
      </c>
      <c r="AM152" s="5">
        <f t="shared" si="5"/>
        <v>5069.1899999999996</v>
      </c>
    </row>
    <row r="153" spans="1:39" x14ac:dyDescent="0.25">
      <c r="A153" s="11">
        <v>150</v>
      </c>
      <c r="B153" s="7">
        <f>2400+212</f>
        <v>2612</v>
      </c>
      <c r="C153" s="3">
        <f>440.9-12.84</f>
        <v>428.06</v>
      </c>
      <c r="E153" s="7">
        <f>4040+212</f>
        <v>4252</v>
      </c>
      <c r="F153" s="3">
        <f>700.9-20.41</f>
        <v>680.49</v>
      </c>
      <c r="H153" s="7">
        <f>6960+212</f>
        <v>7172</v>
      </c>
      <c r="I153" s="3">
        <f>1020.85-29.73</f>
        <v>991.12</v>
      </c>
      <c r="K153" s="7">
        <f>5440+212</f>
        <v>5652</v>
      </c>
      <c r="L153" s="3">
        <f>832.13-24.24</f>
        <v>807.89</v>
      </c>
      <c r="N153" s="7">
        <f>2920+212</f>
        <v>3132</v>
      </c>
      <c r="O153" s="3">
        <f>507.25-14.77</f>
        <v>492.48</v>
      </c>
      <c r="Q153" s="9">
        <f>1680+212</f>
        <v>1892</v>
      </c>
      <c r="R153" s="3">
        <f>340.25-9.91</f>
        <v>330.34</v>
      </c>
      <c r="T153" s="9">
        <f>2640+212</f>
        <v>2852</v>
      </c>
      <c r="U153" s="3">
        <f>487.97-14.21</f>
        <v>473.76000000000005</v>
      </c>
      <c r="W153" s="7">
        <f>2560+212</f>
        <v>2772</v>
      </c>
      <c r="X153" s="3">
        <f>456.88-13.31</f>
        <v>443.57</v>
      </c>
      <c r="Z153" s="9">
        <f>2440+212</f>
        <v>2652</v>
      </c>
      <c r="AA153" s="3">
        <f>422.44-12.3</f>
        <v>410.14</v>
      </c>
      <c r="AC153" s="9">
        <f>1840+212</f>
        <v>2052</v>
      </c>
      <c r="AD153" s="3">
        <f>353.51-10.3</f>
        <v>343.21</v>
      </c>
      <c r="AF153" s="7">
        <f>1600+212</f>
        <v>1812</v>
      </c>
      <c r="AG153" s="3">
        <f>281.04-8.19</f>
        <v>272.85000000000002</v>
      </c>
      <c r="AI153" s="9">
        <f>1400+212</f>
        <v>1612</v>
      </c>
      <c r="AJ153" s="3">
        <f>268.87-7.83</f>
        <v>261.04000000000002</v>
      </c>
      <c r="AL153" s="2">
        <f t="shared" si="4"/>
        <v>38464</v>
      </c>
      <c r="AM153" s="5">
        <f t="shared" si="5"/>
        <v>5934.9500000000007</v>
      </c>
    </row>
    <row r="154" spans="1:39" x14ac:dyDescent="0.25">
      <c r="A154" s="11">
        <v>151</v>
      </c>
      <c r="B154" s="7">
        <f>200+73</f>
        <v>273</v>
      </c>
      <c r="C154" s="3">
        <f>122.71-10.32</f>
        <v>112.38999999999999</v>
      </c>
      <c r="E154" s="7">
        <f>100+73</f>
        <v>173</v>
      </c>
      <c r="F154" s="3">
        <f>111.41-9.37</f>
        <v>102.03999999999999</v>
      </c>
      <c r="H154" s="7">
        <f>300+73</f>
        <v>373</v>
      </c>
      <c r="I154" s="3">
        <f>136.54-11.48</f>
        <v>125.05999999999999</v>
      </c>
      <c r="K154" s="7">
        <f>100+73</f>
        <v>173</v>
      </c>
      <c r="L154" s="3">
        <f>109.16-9.18</f>
        <v>99.97999999999999</v>
      </c>
      <c r="N154" s="7">
        <f>100+73</f>
        <v>173</v>
      </c>
      <c r="O154" s="3">
        <f>107.41-9.03</f>
        <v>98.38</v>
      </c>
      <c r="Q154" s="9">
        <f>0+73</f>
        <v>73</v>
      </c>
      <c r="R154" s="3">
        <f>102.79-8.64</f>
        <v>94.15</v>
      </c>
      <c r="T154" s="9">
        <f>100+73</f>
        <v>173</v>
      </c>
      <c r="U154" s="3">
        <f>109.67-9.22</f>
        <v>100.45</v>
      </c>
      <c r="W154" s="7">
        <f>100+73</f>
        <v>173</v>
      </c>
      <c r="X154" s="3">
        <f>108.52-9.12</f>
        <v>99.399999999999991</v>
      </c>
      <c r="Z154" s="9">
        <f>100+73</f>
        <v>173</v>
      </c>
      <c r="AA154" s="3">
        <f>106.37-8.94</f>
        <v>97.43</v>
      </c>
      <c r="AC154" s="9">
        <v>73</v>
      </c>
      <c r="AD154" s="3">
        <f>102.7-8.63</f>
        <v>94.070000000000007</v>
      </c>
      <c r="AF154" s="7">
        <f>100+73</f>
        <v>173</v>
      </c>
      <c r="AG154" s="3">
        <f>102.29-8.6</f>
        <v>93.690000000000012</v>
      </c>
      <c r="AI154" s="9">
        <v>73</v>
      </c>
      <c r="AJ154" s="3">
        <f>104.27-8.77</f>
        <v>95.5</v>
      </c>
      <c r="AL154" s="2">
        <f t="shared" si="4"/>
        <v>2076</v>
      </c>
      <c r="AM154" s="5">
        <f t="shared" si="5"/>
        <v>1212.54</v>
      </c>
    </row>
    <row r="155" spans="1:39" x14ac:dyDescent="0.25">
      <c r="A155" s="11">
        <v>152</v>
      </c>
      <c r="B155" s="7">
        <f>1640+73</f>
        <v>1713</v>
      </c>
      <c r="C155" s="3">
        <f>310.9-9.06</f>
        <v>301.83999999999997</v>
      </c>
      <c r="E155" s="7">
        <f>2120+73</f>
        <v>2193</v>
      </c>
      <c r="F155" s="3">
        <f>396.04-11.54</f>
        <v>384.5</v>
      </c>
      <c r="H155" s="7">
        <f>2320+73</f>
        <v>2393</v>
      </c>
      <c r="I155" s="3">
        <f>391.36-11.4</f>
        <v>379.96000000000004</v>
      </c>
      <c r="K155" s="7">
        <f>2280+73</f>
        <v>2353</v>
      </c>
      <c r="L155" s="3">
        <f>389.77-11.35</f>
        <v>378.41999999999996</v>
      </c>
      <c r="N155" s="7">
        <f>1800+73</f>
        <v>1873</v>
      </c>
      <c r="O155" s="3">
        <f>329.89-9.61</f>
        <v>320.27999999999997</v>
      </c>
      <c r="Q155" s="9">
        <f>1920+73</f>
        <v>1993</v>
      </c>
      <c r="R155" s="3">
        <f>345.75-10.07</f>
        <v>335.68</v>
      </c>
      <c r="T155" s="9">
        <f>1840+73</f>
        <v>1913</v>
      </c>
      <c r="U155" s="3">
        <f>347.86-10.13</f>
        <v>337.73</v>
      </c>
      <c r="W155" s="7">
        <f>2200+73</f>
        <v>2273</v>
      </c>
      <c r="X155" s="3">
        <f>382.15-11.13</f>
        <v>371.02</v>
      </c>
      <c r="Z155" s="9">
        <f>3360+73</f>
        <v>3433</v>
      </c>
      <c r="AA155" s="3">
        <f>513.21-14.95</f>
        <v>498.26000000000005</v>
      </c>
      <c r="AC155" s="9">
        <f>2240+73</f>
        <v>2313</v>
      </c>
      <c r="AD155" s="3">
        <f>379.38-11.05</f>
        <v>368.33</v>
      </c>
      <c r="AF155" s="7">
        <f>1840+73</f>
        <v>1913</v>
      </c>
      <c r="AG155" s="3">
        <f>281.61-8.2</f>
        <v>273.41000000000003</v>
      </c>
      <c r="AI155" s="9">
        <f>1440+73</f>
        <v>1513</v>
      </c>
      <c r="AJ155" s="3">
        <f>245.85-7.16</f>
        <v>238.69</v>
      </c>
      <c r="AL155" s="2">
        <f t="shared" si="4"/>
        <v>25876</v>
      </c>
      <c r="AM155" s="5">
        <f t="shared" si="5"/>
        <v>4188.12</v>
      </c>
    </row>
    <row r="156" spans="1:39" x14ac:dyDescent="0.25">
      <c r="A156" s="11">
        <v>153</v>
      </c>
      <c r="B156" s="7">
        <v>2680</v>
      </c>
      <c r="C156" s="3">
        <f>448.19-37.69</f>
        <v>410.5</v>
      </c>
      <c r="E156" s="7">
        <v>2880</v>
      </c>
      <c r="F156" s="3">
        <f>504.03-42.38</f>
        <v>461.65</v>
      </c>
      <c r="H156" s="7">
        <v>3360</v>
      </c>
      <c r="I156" s="3">
        <f>527.39-44.34</f>
        <v>483.04999999999995</v>
      </c>
      <c r="K156" s="7">
        <v>3200</v>
      </c>
      <c r="L156" s="3">
        <f>510.63-42.93</f>
        <v>467.7</v>
      </c>
      <c r="N156" s="7">
        <v>2760</v>
      </c>
      <c r="O156" s="3">
        <f>456-38.34</f>
        <v>417.65999999999997</v>
      </c>
      <c r="Q156" s="9">
        <v>2320</v>
      </c>
      <c r="R156" s="3">
        <f>393.05-33.05</f>
        <v>360</v>
      </c>
      <c r="T156" s="9">
        <v>2440</v>
      </c>
      <c r="U156" s="3">
        <f>426.83-35.89</f>
        <v>390.94</v>
      </c>
      <c r="W156" s="7">
        <v>2960</v>
      </c>
      <c r="X156" s="3">
        <f>481.69-40.51</f>
        <v>441.18</v>
      </c>
      <c r="Z156" s="9">
        <v>4600</v>
      </c>
      <c r="AA156" s="3">
        <f>680.48-57.22</f>
        <v>623.26</v>
      </c>
      <c r="AC156" s="9">
        <v>2640</v>
      </c>
      <c r="AD156" s="3">
        <f>427.21-35.92</f>
        <v>391.28999999999996</v>
      </c>
      <c r="AF156" s="7">
        <v>2360</v>
      </c>
      <c r="AG156" s="3">
        <f>331.14-27.84</f>
        <v>303.3</v>
      </c>
      <c r="AI156" s="9">
        <v>2400</v>
      </c>
      <c r="AJ156" s="3">
        <f>349.96-29.43</f>
        <v>320.52999999999997</v>
      </c>
      <c r="AL156" s="2">
        <f t="shared" si="4"/>
        <v>34600</v>
      </c>
      <c r="AM156" s="5">
        <f t="shared" si="5"/>
        <v>5071.0599999999995</v>
      </c>
    </row>
    <row r="157" spans="1:39" x14ac:dyDescent="0.25">
      <c r="A157" s="11">
        <v>154</v>
      </c>
      <c r="B157" s="7">
        <f>1848+146</f>
        <v>1994</v>
      </c>
      <c r="C157" s="3">
        <f>390.19-32.81</f>
        <v>357.38</v>
      </c>
      <c r="E157" s="7">
        <f>2087+146</f>
        <v>2233</v>
      </c>
      <c r="F157" s="3">
        <f>446.53-37.55</f>
        <v>408.97999999999996</v>
      </c>
      <c r="H157" s="7">
        <f>3173+146</f>
        <v>3319</v>
      </c>
      <c r="I157" s="3">
        <f>563.08-47.34</f>
        <v>515.74</v>
      </c>
      <c r="K157" s="7">
        <f>2140+146</f>
        <v>2286</v>
      </c>
      <c r="L157" s="3">
        <f>424.45-35.69</f>
        <v>388.76</v>
      </c>
      <c r="N157" s="7">
        <f>1937+146</f>
        <v>2083</v>
      </c>
      <c r="O157" s="3">
        <f>399.68-33.6</f>
        <v>366.08</v>
      </c>
      <c r="Q157" s="9">
        <f>1799+146</f>
        <v>1945</v>
      </c>
      <c r="R157" s="3">
        <f>379.68-31.92</f>
        <v>347.76</v>
      </c>
      <c r="T157" s="9">
        <f>2590+146</f>
        <v>2736</v>
      </c>
      <c r="U157" s="3">
        <f>511.64-43.02</f>
        <v>468.62</v>
      </c>
      <c r="W157" s="7">
        <f>3410+146</f>
        <v>3556</v>
      </c>
      <c r="X157" s="3">
        <f>606.66-51.01</f>
        <v>555.65</v>
      </c>
      <c r="Z157" s="9">
        <f>4926+146</f>
        <v>5072</v>
      </c>
      <c r="AA157" s="3">
        <f>784.21-65.94</f>
        <v>718.27</v>
      </c>
      <c r="AC157" s="9">
        <f>3229+146</f>
        <v>3375</v>
      </c>
      <c r="AD157" s="3">
        <f>568.88-47.83</f>
        <v>521.04999999999995</v>
      </c>
      <c r="AF157" s="7">
        <f>2828+146</f>
        <v>2974</v>
      </c>
      <c r="AG157" s="3">
        <f>447.45-37.62</f>
        <v>409.83</v>
      </c>
      <c r="AI157" s="9">
        <f>2468+146</f>
        <v>2614</v>
      </c>
      <c r="AJ157" s="3">
        <f>420.74-35.38</f>
        <v>385.36</v>
      </c>
      <c r="AL157" s="2">
        <f t="shared" si="4"/>
        <v>34187</v>
      </c>
      <c r="AM157" s="5">
        <f t="shared" si="5"/>
        <v>5443.48</v>
      </c>
    </row>
    <row r="158" spans="1:39" x14ac:dyDescent="0.25">
      <c r="A158" s="11">
        <v>155</v>
      </c>
      <c r="B158" s="7">
        <v>12249</v>
      </c>
      <c r="C158" s="3">
        <f>1719.49-50.08</f>
        <v>1669.41</v>
      </c>
      <c r="E158" s="7">
        <v>11679</v>
      </c>
      <c r="F158" s="3">
        <f>1742.8-50.76</f>
        <v>1692.04</v>
      </c>
      <c r="H158" s="7">
        <v>12369</v>
      </c>
      <c r="I158" s="3">
        <f>1668.48-48.6</f>
        <v>1619.88</v>
      </c>
      <c r="K158" s="7">
        <v>12078</v>
      </c>
      <c r="L158" s="3">
        <f>1649.74-48.05</f>
        <v>1601.69</v>
      </c>
      <c r="N158" s="7">
        <v>13293</v>
      </c>
      <c r="O158" s="3">
        <f>1846.3-53.78</f>
        <v>1792.52</v>
      </c>
      <c r="Q158" s="9">
        <v>11961</v>
      </c>
      <c r="R158" s="3">
        <f>1666.65-48.54</f>
        <v>1618.1100000000001</v>
      </c>
      <c r="T158" s="9">
        <v>7462</v>
      </c>
      <c r="U158" s="3">
        <f>1108.04-32.27</f>
        <v>1075.77</v>
      </c>
      <c r="W158" s="7">
        <v>9230</v>
      </c>
      <c r="X158" s="3">
        <f>1289.71-37.56</f>
        <v>1252.1500000000001</v>
      </c>
      <c r="Z158" s="9">
        <v>13903</v>
      </c>
      <c r="AA158" s="3">
        <f>1820.1-53.01</f>
        <v>1767.09</v>
      </c>
      <c r="AC158" s="9">
        <v>9375</v>
      </c>
      <c r="AD158" s="3">
        <f>1280.4-37.29</f>
        <v>1243.1100000000001</v>
      </c>
      <c r="AF158" s="7">
        <v>8577</v>
      </c>
      <c r="AG158" s="3">
        <f>1018.47-29.66</f>
        <v>988.81000000000006</v>
      </c>
      <c r="AI158" s="9">
        <v>8905</v>
      </c>
      <c r="AJ158" s="3">
        <f>1100.29-32.05</f>
        <v>1068.24</v>
      </c>
      <c r="AL158" s="2">
        <f t="shared" si="4"/>
        <v>131081</v>
      </c>
      <c r="AM158" s="5">
        <f t="shared" si="5"/>
        <v>17388.820000000003</v>
      </c>
    </row>
    <row r="159" spans="1:39" x14ac:dyDescent="0.25">
      <c r="A159" s="11">
        <v>156</v>
      </c>
      <c r="B159" s="7">
        <v>200</v>
      </c>
      <c r="C159" s="3">
        <f>86.75-2.53</f>
        <v>84.22</v>
      </c>
      <c r="E159" s="7">
        <v>300</v>
      </c>
      <c r="F159" s="3">
        <f>103.93-3.03</f>
        <v>100.9</v>
      </c>
      <c r="H159" s="7">
        <v>400</v>
      </c>
      <c r="I159" s="3">
        <f>112.82-3.29</f>
        <v>109.52999999999999</v>
      </c>
      <c r="K159" s="7">
        <v>200</v>
      </c>
      <c r="L159" s="3">
        <f>87.06-2.54</f>
        <v>84.52</v>
      </c>
      <c r="N159" s="7">
        <v>400</v>
      </c>
      <c r="O159" s="3">
        <f>112.9-3.29</f>
        <v>109.61</v>
      </c>
      <c r="Q159" s="9">
        <v>2000</v>
      </c>
      <c r="R159" s="3">
        <f>327.79-9.55</f>
        <v>318.24</v>
      </c>
      <c r="T159" s="9">
        <v>2300</v>
      </c>
      <c r="U159" s="3">
        <f>383.01-11.16</f>
        <v>371.84999999999997</v>
      </c>
      <c r="W159" s="7">
        <v>1500</v>
      </c>
      <c r="X159" s="3">
        <f>259.92-7.57</f>
        <v>252.35000000000002</v>
      </c>
      <c r="Z159" s="9">
        <v>600</v>
      </c>
      <c r="AA159" s="3">
        <f>135.38-3.94</f>
        <v>131.44</v>
      </c>
      <c r="AC159" s="9">
        <v>400</v>
      </c>
      <c r="AD159" s="3">
        <f>111.22-3.24</f>
        <v>107.98</v>
      </c>
      <c r="AF159" s="7">
        <v>600</v>
      </c>
      <c r="AG159" s="3">
        <f>112.51-3.28</f>
        <v>109.23</v>
      </c>
      <c r="AI159" s="9">
        <v>500</v>
      </c>
      <c r="AJ159" s="3">
        <f>105.19-3.06</f>
        <v>102.13</v>
      </c>
      <c r="AL159" s="2">
        <f t="shared" si="4"/>
        <v>9400</v>
      </c>
      <c r="AM159" s="5">
        <f t="shared" si="5"/>
        <v>1882</v>
      </c>
    </row>
    <row r="160" spans="1:39" x14ac:dyDescent="0.25">
      <c r="A160" s="11">
        <v>157</v>
      </c>
      <c r="B160" s="7">
        <v>0</v>
      </c>
      <c r="C160" s="3">
        <f>66.39-8.48</f>
        <v>57.91</v>
      </c>
      <c r="E160" s="7">
        <v>2720</v>
      </c>
      <c r="F160" s="3">
        <f>503.6-64.31</f>
        <v>439.29</v>
      </c>
      <c r="H160" s="7">
        <v>80</v>
      </c>
      <c r="I160" s="3">
        <f>79.28-10.13</f>
        <v>69.150000000000006</v>
      </c>
      <c r="K160" s="7">
        <v>0</v>
      </c>
      <c r="L160" s="3">
        <f>67.61-8.64</f>
        <v>58.97</v>
      </c>
      <c r="N160" s="7">
        <v>0</v>
      </c>
      <c r="O160" s="3">
        <f>65.8-8.4</f>
        <v>57.4</v>
      </c>
      <c r="Q160" s="9">
        <v>80</v>
      </c>
      <c r="R160" s="3">
        <f>77.58-9.9</f>
        <v>67.679999999999993</v>
      </c>
      <c r="T160" s="9">
        <v>160</v>
      </c>
      <c r="U160" s="3">
        <f>91.73-11.71</f>
        <v>80.02000000000001</v>
      </c>
      <c r="W160" s="7">
        <v>0</v>
      </c>
      <c r="X160" s="3">
        <f>66.88-8.55</f>
        <v>58.33</v>
      </c>
      <c r="Z160" s="9">
        <v>0</v>
      </c>
      <c r="AA160" s="3">
        <f>66.11-8.44</f>
        <v>57.67</v>
      </c>
      <c r="AC160" s="9">
        <v>0</v>
      </c>
      <c r="AD160" s="3">
        <f>65.8-8.4</f>
        <v>57.4</v>
      </c>
      <c r="AF160" s="7">
        <v>0</v>
      </c>
      <c r="AG160" s="3">
        <f>49.39-6.31</f>
        <v>43.08</v>
      </c>
      <c r="AI160" s="9">
        <v>0</v>
      </c>
      <c r="AJ160" s="3">
        <f>51.2-6.54</f>
        <v>44.660000000000004</v>
      </c>
      <c r="AL160" s="2">
        <f t="shared" si="4"/>
        <v>3040</v>
      </c>
      <c r="AM160" s="5">
        <f t="shared" si="5"/>
        <v>1091.56</v>
      </c>
    </row>
    <row r="161" spans="1:39" x14ac:dyDescent="0.25">
      <c r="A161" s="11">
        <v>158</v>
      </c>
      <c r="B161" s="7">
        <v>4640</v>
      </c>
      <c r="C161" s="3">
        <f>688.41-20.05</f>
        <v>668.36</v>
      </c>
      <c r="E161" s="7">
        <v>5520</v>
      </c>
      <c r="F161" s="3">
        <f>855.74-24.92</f>
        <v>830.82</v>
      </c>
      <c r="H161" s="7">
        <v>9200</v>
      </c>
      <c r="I161" s="3">
        <f>1256.59-36.6</f>
        <v>1219.99</v>
      </c>
      <c r="K161" s="7">
        <v>8880</v>
      </c>
      <c r="L161" s="3">
        <f>1229-35.8</f>
        <v>1193.2</v>
      </c>
      <c r="N161" s="7">
        <v>6880</v>
      </c>
      <c r="O161" s="3">
        <f>984.09-28.66</f>
        <v>955.43000000000006</v>
      </c>
      <c r="Q161" s="9">
        <v>3520</v>
      </c>
      <c r="R161" s="3">
        <f>532.1-15.5</f>
        <v>516.6</v>
      </c>
      <c r="T161" s="9">
        <v>2560</v>
      </c>
      <c r="U161" s="3">
        <f>419.52-12.22</f>
        <v>407.29999999999995</v>
      </c>
      <c r="W161" s="7">
        <v>2960</v>
      </c>
      <c r="X161" s="3">
        <f>454.42-13.24</f>
        <v>441.18</v>
      </c>
      <c r="Z161" s="9">
        <v>3120</v>
      </c>
      <c r="AA161" s="3">
        <f>454.53-13.24</f>
        <v>441.28999999999996</v>
      </c>
      <c r="AC161" s="9">
        <v>2560</v>
      </c>
      <c r="AD161" s="3">
        <f>392.62-11.44</f>
        <v>381.18</v>
      </c>
      <c r="AF161" s="7">
        <v>3600</v>
      </c>
      <c r="AG161" s="3">
        <f>453.22-13.2</f>
        <v>440.02000000000004</v>
      </c>
      <c r="AI161" s="9">
        <v>4320</v>
      </c>
      <c r="AJ161" s="3">
        <f>557.45-16.24</f>
        <v>541.21</v>
      </c>
      <c r="AL161" s="2">
        <f t="shared" si="4"/>
        <v>57760</v>
      </c>
      <c r="AM161" s="5">
        <f t="shared" si="5"/>
        <v>8036.5800000000017</v>
      </c>
    </row>
    <row r="162" spans="1:39" x14ac:dyDescent="0.25">
      <c r="A162" s="11">
        <v>159</v>
      </c>
      <c r="B162" s="7">
        <v>791</v>
      </c>
      <c r="C162" s="3">
        <f>176.84-14.87</f>
        <v>161.97</v>
      </c>
      <c r="E162" s="7">
        <v>819</v>
      </c>
      <c r="F162" s="3">
        <f>189.39-15.92</f>
        <v>173.47</v>
      </c>
      <c r="H162" s="7">
        <v>867</v>
      </c>
      <c r="I162" s="3">
        <f>183.92-15.46</f>
        <v>168.45999999999998</v>
      </c>
      <c r="K162" s="7">
        <v>900</v>
      </c>
      <c r="L162" s="3">
        <f>189.89-15.97</f>
        <v>173.92</v>
      </c>
      <c r="N162" s="7">
        <v>844</v>
      </c>
      <c r="O162" s="3">
        <f>182.95-15.39</f>
        <v>167.56</v>
      </c>
      <c r="Q162" s="9">
        <v>823</v>
      </c>
      <c r="R162" s="3">
        <f>179.77-15.12</f>
        <v>164.65</v>
      </c>
      <c r="T162" s="9">
        <v>857</v>
      </c>
      <c r="U162" s="3">
        <f>191.15-16.07</f>
        <v>175.08</v>
      </c>
      <c r="W162" s="7">
        <v>758</v>
      </c>
      <c r="X162" s="3">
        <f>170.71-14.35</f>
        <v>156.36000000000001</v>
      </c>
      <c r="Z162" s="9">
        <v>1158</v>
      </c>
      <c r="AA162" s="3">
        <f>218.4-18.36</f>
        <v>200.04000000000002</v>
      </c>
      <c r="AC162" s="9">
        <v>1020</v>
      </c>
      <c r="AD162" s="3">
        <f>203.52-17.11</f>
        <v>186.41000000000003</v>
      </c>
      <c r="AF162" s="7">
        <v>857</v>
      </c>
      <c r="AG162" s="3">
        <f>150.2-12.63</f>
        <v>137.57</v>
      </c>
      <c r="AI162" s="9">
        <v>841</v>
      </c>
      <c r="AJ162" s="3">
        <f>154.3-12.97</f>
        <v>141.33000000000001</v>
      </c>
      <c r="AL162" s="2">
        <f t="shared" si="4"/>
        <v>10535</v>
      </c>
      <c r="AM162" s="5">
        <f t="shared" si="5"/>
        <v>2006.8199999999997</v>
      </c>
    </row>
    <row r="163" spans="1:39" x14ac:dyDescent="0.25">
      <c r="A163" s="11">
        <v>160</v>
      </c>
      <c r="B163" s="7">
        <v>3437</v>
      </c>
      <c r="C163" s="3">
        <f>556.91-46.82</f>
        <v>510.09</v>
      </c>
      <c r="E163" s="7">
        <v>3667</v>
      </c>
      <c r="F163" s="3">
        <f>624.19-52.48</f>
        <v>571.71</v>
      </c>
      <c r="H163" s="7">
        <v>3988</v>
      </c>
      <c r="I163" s="3">
        <f>613.91-51.62</f>
        <v>562.29</v>
      </c>
      <c r="K163" s="7">
        <v>3986</v>
      </c>
      <c r="L163" s="3">
        <f>620.24-52.15</f>
        <v>568.09</v>
      </c>
      <c r="N163" s="7">
        <v>3457</v>
      </c>
      <c r="O163" s="3">
        <f>555.33-46.69</f>
        <v>508.64000000000004</v>
      </c>
      <c r="Q163" s="9">
        <v>2347</v>
      </c>
      <c r="R163" s="3">
        <f>396.9-33.38</f>
        <v>363.52</v>
      </c>
      <c r="T163" s="9">
        <v>3316</v>
      </c>
      <c r="U163" s="3">
        <f>557.24-46.85</f>
        <v>510.39</v>
      </c>
      <c r="W163" s="7">
        <v>4199</v>
      </c>
      <c r="X163" s="3">
        <f>656.65-55.21</f>
        <v>601.43999999999994</v>
      </c>
      <c r="Z163" s="9">
        <v>4865</v>
      </c>
      <c r="AA163" s="3">
        <f>716.05-60.21</f>
        <v>655.83999999999992</v>
      </c>
      <c r="AC163" s="9">
        <v>3638</v>
      </c>
      <c r="AD163" s="3">
        <f>565.03-47.51</f>
        <v>517.52</v>
      </c>
      <c r="AF163" s="7">
        <v>3262</v>
      </c>
      <c r="AG163" s="3">
        <f>439.72-36.97</f>
        <v>402.75</v>
      </c>
      <c r="AI163" s="9">
        <v>3474</v>
      </c>
      <c r="AJ163" s="3">
        <f>484.74-40.76</f>
        <v>443.98</v>
      </c>
      <c r="AL163" s="2">
        <f t="shared" si="4"/>
        <v>43636</v>
      </c>
      <c r="AM163" s="5">
        <f t="shared" si="5"/>
        <v>6216.2599999999984</v>
      </c>
    </row>
    <row r="164" spans="1:39" x14ac:dyDescent="0.25">
      <c r="A164" s="11">
        <v>161</v>
      </c>
      <c r="B164" s="7">
        <v>480</v>
      </c>
      <c r="C164" s="3">
        <f>132.17-11.11</f>
        <v>121.05999999999999</v>
      </c>
      <c r="E164" s="7">
        <v>320</v>
      </c>
      <c r="F164" s="3">
        <f>113.22-9.52</f>
        <v>103.7</v>
      </c>
      <c r="H164" s="7">
        <v>480</v>
      </c>
      <c r="I164" s="3">
        <f>130.61-10.98</f>
        <v>119.63000000000001</v>
      </c>
      <c r="K164" s="7">
        <v>320</v>
      </c>
      <c r="L164" s="3">
        <f>109.02-9.17</f>
        <v>99.85</v>
      </c>
      <c r="N164" s="7">
        <v>320</v>
      </c>
      <c r="O164" s="3">
        <f>108.28-9.11</f>
        <v>99.17</v>
      </c>
      <c r="Q164" s="9">
        <v>480</v>
      </c>
      <c r="R164" s="3">
        <f>130.89-11.01</f>
        <v>119.87999999999998</v>
      </c>
      <c r="T164" s="9">
        <v>320</v>
      </c>
      <c r="U164" s="3">
        <f>111.19-9.35</f>
        <v>101.84</v>
      </c>
      <c r="W164" s="7">
        <v>320</v>
      </c>
      <c r="X164" s="3">
        <f>108.87-9.15</f>
        <v>99.72</v>
      </c>
      <c r="Z164" s="9">
        <v>480</v>
      </c>
      <c r="AA164" s="3">
        <f>127.4-10.71</f>
        <v>116.69</v>
      </c>
      <c r="AC164" s="9">
        <v>320</v>
      </c>
      <c r="AD164" s="3">
        <f>106.86-8.99</f>
        <v>97.87</v>
      </c>
      <c r="AF164" s="7">
        <v>640</v>
      </c>
      <c r="AG164" s="3">
        <f>124.08-10.43</f>
        <v>113.65</v>
      </c>
      <c r="AI164" s="9">
        <v>480</v>
      </c>
      <c r="AJ164" s="3">
        <f>108.99-9.16</f>
        <v>99.83</v>
      </c>
      <c r="AL164" s="2">
        <f t="shared" si="4"/>
        <v>4960</v>
      </c>
      <c r="AM164" s="5">
        <f t="shared" si="5"/>
        <v>1292.8899999999999</v>
      </c>
    </row>
    <row r="165" spans="1:39" x14ac:dyDescent="0.25">
      <c r="A165" s="11">
        <v>162</v>
      </c>
      <c r="B165" s="7">
        <v>7520</v>
      </c>
      <c r="C165" s="3">
        <f>1078.68-31.42</f>
        <v>1047.26</v>
      </c>
      <c r="E165" s="7">
        <v>7080</v>
      </c>
      <c r="F165" s="3">
        <f>1080.41-31.47</f>
        <v>1048.94</v>
      </c>
      <c r="H165" s="7">
        <v>7960</v>
      </c>
      <c r="I165" s="3">
        <f>1095.43-31.91</f>
        <v>1063.52</v>
      </c>
      <c r="K165" s="7">
        <v>8160</v>
      </c>
      <c r="L165" s="3">
        <f>1134.28-33.04</f>
        <v>1101.24</v>
      </c>
      <c r="N165" s="7">
        <v>8080</v>
      </c>
      <c r="O165" s="3">
        <f>1145.43-33.36</f>
        <v>1112.0700000000002</v>
      </c>
      <c r="Q165" s="9">
        <v>7000</v>
      </c>
      <c r="R165" s="3">
        <f>999.84-29.12</f>
        <v>970.72</v>
      </c>
      <c r="T165" s="9">
        <v>5680</v>
      </c>
      <c r="U165" s="3">
        <f>857.74-24.98</f>
        <v>832.76</v>
      </c>
      <c r="W165" s="7">
        <v>7680</v>
      </c>
      <c r="X165" s="3">
        <f>1083.23-31.55</f>
        <v>1051.68</v>
      </c>
      <c r="Z165" s="9">
        <v>9080</v>
      </c>
      <c r="AA165" s="3">
        <f>1209.31-35.22</f>
        <v>1174.0899999999999</v>
      </c>
      <c r="AC165" s="9">
        <v>7080</v>
      </c>
      <c r="AD165" s="3">
        <f>981.43-28.59</f>
        <v>952.83999999999992</v>
      </c>
      <c r="AF165" s="7">
        <v>6040</v>
      </c>
      <c r="AG165" s="3">
        <f>730.34-21.27</f>
        <v>709.07</v>
      </c>
      <c r="AI165" s="9">
        <v>5880</v>
      </c>
      <c r="AJ165" s="3">
        <f>742.16-21.62</f>
        <v>720.54</v>
      </c>
      <c r="AL165" s="2">
        <f t="shared" ref="AL165:AL215" si="6">+B165+E165+H165+K165+N165+Q165+T165+W165+Z165+AC165+AF165+AI165</f>
        <v>87240</v>
      </c>
      <c r="AM165" s="5">
        <f t="shared" ref="AM165:AM215" si="7">+C165+F165+I165+L165+O165+R165+U165+X165+AA165+AD165+AG165+AJ165</f>
        <v>11784.73</v>
      </c>
    </row>
    <row r="166" spans="1:39" x14ac:dyDescent="0.25">
      <c r="A166" s="11">
        <v>163</v>
      </c>
      <c r="B166" s="7">
        <f>2700+571</f>
        <v>3271</v>
      </c>
      <c r="C166" s="3">
        <f>587.46-49.39</f>
        <v>538.07000000000005</v>
      </c>
      <c r="E166" s="7">
        <f>2800+571</f>
        <v>3371</v>
      </c>
      <c r="F166" s="3">
        <f>634.36-53.34</f>
        <v>581.02</v>
      </c>
      <c r="H166" s="7">
        <f>3000+571</f>
        <v>3571</v>
      </c>
      <c r="I166" s="3">
        <f>611.93-51.45</f>
        <v>560.4799999999999</v>
      </c>
      <c r="K166" s="7">
        <f>3100+571</f>
        <v>3671</v>
      </c>
      <c r="L166" s="3">
        <f>631.73-53.12</f>
        <v>578.61</v>
      </c>
      <c r="N166" s="7">
        <f>2400+571</f>
        <v>2971</v>
      </c>
      <c r="O166" s="3">
        <f>539.96-45.4</f>
        <v>494.56000000000006</v>
      </c>
      <c r="Q166" s="9">
        <f>2500+571</f>
        <v>3071</v>
      </c>
      <c r="R166" s="3">
        <f>553.81-46.57</f>
        <v>507.23999999999995</v>
      </c>
      <c r="T166" s="9">
        <f>2700+571</f>
        <v>3271</v>
      </c>
      <c r="U166" s="3">
        <f>605.21-50.89</f>
        <v>554.32000000000005</v>
      </c>
      <c r="W166" s="7">
        <f>3100+571</f>
        <v>3671</v>
      </c>
      <c r="X166" s="3">
        <f>636.86-53.55</f>
        <v>583.31000000000006</v>
      </c>
      <c r="Z166" s="9">
        <f>3600+571</f>
        <v>4171</v>
      </c>
      <c r="AA166" s="3">
        <f>677.03-56.92</f>
        <v>620.11</v>
      </c>
      <c r="AC166" s="9">
        <f>2800+571</f>
        <v>3371</v>
      </c>
      <c r="AD166" s="3">
        <f>582.09-48.94</f>
        <v>533.15000000000009</v>
      </c>
      <c r="AF166" s="7">
        <f>2500+571</f>
        <v>3071</v>
      </c>
      <c r="AG166" s="3">
        <f>482.19-40.54</f>
        <v>441.65</v>
      </c>
      <c r="AI166" s="9">
        <f>2100+571</f>
        <v>2671</v>
      </c>
      <c r="AJ166" s="3">
        <f>451.78-37.98</f>
        <v>413.79999999999995</v>
      </c>
      <c r="AL166" s="2">
        <f t="shared" si="6"/>
        <v>40152</v>
      </c>
      <c r="AM166" s="5">
        <f t="shared" si="7"/>
        <v>6406.3200000000006</v>
      </c>
    </row>
    <row r="167" spans="1:39" x14ac:dyDescent="0.25">
      <c r="A167" s="11">
        <v>164</v>
      </c>
      <c r="B167" s="7">
        <v>160</v>
      </c>
      <c r="C167" s="3">
        <f>86.21-7.25</f>
        <v>78.959999999999994</v>
      </c>
      <c r="E167" s="7">
        <v>160</v>
      </c>
      <c r="F167" s="3">
        <f>88.79-7.47</f>
        <v>81.320000000000007</v>
      </c>
      <c r="H167" s="7">
        <v>160</v>
      </c>
      <c r="I167" s="3">
        <f>86.53-7.28</f>
        <v>79.25</v>
      </c>
      <c r="K167" s="7">
        <v>200</v>
      </c>
      <c r="L167" s="3">
        <f>92.28-7.76</f>
        <v>84.52</v>
      </c>
      <c r="N167" s="7">
        <v>160</v>
      </c>
      <c r="O167" s="3">
        <f>85.47-7.19</f>
        <v>78.28</v>
      </c>
      <c r="Q167" s="9">
        <v>200</v>
      </c>
      <c r="R167" s="3">
        <f>91-7.65</f>
        <v>83.35</v>
      </c>
      <c r="T167" s="9">
        <v>200</v>
      </c>
      <c r="U167" s="3">
        <f>93.32-7.84</f>
        <v>85.47999999999999</v>
      </c>
      <c r="W167" s="7">
        <v>200</v>
      </c>
      <c r="X167" s="3">
        <f>91.93-7.73</f>
        <v>84.2</v>
      </c>
      <c r="Z167" s="9">
        <v>600</v>
      </c>
      <c r="AA167" s="3">
        <f>143.5-12.06</f>
        <v>131.44</v>
      </c>
      <c r="AC167" s="9">
        <v>360</v>
      </c>
      <c r="AD167" s="3">
        <f>112.38-9.45</f>
        <v>102.92999999999999</v>
      </c>
      <c r="AF167" s="7">
        <v>280</v>
      </c>
      <c r="AG167" s="3">
        <f>80.74-6.79</f>
        <v>73.949999999999989</v>
      </c>
      <c r="AI167" s="9">
        <v>160</v>
      </c>
      <c r="AJ167" s="3">
        <f>76.16-6.4</f>
        <v>69.759999999999991</v>
      </c>
      <c r="AL167" s="2">
        <f t="shared" si="6"/>
        <v>2840</v>
      </c>
      <c r="AM167" s="5">
        <f t="shared" si="7"/>
        <v>1033.44</v>
      </c>
    </row>
    <row r="168" spans="1:39" x14ac:dyDescent="0.25">
      <c r="A168" s="11">
        <v>165</v>
      </c>
      <c r="B168" s="7">
        <v>300</v>
      </c>
      <c r="C168" s="3">
        <f>150.39-12.64</f>
        <v>137.75</v>
      </c>
      <c r="E168" s="7">
        <v>300</v>
      </c>
      <c r="F168" s="3">
        <f>155.03-13.04</f>
        <v>141.99</v>
      </c>
      <c r="H168" s="7">
        <v>400</v>
      </c>
      <c r="I168" s="3">
        <f>151.25-12.72</f>
        <v>138.53</v>
      </c>
      <c r="K168" s="7">
        <v>300</v>
      </c>
      <c r="L168" s="3">
        <f>151.1-12.7</f>
        <v>138.4</v>
      </c>
      <c r="N168" s="7">
        <v>300</v>
      </c>
      <c r="O168" s="3">
        <f>149.1-12.54</f>
        <v>136.56</v>
      </c>
      <c r="Q168" s="9">
        <v>300</v>
      </c>
      <c r="R168" s="3">
        <f>148.82-12.51</f>
        <v>136.31</v>
      </c>
      <c r="T168" s="9">
        <v>400</v>
      </c>
      <c r="U168" s="3">
        <f>154.3-12.97</f>
        <v>141.33000000000001</v>
      </c>
      <c r="W168" s="7">
        <v>400</v>
      </c>
      <c r="X168" s="3">
        <f>151.44-12.73</f>
        <v>138.71</v>
      </c>
      <c r="Z168" s="9">
        <v>600</v>
      </c>
      <c r="AA168" s="3">
        <f>148.47-12.48</f>
        <v>135.99</v>
      </c>
      <c r="AC168" s="9">
        <v>400</v>
      </c>
      <c r="AD168" s="3">
        <f>148.68-12.51</f>
        <v>136.17000000000002</v>
      </c>
      <c r="AF168" s="7">
        <v>300</v>
      </c>
      <c r="AG168" s="3">
        <f>146.36-12.3</f>
        <v>134.06</v>
      </c>
      <c r="AI168" s="9">
        <v>300</v>
      </c>
      <c r="AJ168" s="3">
        <f>151.95-12.78</f>
        <v>139.16999999999999</v>
      </c>
      <c r="AL168" s="2">
        <f t="shared" si="6"/>
        <v>4300</v>
      </c>
      <c r="AM168" s="5">
        <f t="shared" si="7"/>
        <v>1654.97</v>
      </c>
    </row>
    <row r="169" spans="1:39" x14ac:dyDescent="0.25">
      <c r="A169" s="11">
        <v>166</v>
      </c>
      <c r="B169" s="7">
        <f>1160+212</f>
        <v>1372</v>
      </c>
      <c r="C169" s="3">
        <f>259.88-7.57</f>
        <v>252.31</v>
      </c>
      <c r="E169" s="7">
        <f>1200+212</f>
        <v>1412</v>
      </c>
      <c r="F169" s="3">
        <f>278.65-8.12</f>
        <v>270.52999999999997</v>
      </c>
      <c r="H169" s="7">
        <f>840+212</f>
        <v>1052</v>
      </c>
      <c r="I169" s="3">
        <f>212.16-6.18</f>
        <v>205.98</v>
      </c>
      <c r="K169" s="7">
        <f>920+212</f>
        <v>1132</v>
      </c>
      <c r="L169" s="3">
        <f>224.25-6.53</f>
        <v>217.72</v>
      </c>
      <c r="N169" s="7">
        <f>880+212</f>
        <v>1092</v>
      </c>
      <c r="O169" s="3">
        <f>220.1-6.41</f>
        <v>213.69</v>
      </c>
      <c r="Q169" s="9">
        <f>840+212</f>
        <v>1052</v>
      </c>
      <c r="R169" s="3">
        <f>214.5-6.25</f>
        <v>208.25</v>
      </c>
      <c r="T169" s="9">
        <f>800+212</f>
        <v>1012</v>
      </c>
      <c r="U169" s="3">
        <f>216.48-6.31</f>
        <v>210.17</v>
      </c>
      <c r="W169" s="7">
        <f>760+212</f>
        <v>972</v>
      </c>
      <c r="X169" s="3">
        <f>203.99-5.94</f>
        <v>198.05</v>
      </c>
      <c r="Z169" s="9">
        <f>960+212</f>
        <v>1172</v>
      </c>
      <c r="AA169" s="3">
        <f>222.08-6.47</f>
        <v>215.61</v>
      </c>
      <c r="AC169" s="9">
        <f>760+212</f>
        <v>972</v>
      </c>
      <c r="AD169" s="3">
        <f>199.94-5.82</f>
        <v>194.12</v>
      </c>
      <c r="AF169" s="7">
        <f>760+212</f>
        <v>972</v>
      </c>
      <c r="AG169" s="3">
        <f>173.12-5.04</f>
        <v>168.08</v>
      </c>
      <c r="AI169" s="9">
        <f>800+212</f>
        <v>1012</v>
      </c>
      <c r="AJ169" s="3">
        <f>184.84-5.38</f>
        <v>179.46</v>
      </c>
      <c r="AL169" s="2">
        <f t="shared" si="6"/>
        <v>13224</v>
      </c>
      <c r="AM169" s="5">
        <f t="shared" si="7"/>
        <v>2533.9699999999998</v>
      </c>
    </row>
    <row r="170" spans="1:39" x14ac:dyDescent="0.25">
      <c r="A170" s="11">
        <v>167</v>
      </c>
      <c r="B170" s="7">
        <v>2200</v>
      </c>
      <c r="C170" s="3">
        <f>379.24-31.89</f>
        <v>347.35</v>
      </c>
      <c r="E170" s="7">
        <v>5080</v>
      </c>
      <c r="F170" s="3">
        <f>839.9-70.62</f>
        <v>769.28</v>
      </c>
      <c r="H170" s="7">
        <v>5440</v>
      </c>
      <c r="I170" s="3">
        <f>813.96-68.44</f>
        <v>745.52</v>
      </c>
      <c r="K170" s="7">
        <v>4960</v>
      </c>
      <c r="L170" s="3">
        <f>756.09-63.58</f>
        <v>692.51</v>
      </c>
      <c r="N170" s="7">
        <v>7560</v>
      </c>
      <c r="O170" s="3">
        <f>1140.06-95.86</f>
        <v>1044.2</v>
      </c>
      <c r="Q170" s="9">
        <v>4720</v>
      </c>
      <c r="R170" s="3">
        <f>734.99-61.8</f>
        <v>673.19</v>
      </c>
      <c r="T170" s="9">
        <v>3400</v>
      </c>
      <c r="U170" s="3">
        <f>569.76-47.91</f>
        <v>521.85</v>
      </c>
      <c r="W170" s="7">
        <v>3560</v>
      </c>
      <c r="X170" s="3">
        <f>566.41-47.62</f>
        <v>518.79</v>
      </c>
      <c r="Z170" s="9">
        <v>4280</v>
      </c>
      <c r="AA170" s="3">
        <f>637.52-53.61</f>
        <v>583.91</v>
      </c>
      <c r="AC170" s="9">
        <v>1680</v>
      </c>
      <c r="AD170" s="3">
        <f>294.65-24.78</f>
        <v>269.87</v>
      </c>
      <c r="AF170" s="7">
        <v>1280</v>
      </c>
      <c r="AG170" s="3">
        <f>201.12-16.91</f>
        <v>184.21</v>
      </c>
      <c r="AI170" s="9">
        <v>1040</v>
      </c>
      <c r="AJ170" s="3">
        <f>179.28-15.08</f>
        <v>164.2</v>
      </c>
      <c r="AL170" s="2">
        <f t="shared" si="6"/>
        <v>45200</v>
      </c>
      <c r="AM170" s="5">
        <f t="shared" si="7"/>
        <v>6514.8799999999992</v>
      </c>
    </row>
    <row r="171" spans="1:39" x14ac:dyDescent="0.25">
      <c r="A171" s="11">
        <v>168</v>
      </c>
      <c r="B171" s="7">
        <v>5000</v>
      </c>
      <c r="C171" s="3">
        <f>781.42-65.7</f>
        <v>715.71999999999991</v>
      </c>
      <c r="E171" s="7">
        <v>4000</v>
      </c>
      <c r="F171" s="3">
        <f>675.03-56.76</f>
        <v>618.27</v>
      </c>
      <c r="H171" s="7">
        <v>5840</v>
      </c>
      <c r="I171" s="3">
        <f>869.07-73.07</f>
        <v>796</v>
      </c>
      <c r="K171" s="7">
        <v>6200</v>
      </c>
      <c r="L171" s="3">
        <f>929.01-78.12</f>
        <v>850.89</v>
      </c>
      <c r="N171" s="7">
        <v>4840</v>
      </c>
      <c r="O171" s="3">
        <f>752.42-63.26</f>
        <v>689.16</v>
      </c>
      <c r="Q171" s="9">
        <v>4480</v>
      </c>
      <c r="R171" s="3">
        <f>700.8-58.93</f>
        <v>641.87</v>
      </c>
      <c r="T171" s="9">
        <v>10000</v>
      </c>
      <c r="U171" s="3">
        <f>1552.39-130.53</f>
        <v>1421.8600000000001</v>
      </c>
      <c r="W171" s="7">
        <v>14120</v>
      </c>
      <c r="X171" s="3">
        <f>2057.66-173.01</f>
        <v>1884.6499999999999</v>
      </c>
      <c r="Z171" s="9">
        <v>19080</v>
      </c>
      <c r="AA171" s="3">
        <f>2624.27-220.65</f>
        <v>2403.62</v>
      </c>
      <c r="AC171" s="9">
        <v>14160</v>
      </c>
      <c r="AD171" s="3">
        <f>2017.99-169.68</f>
        <v>1848.31</v>
      </c>
      <c r="AF171" s="7">
        <v>11560</v>
      </c>
      <c r="AG171" s="3">
        <f>1438.7-120.97</f>
        <v>1317.73</v>
      </c>
      <c r="AI171" s="9">
        <v>6400</v>
      </c>
      <c r="AJ171" s="3">
        <f>851.94-71.63</f>
        <v>780.31000000000006</v>
      </c>
      <c r="AL171" s="2">
        <f t="shared" si="6"/>
        <v>105680</v>
      </c>
      <c r="AM171" s="5">
        <f t="shared" si="7"/>
        <v>13968.39</v>
      </c>
    </row>
    <row r="172" spans="1:39" x14ac:dyDescent="0.25">
      <c r="A172" s="11">
        <v>169</v>
      </c>
      <c r="B172" s="7">
        <f>100+106</f>
        <v>206</v>
      </c>
      <c r="C172" s="3">
        <f>172.36-14.5</f>
        <v>157.86000000000001</v>
      </c>
      <c r="E172" s="7">
        <v>106</v>
      </c>
      <c r="F172" s="3">
        <f>174.75-14.69</f>
        <v>160.06</v>
      </c>
      <c r="H172" s="7">
        <f>500+106</f>
        <v>606</v>
      </c>
      <c r="I172" s="3">
        <f>175.94-14.79</f>
        <v>161.15</v>
      </c>
      <c r="K172" s="7">
        <f>500+106</f>
        <v>606</v>
      </c>
      <c r="L172" s="3">
        <f>176.82-14.87</f>
        <v>161.94999999999999</v>
      </c>
      <c r="N172" s="7">
        <f>300+106</f>
        <v>406</v>
      </c>
      <c r="O172" s="3">
        <f>173.52-14.59</f>
        <v>158.93</v>
      </c>
      <c r="Q172" s="9">
        <f>300+106</f>
        <v>406</v>
      </c>
      <c r="R172" s="3">
        <f>173.21-14.56</f>
        <v>158.65</v>
      </c>
      <c r="T172" s="9">
        <f>100+106</f>
        <v>206</v>
      </c>
      <c r="U172" s="3">
        <f>174.16-14.65</f>
        <v>159.51</v>
      </c>
      <c r="W172" s="7">
        <f>300+106</f>
        <v>406</v>
      </c>
      <c r="X172" s="3">
        <f>174.89-14.71</f>
        <v>160.17999999999998</v>
      </c>
      <c r="Z172" s="9">
        <f>100+106</f>
        <v>206</v>
      </c>
      <c r="AA172" s="3">
        <f>169.82-14.28</f>
        <v>155.54</v>
      </c>
      <c r="AC172" s="9">
        <f>300+106</f>
        <v>406</v>
      </c>
      <c r="AD172" s="3">
        <f>171.74-14.44</f>
        <v>157.30000000000001</v>
      </c>
      <c r="AF172" s="7">
        <f>400+106</f>
        <v>506</v>
      </c>
      <c r="AG172" s="3">
        <f>172.38-14.5</f>
        <v>157.88</v>
      </c>
      <c r="AI172" s="9">
        <f>400+106</f>
        <v>506</v>
      </c>
      <c r="AJ172" s="3">
        <f>179.06-15.06</f>
        <v>164</v>
      </c>
      <c r="AL172" s="2">
        <f t="shared" si="6"/>
        <v>4572</v>
      </c>
      <c r="AM172" s="5">
        <f t="shared" si="7"/>
        <v>1913.0100000000002</v>
      </c>
    </row>
    <row r="173" spans="1:39" x14ac:dyDescent="0.25">
      <c r="A173" s="11">
        <v>170</v>
      </c>
      <c r="B173" s="7">
        <v>8040</v>
      </c>
      <c r="C173" s="3">
        <f>1223.55-107.88</f>
        <v>1115.67</v>
      </c>
      <c r="E173" s="7">
        <v>9400</v>
      </c>
      <c r="F173" s="3">
        <f>1504.89-131.53</f>
        <v>1373.3600000000001</v>
      </c>
      <c r="H173" s="7">
        <v>10600</v>
      </c>
      <c r="I173" s="3">
        <f>1530.32-133.67</f>
        <v>1396.6499999999999</v>
      </c>
      <c r="K173" s="7">
        <v>10320</v>
      </c>
      <c r="L173" s="3">
        <f>1509.03-131.88</f>
        <v>1377.15</v>
      </c>
      <c r="N173" s="7">
        <v>9280</v>
      </c>
      <c r="O173" s="3">
        <f>1390.62-121.92</f>
        <v>1268.6999999999998</v>
      </c>
      <c r="Q173" s="9">
        <v>8680</v>
      </c>
      <c r="R173" s="3">
        <f>1304.66-114.7</f>
        <v>1189.96</v>
      </c>
      <c r="T173" s="9">
        <v>6120</v>
      </c>
      <c r="U173" s="3">
        <f>980.18-87.41</f>
        <v>892.77</v>
      </c>
      <c r="W173" s="7">
        <v>6880</v>
      </c>
      <c r="X173" s="3">
        <f>1040.7-92.51</f>
        <v>948.19</v>
      </c>
      <c r="Z173" s="9">
        <v>9920</v>
      </c>
      <c r="AA173" s="3">
        <f>1400.09-122.72</f>
        <v>1277.3699999999999</v>
      </c>
      <c r="AC173" s="9">
        <v>6680</v>
      </c>
      <c r="AD173" s="3">
        <f>990.54-88.29</f>
        <v>902.25</v>
      </c>
      <c r="AF173" s="7">
        <v>5480</v>
      </c>
      <c r="AG173" s="3">
        <f>712.2-64.88</f>
        <v>647.32000000000005</v>
      </c>
      <c r="AI173" s="9">
        <v>6960</v>
      </c>
      <c r="AJ173" s="3">
        <f>927.67-83</f>
        <v>844.67</v>
      </c>
      <c r="AL173" s="2">
        <f t="shared" si="6"/>
        <v>98360</v>
      </c>
      <c r="AM173" s="5">
        <f t="shared" si="7"/>
        <v>13234.06</v>
      </c>
    </row>
    <row r="174" spans="1:39" x14ac:dyDescent="0.25">
      <c r="A174" s="11">
        <v>171</v>
      </c>
      <c r="B174" s="7">
        <v>100</v>
      </c>
      <c r="C174" s="3">
        <f>77.59-6.52</f>
        <v>71.070000000000007</v>
      </c>
      <c r="E174" s="7">
        <v>100</v>
      </c>
      <c r="F174" s="3">
        <f>79.64-6.7</f>
        <v>72.94</v>
      </c>
      <c r="H174" s="7">
        <v>400</v>
      </c>
      <c r="I174" s="3">
        <f>119.59-10.06</f>
        <v>109.53</v>
      </c>
      <c r="K174" s="7">
        <v>100</v>
      </c>
      <c r="L174" s="3">
        <f>78.33-6.58</f>
        <v>71.75</v>
      </c>
      <c r="N174" s="7">
        <v>100</v>
      </c>
      <c r="O174" s="3">
        <f>76.91-6.46</f>
        <v>70.45</v>
      </c>
      <c r="Q174" s="9">
        <v>100</v>
      </c>
      <c r="R174" s="3">
        <f>76.75-6.45</f>
        <v>70.3</v>
      </c>
      <c r="T174" s="9">
        <v>100</v>
      </c>
      <c r="U174" s="3">
        <f>78.44-6.6</f>
        <v>71.84</v>
      </c>
      <c r="W174" s="7">
        <v>200</v>
      </c>
      <c r="X174" s="3">
        <f>91.93-7.73</f>
        <v>84.2</v>
      </c>
      <c r="Z174" s="9">
        <v>200</v>
      </c>
      <c r="AA174" s="3">
        <f>89.81-7.55</f>
        <v>82.26</v>
      </c>
      <c r="AC174" s="9">
        <v>200</v>
      </c>
      <c r="AD174" s="3">
        <f>90.28-7.59</f>
        <v>82.69</v>
      </c>
      <c r="AF174" s="7">
        <v>200</v>
      </c>
      <c r="AG174" s="3">
        <f>74.05-6.22</f>
        <v>67.83</v>
      </c>
      <c r="AI174" s="9">
        <v>300</v>
      </c>
      <c r="AJ174" s="3">
        <f>86.4-7.26</f>
        <v>79.14</v>
      </c>
      <c r="AL174" s="2">
        <f t="shared" si="6"/>
        <v>2100</v>
      </c>
      <c r="AM174" s="5">
        <f t="shared" si="7"/>
        <v>934</v>
      </c>
    </row>
    <row r="175" spans="1:39" x14ac:dyDescent="0.25">
      <c r="A175" s="11">
        <v>172</v>
      </c>
      <c r="B175" s="7">
        <f>800+167</f>
        <v>967</v>
      </c>
      <c r="C175" s="3">
        <f>209.17-17.59</f>
        <v>191.57999999999998</v>
      </c>
      <c r="E175" s="7">
        <f>1000+167</f>
        <v>1167</v>
      </c>
      <c r="F175" s="3">
        <f>249.69-20.99</f>
        <v>228.7</v>
      </c>
      <c r="H175" s="7">
        <f>1300+167</f>
        <v>1467</v>
      </c>
      <c r="I175" s="3">
        <f>273.78-23.02</f>
        <v>250.75999999999996</v>
      </c>
      <c r="K175" s="7">
        <f>1300+167</f>
        <v>1467</v>
      </c>
      <c r="L175" s="3">
        <f>276.14-23.22</f>
        <v>252.92</v>
      </c>
      <c r="N175" s="7">
        <f>1000+167</f>
        <v>1167</v>
      </c>
      <c r="O175" s="3">
        <f>235.96-19.84</f>
        <v>216.12</v>
      </c>
      <c r="Q175" s="9">
        <f>700+167</f>
        <v>867</v>
      </c>
      <c r="R175" s="3">
        <f>193-16.22</f>
        <v>176.78</v>
      </c>
      <c r="T175" s="9">
        <f>600+167</f>
        <v>767</v>
      </c>
      <c r="U175" s="3">
        <f>184.82-15.54</f>
        <v>169.28</v>
      </c>
      <c r="W175" s="7">
        <f>800+167</f>
        <v>967</v>
      </c>
      <c r="X175" s="3">
        <f>207.34-17.44</f>
        <v>189.9</v>
      </c>
      <c r="Z175" s="9">
        <f>700+167</f>
        <v>867</v>
      </c>
      <c r="AA175" s="3">
        <f>186.37-15.67</f>
        <v>170.70000000000002</v>
      </c>
      <c r="AC175" s="9">
        <f>700+167</f>
        <v>867</v>
      </c>
      <c r="AD175" s="3">
        <f>189.37-15.92</f>
        <v>173.45000000000002</v>
      </c>
      <c r="AF175" s="7">
        <f>700+167</f>
        <v>867</v>
      </c>
      <c r="AG175" s="3">
        <f>162-13.62</f>
        <v>148.38</v>
      </c>
      <c r="AI175" s="9">
        <f>700+167</f>
        <v>867</v>
      </c>
      <c r="AJ175" s="3">
        <f>168.55-14.17</f>
        <v>154.38000000000002</v>
      </c>
      <c r="AL175" s="2">
        <f t="shared" si="6"/>
        <v>12304</v>
      </c>
      <c r="AM175" s="5">
        <f t="shared" si="7"/>
        <v>2322.9500000000003</v>
      </c>
    </row>
    <row r="176" spans="1:39" x14ac:dyDescent="0.25">
      <c r="A176" s="11">
        <v>173</v>
      </c>
      <c r="B176" s="7">
        <v>800</v>
      </c>
      <c r="C176" s="3">
        <f>178.13-14.97</f>
        <v>163.16</v>
      </c>
      <c r="E176" s="7">
        <v>800</v>
      </c>
      <c r="F176" s="3">
        <f>186.49-15.68</f>
        <v>170.81</v>
      </c>
      <c r="H176" s="7">
        <v>900</v>
      </c>
      <c r="I176" s="3">
        <f>188.48-15.85</f>
        <v>172.63</v>
      </c>
      <c r="K176" s="7">
        <v>900</v>
      </c>
      <c r="L176" s="3">
        <f>189.89-15.97</f>
        <v>173.92</v>
      </c>
      <c r="N176" s="7">
        <v>900</v>
      </c>
      <c r="O176" s="3">
        <f>190.93-16.06</f>
        <v>174.87</v>
      </c>
      <c r="Q176" s="9">
        <v>1100</v>
      </c>
      <c r="R176" s="3">
        <f>219.23-18.43</f>
        <v>200.79999999999998</v>
      </c>
      <c r="T176" s="9">
        <v>1300</v>
      </c>
      <c r="U176" s="3">
        <f>257.09-21.61</f>
        <v>235.47999999999996</v>
      </c>
      <c r="W176" s="7">
        <v>1400</v>
      </c>
      <c r="X176" s="3">
        <f>261.39-21.98</f>
        <v>239.41</v>
      </c>
      <c r="Z176" s="9">
        <v>1800</v>
      </c>
      <c r="AA176" s="3">
        <f>304.6-25.61</f>
        <v>278.99</v>
      </c>
      <c r="AC176" s="9">
        <v>1000</v>
      </c>
      <c r="AD176" s="3">
        <f>200.75-16.88</f>
        <v>183.87</v>
      </c>
      <c r="AF176" s="7">
        <v>1400</v>
      </c>
      <c r="AG176" s="3">
        <f>215.57-18.12</f>
        <v>197.45</v>
      </c>
      <c r="AI176" s="9">
        <v>1400</v>
      </c>
      <c r="AJ176" s="3">
        <f>224.47-18.88</f>
        <v>205.59</v>
      </c>
      <c r="AL176" s="2">
        <f t="shared" si="6"/>
        <v>13700</v>
      </c>
      <c r="AM176" s="5">
        <f t="shared" si="7"/>
        <v>2396.98</v>
      </c>
    </row>
    <row r="177" spans="1:39" x14ac:dyDescent="0.25">
      <c r="A177" s="11">
        <v>174</v>
      </c>
      <c r="B177" s="7">
        <v>2880</v>
      </c>
      <c r="C177" s="3">
        <f>449.91-13.1</f>
        <v>436.81</v>
      </c>
      <c r="E177" s="7">
        <v>2880</v>
      </c>
      <c r="F177" s="3">
        <f>475.5-13.85</f>
        <v>461.65</v>
      </c>
      <c r="H177" s="7">
        <v>3760</v>
      </c>
      <c r="I177" s="3">
        <f>549.53-16.01</f>
        <v>533.52</v>
      </c>
      <c r="K177" s="7">
        <v>3680</v>
      </c>
      <c r="L177" s="3">
        <f>544.88-15.87</f>
        <v>529.01</v>
      </c>
      <c r="N177" s="7">
        <v>3040</v>
      </c>
      <c r="O177" s="3">
        <f>467.83-13.63</f>
        <v>454.2</v>
      </c>
      <c r="Q177" s="9">
        <v>4800</v>
      </c>
      <c r="R177" s="3">
        <f>128.84-3.76</f>
        <v>125.08</v>
      </c>
      <c r="T177" s="9">
        <v>6400</v>
      </c>
      <c r="U177" s="3">
        <f>252.47-7.35</f>
        <v>245.12</v>
      </c>
      <c r="W177" s="7">
        <v>5120</v>
      </c>
      <c r="X177" s="3">
        <f>242.65-7.06</f>
        <v>235.59</v>
      </c>
      <c r="Z177" s="9">
        <v>7040</v>
      </c>
      <c r="AA177" s="3">
        <f>426.83-12.43</f>
        <v>414.4</v>
      </c>
      <c r="AC177" s="9">
        <v>7360</v>
      </c>
      <c r="AD177" s="3">
        <f>216.91-6.32</f>
        <v>210.59</v>
      </c>
      <c r="AF177" s="7">
        <v>7120</v>
      </c>
      <c r="AG177" s="3">
        <f>94.86-2.77</f>
        <v>92.09</v>
      </c>
      <c r="AI177" s="9">
        <v>8640</v>
      </c>
      <c r="AJ177" s="3">
        <f>103.32-8.69</f>
        <v>94.63</v>
      </c>
      <c r="AL177" s="2">
        <f t="shared" si="6"/>
        <v>62720</v>
      </c>
      <c r="AM177" s="5">
        <f t="shared" si="7"/>
        <v>3832.6900000000005</v>
      </c>
    </row>
    <row r="178" spans="1:39" x14ac:dyDescent="0.25">
      <c r="A178" s="11">
        <v>175</v>
      </c>
      <c r="B178" s="7">
        <v>3240</v>
      </c>
      <c r="C178" s="3">
        <f>498.7-14.53</f>
        <v>484.17</v>
      </c>
      <c r="E178" s="7">
        <v>4860</v>
      </c>
      <c r="F178" s="3">
        <f>760.69-22.16</f>
        <v>738.53000000000009</v>
      </c>
      <c r="H178" s="7">
        <v>5940</v>
      </c>
      <c r="I178" s="3">
        <f>832.87-24.26</f>
        <v>808.61</v>
      </c>
      <c r="K178" s="7">
        <v>5040</v>
      </c>
      <c r="L178" s="3">
        <f>723.81-21.08</f>
        <v>702.7299999999999</v>
      </c>
      <c r="N178" s="7">
        <v>3600</v>
      </c>
      <c r="O178" s="3">
        <f>543.12-15.82</f>
        <v>527.29999999999995</v>
      </c>
      <c r="Q178" s="9">
        <v>4740</v>
      </c>
      <c r="R178" s="3">
        <f>696.07-20.27</f>
        <v>675.80000000000007</v>
      </c>
      <c r="T178" s="9">
        <v>2700</v>
      </c>
      <c r="U178" s="3">
        <f>439.18-12.79</f>
        <v>426.39</v>
      </c>
      <c r="W178" s="7">
        <v>480</v>
      </c>
      <c r="X178" s="3">
        <f>124.02-3.61</f>
        <v>120.41</v>
      </c>
      <c r="Z178" s="9">
        <v>660</v>
      </c>
      <c r="AA178" s="3">
        <f>142.98-4.16</f>
        <v>138.82</v>
      </c>
      <c r="AC178" s="9">
        <v>480</v>
      </c>
      <c r="AD178" s="3">
        <f>121.64-3.54</f>
        <v>118.1</v>
      </c>
      <c r="AF178" s="7">
        <v>1020</v>
      </c>
      <c r="AG178" s="3">
        <f>160.22-4.67</f>
        <v>155.55000000000001</v>
      </c>
      <c r="AI178" s="9">
        <v>3000</v>
      </c>
      <c r="AJ178" s="3">
        <f>401.17-11.68</f>
        <v>389.49</v>
      </c>
      <c r="AL178" s="2">
        <f t="shared" si="6"/>
        <v>35760</v>
      </c>
      <c r="AM178" s="5">
        <f t="shared" si="7"/>
        <v>5285.9000000000005</v>
      </c>
    </row>
    <row r="179" spans="1:39" x14ac:dyDescent="0.25">
      <c r="A179" s="11">
        <v>176</v>
      </c>
      <c r="B179" s="7">
        <v>5120</v>
      </c>
      <c r="C179" s="3">
        <f>798.67-67.16</f>
        <v>731.51</v>
      </c>
      <c r="E179" s="7">
        <v>6000</v>
      </c>
      <c r="F179" s="3">
        <f>980.36-82.43</f>
        <v>897.93000000000006</v>
      </c>
      <c r="H179" s="7">
        <v>9520</v>
      </c>
      <c r="I179" s="3">
        <f>1376.07-115.7</f>
        <v>1260.3699999999999</v>
      </c>
      <c r="K179" s="7">
        <v>8000</v>
      </c>
      <c r="L179" s="3">
        <f>1180.02-99.21</f>
        <v>1080.81</v>
      </c>
      <c r="N179" s="7">
        <v>6560</v>
      </c>
      <c r="O179" s="3">
        <f>997.54-83.87</f>
        <v>913.67</v>
      </c>
      <c r="Q179" s="9">
        <v>4240</v>
      </c>
      <c r="R179" s="3">
        <f>666.6-56.05</f>
        <v>610.55000000000007</v>
      </c>
      <c r="T179" s="9">
        <v>4000</v>
      </c>
      <c r="U179" s="3">
        <f>659.09-55.42</f>
        <v>603.67000000000007</v>
      </c>
      <c r="W179" s="7">
        <v>4160</v>
      </c>
      <c r="X179" s="3">
        <f>651.14-54.75</f>
        <v>596.39</v>
      </c>
      <c r="Z179" s="9">
        <v>8800</v>
      </c>
      <c r="AA179" s="3">
        <f>1244.28-104.62</f>
        <v>1139.6599999999999</v>
      </c>
      <c r="AC179" s="9">
        <v>4000</v>
      </c>
      <c r="AD179" s="3">
        <f>615.01-51.71</f>
        <v>563.29999999999995</v>
      </c>
      <c r="AF179" s="7">
        <v>3520</v>
      </c>
      <c r="AG179" s="3">
        <f>470.79-39.59</f>
        <v>431.20000000000005</v>
      </c>
      <c r="AI179" s="9">
        <v>4000</v>
      </c>
      <c r="AJ179" s="3">
        <f>550.73-46.3</f>
        <v>504.43</v>
      </c>
      <c r="AL179" s="2">
        <f t="shared" si="6"/>
        <v>67920</v>
      </c>
      <c r="AM179" s="5">
        <f t="shared" si="7"/>
        <v>9333.4900000000016</v>
      </c>
    </row>
    <row r="180" spans="1:39" x14ac:dyDescent="0.25">
      <c r="A180" s="11">
        <v>177</v>
      </c>
      <c r="B180" s="7">
        <v>1760</v>
      </c>
      <c r="C180" s="3">
        <f>316.03-26.57</f>
        <v>289.45999999999998</v>
      </c>
      <c r="E180" s="7">
        <v>4880</v>
      </c>
      <c r="F180" s="3">
        <f>809.36-68.05</f>
        <v>741.31000000000006</v>
      </c>
      <c r="H180" s="7">
        <v>8560</v>
      </c>
      <c r="I180" s="3">
        <f>1243.81-104.58</f>
        <v>1139.23</v>
      </c>
      <c r="K180" s="7">
        <v>7760</v>
      </c>
      <c r="L180" s="3">
        <f>1146.56-96.4</f>
        <v>1050.1599999999999</v>
      </c>
      <c r="N180" s="7">
        <v>5360</v>
      </c>
      <c r="O180" s="3">
        <f>826.54-69.5</f>
        <v>757.04</v>
      </c>
      <c r="Q180" s="9">
        <v>1120</v>
      </c>
      <c r="R180" s="3">
        <f>222.07-18.67</f>
        <v>203.39999999999998</v>
      </c>
      <c r="T180" s="9">
        <v>160</v>
      </c>
      <c r="U180" s="3">
        <f>87.37-7.35</f>
        <v>80.02000000000001</v>
      </c>
      <c r="W180" s="7">
        <v>80</v>
      </c>
      <c r="X180" s="3">
        <f>74.97-6.3</f>
        <v>68.67</v>
      </c>
      <c r="Z180" s="9">
        <v>160</v>
      </c>
      <c r="AA180" s="3">
        <f>84.44-7.1</f>
        <v>77.34</v>
      </c>
      <c r="AC180" s="9">
        <v>640</v>
      </c>
      <c r="AD180" s="3">
        <f>151.04-12.7</f>
        <v>138.34</v>
      </c>
      <c r="AF180" s="7">
        <v>1600</v>
      </c>
      <c r="AG180" s="3">
        <f>239.63-20.14</f>
        <v>219.49</v>
      </c>
      <c r="AI180" s="9">
        <v>2080</v>
      </c>
      <c r="AJ180" s="3">
        <f>309.77-26.04</f>
        <v>283.72999999999996</v>
      </c>
      <c r="AL180" s="2">
        <f t="shared" si="6"/>
        <v>34160</v>
      </c>
      <c r="AM180" s="5">
        <f t="shared" si="7"/>
        <v>5048.1899999999996</v>
      </c>
    </row>
    <row r="181" spans="1:39" x14ac:dyDescent="0.25">
      <c r="A181" s="11">
        <v>178</v>
      </c>
      <c r="B181" s="7">
        <f>6000+74</f>
        <v>6074</v>
      </c>
      <c r="C181" s="3">
        <f>886.29-25.81</f>
        <v>860.48</v>
      </c>
      <c r="E181" s="7">
        <f>11440+67</f>
        <v>11507</v>
      </c>
      <c r="F181" s="3">
        <f>1723-50.18</f>
        <v>1672.82</v>
      </c>
      <c r="H181" s="7">
        <f>7280+23</f>
        <v>7303</v>
      </c>
      <c r="I181" s="3">
        <f>1023.7-29.82</f>
        <v>993.88</v>
      </c>
      <c r="K181" s="7">
        <f>7200+23</f>
        <v>7223</v>
      </c>
      <c r="L181" s="3">
        <f>1024.65-29.84</f>
        <v>994.81000000000006</v>
      </c>
      <c r="N181" s="7">
        <f>5520+23</f>
        <v>5543</v>
      </c>
      <c r="O181" s="3">
        <f>817.63-23.81</f>
        <v>793.82</v>
      </c>
      <c r="Q181" s="9">
        <f>4280+23</f>
        <v>4303</v>
      </c>
      <c r="R181" s="3">
        <f>650.58-18.95</f>
        <v>631.63</v>
      </c>
      <c r="T181" s="9">
        <f>3080+23</f>
        <v>3103</v>
      </c>
      <c r="U181" s="3">
        <f>509.25-14.83</f>
        <v>494.42</v>
      </c>
      <c r="W181" s="7">
        <f>2040+23</f>
        <v>2063</v>
      </c>
      <c r="X181" s="3">
        <f>348.42-10.15</f>
        <v>338.27000000000004</v>
      </c>
      <c r="Z181" s="9">
        <f>5640+23</f>
        <v>5663</v>
      </c>
      <c r="AA181" s="3">
        <f>789.93-23.01</f>
        <v>766.92</v>
      </c>
      <c r="AC181" s="9">
        <f>6600+23</f>
        <v>6623</v>
      </c>
      <c r="AD181" s="3">
        <f>935.19-27.24</f>
        <v>907.95</v>
      </c>
      <c r="AF181" s="7">
        <f>4760+23</f>
        <v>4783</v>
      </c>
      <c r="AG181" s="3">
        <f>600.99-17.5</f>
        <v>583.49</v>
      </c>
      <c r="AI181" s="9">
        <f>4680+23</f>
        <v>4703</v>
      </c>
      <c r="AJ181" s="3">
        <f>616.71-17.96</f>
        <v>598.75</v>
      </c>
      <c r="AL181" s="2">
        <f t="shared" si="6"/>
        <v>68891</v>
      </c>
      <c r="AM181" s="5">
        <f t="shared" si="7"/>
        <v>9637.2400000000016</v>
      </c>
    </row>
    <row r="182" spans="1:39" x14ac:dyDescent="0.25">
      <c r="A182" s="11">
        <v>179</v>
      </c>
      <c r="B182" s="7">
        <v>3000</v>
      </c>
      <c r="C182" s="3">
        <f>489.49-36.89</f>
        <v>452.6</v>
      </c>
      <c r="E182" s="7">
        <v>3540</v>
      </c>
      <c r="F182" s="3">
        <f>599.09-45.15</f>
        <v>553.94000000000005</v>
      </c>
      <c r="H182" s="7">
        <v>4380</v>
      </c>
      <c r="I182" s="3">
        <f>661.62-49.86</f>
        <v>611.76</v>
      </c>
      <c r="K182" s="7">
        <v>4380</v>
      </c>
      <c r="L182" s="3">
        <f>668.82-50.4</f>
        <v>618.42000000000007</v>
      </c>
      <c r="N182" s="7">
        <v>3480</v>
      </c>
      <c r="O182" s="3">
        <f>553.33-41.7</f>
        <v>511.63000000000005</v>
      </c>
      <c r="Q182" s="9">
        <v>2820</v>
      </c>
      <c r="R182" s="3">
        <f>459.91-34.66</f>
        <v>425.25</v>
      </c>
      <c r="T182" s="9">
        <v>2460</v>
      </c>
      <c r="U182" s="3">
        <f>425.75-32.08</f>
        <v>393.67</v>
      </c>
      <c r="W182" s="7">
        <v>2700</v>
      </c>
      <c r="X182" s="3">
        <f>440.77-33.22</f>
        <v>407.54999999999995</v>
      </c>
      <c r="Z182" s="9">
        <v>3360</v>
      </c>
      <c r="AA182" s="3">
        <f>509.16-38.37</f>
        <v>470.79</v>
      </c>
      <c r="AC182" s="9">
        <v>3540</v>
      </c>
      <c r="AD182" s="3">
        <f>546.29-41.17</f>
        <v>505.11999999999995</v>
      </c>
      <c r="AF182" s="7">
        <v>3120</v>
      </c>
      <c r="AG182" s="3">
        <f>418.65-31.55</f>
        <v>387.09999999999997</v>
      </c>
      <c r="AI182" s="9">
        <v>3300</v>
      </c>
      <c r="AJ182" s="3">
        <f>458.54-34.56</f>
        <v>423.98</v>
      </c>
      <c r="AL182" s="2">
        <f t="shared" si="6"/>
        <v>40080</v>
      </c>
      <c r="AM182" s="5">
        <f t="shared" si="7"/>
        <v>5761.8100000000013</v>
      </c>
    </row>
    <row r="183" spans="1:39" x14ac:dyDescent="0.25">
      <c r="A183" s="11">
        <v>180</v>
      </c>
      <c r="B183" s="7">
        <v>0</v>
      </c>
      <c r="C183" s="3">
        <f>138.1-4.02</f>
        <v>134.07999999999998</v>
      </c>
      <c r="E183" s="7">
        <v>0</v>
      </c>
      <c r="F183" s="3">
        <f>140.57-4.09</f>
        <v>136.47999999999999</v>
      </c>
      <c r="H183" s="7">
        <v>0</v>
      </c>
      <c r="I183" s="3">
        <f>140.83-4.1</f>
        <v>136.73000000000002</v>
      </c>
      <c r="K183" s="7">
        <v>0</v>
      </c>
      <c r="L183" s="3">
        <f>140.64-4.1</f>
        <v>136.54</v>
      </c>
      <c r="N183" s="7">
        <v>0</v>
      </c>
      <c r="O183" s="3">
        <f>136.88-3.99</f>
        <v>132.88999999999999</v>
      </c>
      <c r="Q183" s="9">
        <v>0</v>
      </c>
      <c r="R183" s="3">
        <f>136.52-3.98</f>
        <v>132.54000000000002</v>
      </c>
      <c r="T183" s="9">
        <v>0</v>
      </c>
      <c r="U183" s="3">
        <f>138.8-4.04</f>
        <v>134.76000000000002</v>
      </c>
      <c r="W183" s="7">
        <v>0</v>
      </c>
      <c r="X183" s="3">
        <f>139.1-4.05</f>
        <v>135.04999999999998</v>
      </c>
      <c r="Z183" s="9">
        <v>0</v>
      </c>
      <c r="AA183" s="3">
        <f>137.53-4.01</f>
        <v>133.52000000000001</v>
      </c>
      <c r="AC183" s="9">
        <v>0</v>
      </c>
      <c r="AD183" s="3">
        <f>136.88-3.99</f>
        <v>132.88999999999999</v>
      </c>
      <c r="AF183" s="7">
        <v>0</v>
      </c>
      <c r="AG183" s="3">
        <f>133.11-3.88</f>
        <v>129.23000000000002</v>
      </c>
      <c r="AI183" s="9">
        <v>0</v>
      </c>
      <c r="AJ183" s="3">
        <f>137.99-4.02</f>
        <v>133.97</v>
      </c>
      <c r="AL183" s="2">
        <f t="shared" si="6"/>
        <v>0</v>
      </c>
      <c r="AM183" s="5">
        <f t="shared" si="7"/>
        <v>1608.68</v>
      </c>
    </row>
    <row r="184" spans="1:39" x14ac:dyDescent="0.25">
      <c r="A184" s="11">
        <v>181</v>
      </c>
      <c r="B184" s="7">
        <v>2500</v>
      </c>
      <c r="C184" s="3">
        <f>422.33-35.51</f>
        <v>386.82</v>
      </c>
      <c r="E184" s="7">
        <v>2400</v>
      </c>
      <c r="F184" s="3">
        <f>430.76-36.22</f>
        <v>394.53999999999996</v>
      </c>
      <c r="H184" s="7">
        <v>2900</v>
      </c>
      <c r="I184" s="3">
        <f>464.03-39.02</f>
        <v>425.01</v>
      </c>
      <c r="K184" s="7">
        <v>2700</v>
      </c>
      <c r="L184" s="3">
        <f>440.92-37.08</f>
        <v>403.84000000000003</v>
      </c>
      <c r="N184" s="7">
        <v>2500</v>
      </c>
      <c r="O184" s="3">
        <f>418.95-35.22</f>
        <v>383.73</v>
      </c>
      <c r="Q184" s="9">
        <v>2800</v>
      </c>
      <c r="R184" s="3">
        <f>461.44-38.8</f>
        <v>422.64</v>
      </c>
      <c r="T184" s="9">
        <v>3400</v>
      </c>
      <c r="U184" s="3">
        <f>569.76-47.91</f>
        <v>521.85</v>
      </c>
      <c r="W184" s="7">
        <v>4100</v>
      </c>
      <c r="X184" s="3">
        <f>642.67-54.04</f>
        <v>588.63</v>
      </c>
      <c r="Z184" s="9">
        <v>5500</v>
      </c>
      <c r="AA184" s="3">
        <f>801.29-67.38</f>
        <v>733.91</v>
      </c>
      <c r="AC184" s="9">
        <v>3800</v>
      </c>
      <c r="AD184" s="3">
        <f>587.4-49.39</f>
        <v>538.01</v>
      </c>
      <c r="AF184" s="7">
        <v>2300</v>
      </c>
      <c r="AG184" s="3">
        <f>323.93-27.24</f>
        <v>296.69</v>
      </c>
      <c r="AI184" s="9">
        <v>2900</v>
      </c>
      <c r="AJ184" s="3">
        <f>412.7-34.7</f>
        <v>378</v>
      </c>
      <c r="AL184" s="2">
        <f t="shared" si="6"/>
        <v>37800</v>
      </c>
      <c r="AM184" s="5">
        <f t="shared" si="7"/>
        <v>5473.67</v>
      </c>
    </row>
    <row r="185" spans="1:39" x14ac:dyDescent="0.25">
      <c r="A185" s="11">
        <v>182</v>
      </c>
      <c r="B185" s="7">
        <v>5700</v>
      </c>
      <c r="C185" s="3">
        <f>881.97-74.15</f>
        <v>807.82</v>
      </c>
      <c r="E185" s="7">
        <v>5900</v>
      </c>
      <c r="F185" s="3">
        <f>965.11-81.15</f>
        <v>883.96</v>
      </c>
      <c r="H185" s="7">
        <v>6100</v>
      </c>
      <c r="I185" s="3">
        <f>904.89-76.08</f>
        <v>828.81</v>
      </c>
      <c r="K185" s="7">
        <v>4900</v>
      </c>
      <c r="L185" s="3">
        <f>747.71-62.87</f>
        <v>684.84</v>
      </c>
      <c r="N185" s="7">
        <v>4500</v>
      </c>
      <c r="O185" s="3">
        <f>703.97-59.19</f>
        <v>644.78</v>
      </c>
      <c r="Q185" s="9">
        <v>4700</v>
      </c>
      <c r="R185" s="3">
        <f>732.15-61.56</f>
        <v>670.58999999999992</v>
      </c>
      <c r="T185" s="9">
        <v>7000</v>
      </c>
      <c r="U185" s="3">
        <f>1105.74-92.97</f>
        <v>1012.77</v>
      </c>
      <c r="W185" s="7">
        <v>3100</v>
      </c>
      <c r="X185" s="3">
        <f>501.45-42.16</f>
        <v>459.28999999999996</v>
      </c>
      <c r="Z185" s="9">
        <v>6600</v>
      </c>
      <c r="AA185" s="3">
        <f>948.94-79.78</f>
        <v>869.16000000000008</v>
      </c>
      <c r="AC185" s="9">
        <v>5100</v>
      </c>
      <c r="AD185" s="3">
        <f>766.9-64.48</f>
        <v>702.42</v>
      </c>
      <c r="AF185" s="7">
        <v>5200</v>
      </c>
      <c r="AG185" s="3">
        <f>673.03-56.59</f>
        <v>616.43999999999994</v>
      </c>
      <c r="AI185" s="9">
        <v>7000</v>
      </c>
      <c r="AJ185" s="3">
        <f>927.24-77.97</f>
        <v>849.27</v>
      </c>
      <c r="AL185" s="2">
        <f t="shared" si="6"/>
        <v>65800</v>
      </c>
      <c r="AM185" s="5">
        <f t="shared" si="7"/>
        <v>9030.15</v>
      </c>
    </row>
    <row r="186" spans="1:39" x14ac:dyDescent="0.25">
      <c r="A186" s="11">
        <v>183</v>
      </c>
      <c r="B186" s="7">
        <v>900</v>
      </c>
      <c r="C186" s="3">
        <f>197.97-21.65</f>
        <v>176.32</v>
      </c>
      <c r="E186" s="7">
        <v>1000</v>
      </c>
      <c r="F186" s="3">
        <f>222.48-23.7</f>
        <v>198.78</v>
      </c>
      <c r="H186" s="7">
        <v>900</v>
      </c>
      <c r="I186" s="3">
        <f>193.94-21.31</f>
        <v>172.63</v>
      </c>
      <c r="K186" s="7">
        <v>1000</v>
      </c>
      <c r="L186" s="3">
        <f>209.3-22.6</f>
        <v>186.70000000000002</v>
      </c>
      <c r="N186" s="7">
        <v>800</v>
      </c>
      <c r="O186" s="3">
        <f>182.13-20.31</f>
        <v>161.82</v>
      </c>
      <c r="Q186" s="9">
        <v>900</v>
      </c>
      <c r="R186" s="3">
        <f>196.2-21.5</f>
        <v>174.7</v>
      </c>
      <c r="T186" s="9">
        <v>800</v>
      </c>
      <c r="U186" s="3">
        <f>188.11-20.82</f>
        <v>167.29000000000002</v>
      </c>
      <c r="W186" s="7">
        <v>1000</v>
      </c>
      <c r="X186" s="3">
        <f>210.36-22.69</f>
        <v>187.67000000000002</v>
      </c>
      <c r="Z186" s="9">
        <v>1200</v>
      </c>
      <c r="AA186" s="3">
        <f>229.52-24.3</f>
        <v>205.22</v>
      </c>
      <c r="AC186" s="9">
        <v>1000</v>
      </c>
      <c r="AD186" s="3">
        <f>206.21-22.34</f>
        <v>183.87</v>
      </c>
      <c r="AF186" s="7">
        <v>1200</v>
      </c>
      <c r="AG186" s="3">
        <f>196.94-21.56</f>
        <v>175.38</v>
      </c>
      <c r="AI186" s="9">
        <v>1100</v>
      </c>
      <c r="AJ186" s="3">
        <f>192.25-21.16</f>
        <v>171.09</v>
      </c>
      <c r="AL186" s="2">
        <f t="shared" si="6"/>
        <v>11800</v>
      </c>
      <c r="AM186" s="5">
        <f t="shared" si="7"/>
        <v>2161.4700000000003</v>
      </c>
    </row>
    <row r="187" spans="1:39" x14ac:dyDescent="0.25">
      <c r="A187" s="11">
        <v>184</v>
      </c>
      <c r="B187" s="7">
        <v>14760</v>
      </c>
      <c r="C187" s="3">
        <f>2059.76-59.99</f>
        <v>1999.7700000000002</v>
      </c>
      <c r="E187" s="7">
        <v>14760</v>
      </c>
      <c r="F187" s="3">
        <f>2186.54-63.69</f>
        <v>2122.85</v>
      </c>
      <c r="H187" s="7">
        <v>17520</v>
      </c>
      <c r="I187" s="3">
        <f>2337.98-68.1</f>
        <v>2269.88</v>
      </c>
      <c r="K187" s="7">
        <v>17280</v>
      </c>
      <c r="L187" s="3">
        <f>2334.11-67.98</f>
        <v>2266.13</v>
      </c>
      <c r="N187" s="7">
        <v>14640</v>
      </c>
      <c r="O187" s="3">
        <f>2027.39-59.05</f>
        <v>1968.3400000000001</v>
      </c>
      <c r="Q187" s="9">
        <v>12840</v>
      </c>
      <c r="R187" s="3">
        <f>1784.8-51.98</f>
        <v>1732.82</v>
      </c>
      <c r="T187" s="9">
        <v>13560</v>
      </c>
      <c r="U187" s="3">
        <f>1964.55-57.22</f>
        <v>1907.33</v>
      </c>
      <c r="W187" s="7">
        <v>15600</v>
      </c>
      <c r="X187" s="3">
        <f>2138.35-62.28</f>
        <v>2076.0699999999997</v>
      </c>
      <c r="Z187" s="9">
        <v>18240</v>
      </c>
      <c r="AA187" s="3">
        <f>2369.35-69.01</f>
        <v>2300.3399999999997</v>
      </c>
      <c r="AC187" s="9">
        <v>15000</v>
      </c>
      <c r="AD187" s="3">
        <f>2013.18-58.64</f>
        <v>1954.54</v>
      </c>
      <c r="AF187" s="7">
        <v>12960</v>
      </c>
      <c r="AG187" s="3">
        <f>1516.25-44.16</f>
        <v>1472.09</v>
      </c>
      <c r="AI187" s="9">
        <v>12600</v>
      </c>
      <c r="AJ187" s="3">
        <f>1537.74-44.79</f>
        <v>1492.95</v>
      </c>
      <c r="AL187" s="2">
        <f t="shared" si="6"/>
        <v>179760</v>
      </c>
      <c r="AM187" s="5">
        <f t="shared" si="7"/>
        <v>23563.11</v>
      </c>
    </row>
    <row r="188" spans="1:39" x14ac:dyDescent="0.25">
      <c r="A188" s="11">
        <v>185</v>
      </c>
      <c r="B188" s="7">
        <v>20</v>
      </c>
      <c r="C188" s="3">
        <f>73.46-6.18</f>
        <v>67.28</v>
      </c>
      <c r="E188" s="7">
        <v>31</v>
      </c>
      <c r="F188" s="3">
        <f>75.12-6.31</f>
        <v>68.81</v>
      </c>
      <c r="H188" s="7">
        <v>39</v>
      </c>
      <c r="I188" s="3">
        <f>74.83-6.3</f>
        <v>68.53</v>
      </c>
      <c r="K188" s="7">
        <v>38</v>
      </c>
      <c r="L188" s="3">
        <f>74.8-6.29</f>
        <v>68.509999999999991</v>
      </c>
      <c r="N188" s="7">
        <v>31</v>
      </c>
      <c r="O188" s="3">
        <f>72.95-6.13</f>
        <v>66.820000000000007</v>
      </c>
      <c r="Q188" s="9">
        <v>24</v>
      </c>
      <c r="R188" s="3">
        <f>72.68-6.11</f>
        <v>66.570000000000007</v>
      </c>
      <c r="T188" s="9">
        <v>31</v>
      </c>
      <c r="U188" s="3">
        <f>74.13-6.24</f>
        <v>67.89</v>
      </c>
      <c r="W188" s="7">
        <v>40</v>
      </c>
      <c r="X188" s="3">
        <f>74.14-6.24</f>
        <v>67.900000000000006</v>
      </c>
      <c r="Z188" s="9">
        <v>66</v>
      </c>
      <c r="AA188" s="3">
        <f>73.18-6.15</f>
        <v>67.03</v>
      </c>
      <c r="AC188" s="9">
        <v>37</v>
      </c>
      <c r="AD188" s="3">
        <f>72.86-6.12</f>
        <v>66.739999999999995</v>
      </c>
      <c r="AF188" s="7">
        <v>27</v>
      </c>
      <c r="AG188" s="3">
        <f>71.01-5.97</f>
        <v>65.040000000000006</v>
      </c>
      <c r="AI188" s="9">
        <v>22</v>
      </c>
      <c r="AJ188" s="3">
        <f>73.54-6.18</f>
        <v>67.360000000000014</v>
      </c>
      <c r="AL188" s="2">
        <f t="shared" si="6"/>
        <v>406</v>
      </c>
      <c r="AM188" s="5">
        <f t="shared" si="7"/>
        <v>808.4799999999999</v>
      </c>
    </row>
    <row r="189" spans="1:39" x14ac:dyDescent="0.25">
      <c r="A189" s="11">
        <v>186</v>
      </c>
      <c r="B189" s="7">
        <v>74</v>
      </c>
      <c r="C189" s="3">
        <f>77.62-6.52</f>
        <v>71.100000000000009</v>
      </c>
      <c r="E189" s="7">
        <f>40+74</f>
        <v>114</v>
      </c>
      <c r="F189" s="3">
        <f>85.62-7.2</f>
        <v>78.42</v>
      </c>
      <c r="H189" s="7">
        <v>74</v>
      </c>
      <c r="I189" s="3">
        <f>78.52-6.6</f>
        <v>71.92</v>
      </c>
      <c r="K189" s="7">
        <f>40+74</f>
        <v>114</v>
      </c>
      <c r="L189" s="3">
        <f>84.12-7.07</f>
        <v>77.050000000000011</v>
      </c>
      <c r="N189" s="7">
        <v>74</v>
      </c>
      <c r="O189" s="3">
        <f>76.96-6.47</f>
        <v>70.489999999999995</v>
      </c>
      <c r="Q189" s="9">
        <f>40+74</f>
        <v>114</v>
      </c>
      <c r="R189" s="3">
        <f>82.48-6.94</f>
        <v>75.540000000000006</v>
      </c>
      <c r="T189" s="9">
        <v>74</v>
      </c>
      <c r="U189" s="3">
        <f>78.36-6.59</f>
        <v>71.77</v>
      </c>
      <c r="W189" s="7">
        <f>40+74</f>
        <v>114</v>
      </c>
      <c r="X189" s="3">
        <f>83.59-7.03</f>
        <v>76.56</v>
      </c>
      <c r="Z189" s="9">
        <f>40+74</f>
        <v>114</v>
      </c>
      <c r="AA189" s="3">
        <f>82.02-6.89</f>
        <v>75.13</v>
      </c>
      <c r="AC189" s="9">
        <v>74</v>
      </c>
      <c r="AD189" s="3">
        <f>76.64-6.45</f>
        <v>70.19</v>
      </c>
      <c r="AF189" s="7">
        <f>40+74</f>
        <v>114</v>
      </c>
      <c r="AG189" s="3">
        <f>66.67-5.6</f>
        <v>61.07</v>
      </c>
      <c r="AI189" s="9">
        <v>74</v>
      </c>
      <c r="AJ189" s="3">
        <f>68.44-5.75</f>
        <v>62.69</v>
      </c>
      <c r="AL189" s="2">
        <f t="shared" si="6"/>
        <v>1128</v>
      </c>
      <c r="AM189" s="5">
        <f t="shared" si="7"/>
        <v>861.93000000000006</v>
      </c>
    </row>
    <row r="190" spans="1:39" x14ac:dyDescent="0.25">
      <c r="A190" s="11">
        <v>187</v>
      </c>
      <c r="B190" s="7">
        <f>674+74</f>
        <v>748</v>
      </c>
      <c r="C190" s="3">
        <f>174.43-14.66</f>
        <v>159.77000000000001</v>
      </c>
      <c r="E190" s="7">
        <f>544+74</f>
        <v>618</v>
      </c>
      <c r="F190" s="3">
        <f>162.57-13.67</f>
        <v>148.9</v>
      </c>
      <c r="H190" s="7">
        <f>668+74</f>
        <v>742</v>
      </c>
      <c r="I190" s="3">
        <f>170.55-14.34</f>
        <v>156.21</v>
      </c>
      <c r="K190" s="7">
        <f>759+74</f>
        <v>833</v>
      </c>
      <c r="L190" s="3">
        <f>184.39-15.51</f>
        <v>168.88</v>
      </c>
      <c r="N190" s="7">
        <f>659+74</f>
        <v>733</v>
      </c>
      <c r="O190" s="3">
        <f>170.88-14.37</f>
        <v>156.51</v>
      </c>
      <c r="Q190" s="9">
        <f>879+74</f>
        <v>953</v>
      </c>
      <c r="R190" s="3">
        <f>202.03-16.99</f>
        <v>185.04</v>
      </c>
      <c r="T190" s="9">
        <f>767+74</f>
        <v>841</v>
      </c>
      <c r="U190" s="3">
        <f>192.56-16.19</f>
        <v>176.37</v>
      </c>
      <c r="W190" s="7">
        <f>744+74</f>
        <v>818</v>
      </c>
      <c r="X190" s="3">
        <f>183.01-15.39</f>
        <v>167.62</v>
      </c>
      <c r="Z190" s="9">
        <f>1410+74</f>
        <v>1484</v>
      </c>
      <c r="AA190" s="3">
        <f>265.94-22.36</f>
        <v>243.57999999999998</v>
      </c>
      <c r="AC190" s="9">
        <f>796+74</f>
        <v>870</v>
      </c>
      <c r="AD190" s="3">
        <f>186.55-15.69</f>
        <v>170.86</v>
      </c>
      <c r="AF190" s="7">
        <f>602+74</f>
        <v>676</v>
      </c>
      <c r="AG190" s="3">
        <f>133.75-11.25</f>
        <v>122.5</v>
      </c>
      <c r="AI190" s="9">
        <f>656+74</f>
        <v>730</v>
      </c>
      <c r="AJ190" s="3">
        <f>145.89-12.27</f>
        <v>133.61999999999998</v>
      </c>
      <c r="AL190" s="2">
        <f t="shared" si="6"/>
        <v>10046</v>
      </c>
      <c r="AM190" s="5">
        <f t="shared" si="7"/>
        <v>1989.8599999999997</v>
      </c>
    </row>
    <row r="191" spans="1:39" x14ac:dyDescent="0.25">
      <c r="A191" s="11">
        <v>188</v>
      </c>
      <c r="B191" s="7">
        <f>2224+212</f>
        <v>2436</v>
      </c>
      <c r="C191" s="3">
        <f>428.29-36.01</f>
        <v>392.28000000000003</v>
      </c>
      <c r="E191" s="7">
        <f>1889+212</f>
        <v>2101</v>
      </c>
      <c r="F191" s="3">
        <f>400.56-33.68</f>
        <v>366.88</v>
      </c>
      <c r="H191" s="7">
        <f>2299+212</f>
        <v>2511</v>
      </c>
      <c r="I191" s="3">
        <f>425.89-35.81</f>
        <v>390.08</v>
      </c>
      <c r="K191" s="7">
        <f>1963+212</f>
        <v>2175</v>
      </c>
      <c r="L191" s="3">
        <f>383.16-32.22</f>
        <v>350.94000000000005</v>
      </c>
      <c r="N191" s="7">
        <f>2150+212</f>
        <v>2362</v>
      </c>
      <c r="O191" s="3">
        <f>414.3-34.83</f>
        <v>379.47</v>
      </c>
      <c r="Q191" s="9">
        <f>2051+212</f>
        <v>2263</v>
      </c>
      <c r="R191" s="3">
        <f>399.93-33.63</f>
        <v>366.3</v>
      </c>
      <c r="T191" s="9">
        <f>2029+212</f>
        <v>2241</v>
      </c>
      <c r="U191" s="3">
        <f>412.45-34.68</f>
        <v>377.77</v>
      </c>
      <c r="W191" s="7">
        <f>2037+212</f>
        <v>2249</v>
      </c>
      <c r="X191" s="3">
        <f>396.56-33.35</f>
        <v>363.21</v>
      </c>
      <c r="Z191" s="9">
        <f>2097+212</f>
        <v>2309</v>
      </c>
      <c r="AA191" s="3">
        <f>388.03-32.62</f>
        <v>355.40999999999997</v>
      </c>
      <c r="AC191" s="9">
        <f>2118+212</f>
        <v>2330</v>
      </c>
      <c r="AD191" s="3">
        <f>399.45-33.59</f>
        <v>365.86</v>
      </c>
      <c r="AF191" s="7">
        <f>2371+212</f>
        <v>2583</v>
      </c>
      <c r="AG191" s="3">
        <f>377.44-31.73</f>
        <v>345.71</v>
      </c>
      <c r="AI191" s="9">
        <f>2226+212</f>
        <v>2438</v>
      </c>
      <c r="AJ191" s="3">
        <f>374.89-31.52</f>
        <v>343.37</v>
      </c>
      <c r="AL191" s="2">
        <f t="shared" si="6"/>
        <v>27998</v>
      </c>
      <c r="AM191" s="5">
        <f t="shared" si="7"/>
        <v>4397.2800000000007</v>
      </c>
    </row>
    <row r="192" spans="1:39" x14ac:dyDescent="0.25">
      <c r="A192" s="11">
        <v>189</v>
      </c>
      <c r="B192" s="7">
        <v>0</v>
      </c>
      <c r="C192" s="3">
        <f>73.19-6.15</f>
        <v>67.039999999999992</v>
      </c>
      <c r="E192" s="7">
        <v>0</v>
      </c>
      <c r="F192" s="3">
        <f>74.51-6.27</f>
        <v>68.240000000000009</v>
      </c>
      <c r="H192" s="7">
        <v>0</v>
      </c>
      <c r="I192" s="3">
        <f>74.63-6.27</f>
        <v>68.36</v>
      </c>
      <c r="K192" s="7">
        <v>0</v>
      </c>
      <c r="L192" s="3">
        <f>74.54-6.27</f>
        <v>68.27000000000001</v>
      </c>
      <c r="N192" s="7">
        <v>0</v>
      </c>
      <c r="O192" s="3">
        <f>72.54-6.1</f>
        <v>66.440000000000012</v>
      </c>
      <c r="Q192" s="9">
        <v>0</v>
      </c>
      <c r="R192" s="3">
        <f>72.36-6.09</f>
        <v>66.27</v>
      </c>
      <c r="T192" s="9">
        <v>0</v>
      </c>
      <c r="U192" s="3">
        <f>73.56-6.18</f>
        <v>67.38</v>
      </c>
      <c r="W192" s="7">
        <v>0</v>
      </c>
      <c r="X192" s="3">
        <f>73.72-6.2</f>
        <v>67.52</v>
      </c>
      <c r="Z192" s="9">
        <v>0</v>
      </c>
      <c r="AA192" s="3">
        <f>72.89-6.13</f>
        <v>66.760000000000005</v>
      </c>
      <c r="AC192" s="9">
        <v>0</v>
      </c>
      <c r="AD192" s="3">
        <f>72.54-6.1</f>
        <v>66.440000000000012</v>
      </c>
      <c r="AF192" s="7">
        <v>0</v>
      </c>
      <c r="AG192" s="3">
        <f>70.54-5.93</f>
        <v>64.610000000000014</v>
      </c>
      <c r="AI192" s="9">
        <v>0</v>
      </c>
      <c r="AJ192" s="3">
        <f>73.13-6.15</f>
        <v>66.97999999999999</v>
      </c>
      <c r="AL192" s="2">
        <f t="shared" si="6"/>
        <v>0</v>
      </c>
      <c r="AM192" s="5">
        <f t="shared" si="7"/>
        <v>804.31000000000006</v>
      </c>
    </row>
    <row r="193" spans="1:39" x14ac:dyDescent="0.25">
      <c r="A193" s="11">
        <v>190</v>
      </c>
      <c r="B193" s="7">
        <v>9500</v>
      </c>
      <c r="C193" s="3">
        <f>1427.8-120.05</f>
        <v>1307.75</v>
      </c>
      <c r="E193" s="7">
        <v>10400</v>
      </c>
      <c r="F193" s="3">
        <f>1652.11-138.92</f>
        <v>1513.1899999999998</v>
      </c>
      <c r="H193" s="7">
        <v>9500</v>
      </c>
      <c r="I193" s="3">
        <f>1373.33-115.48</f>
        <v>1257.8499999999999</v>
      </c>
      <c r="K193" s="7">
        <v>8500</v>
      </c>
      <c r="L193" s="3">
        <f>1249.75-105.08</f>
        <v>1144.67</v>
      </c>
      <c r="N193" s="7">
        <v>6300</v>
      </c>
      <c r="O193" s="3">
        <f>960.49-80.76</f>
        <v>879.73</v>
      </c>
      <c r="Q193" s="9">
        <v>6600</v>
      </c>
      <c r="R193" s="3">
        <f>1002.84-84.32</f>
        <v>918.52</v>
      </c>
      <c r="T193" s="9">
        <v>5500</v>
      </c>
      <c r="U193" s="3">
        <f>882.42-74.2</f>
        <v>808.21999999999991</v>
      </c>
      <c r="W193" s="7">
        <v>5400</v>
      </c>
      <c r="X193" s="3">
        <f>826.25-69.47</f>
        <v>756.78</v>
      </c>
      <c r="Z193" s="9">
        <v>5900</v>
      </c>
      <c r="AA193" s="3">
        <f>854.99-71.89</f>
        <v>783.1</v>
      </c>
      <c r="AC193" s="9">
        <v>6100</v>
      </c>
      <c r="AD193" s="3">
        <f>905-76.1</f>
        <v>828.9</v>
      </c>
      <c r="AF193" s="7">
        <v>6500</v>
      </c>
      <c r="AG193" s="3">
        <f>829.55-69.75</f>
        <v>759.8</v>
      </c>
      <c r="AI193" s="9">
        <v>6100</v>
      </c>
      <c r="AJ193" s="3">
        <f>814.27-68.46</f>
        <v>745.81</v>
      </c>
      <c r="AL193" s="2">
        <f t="shared" si="6"/>
        <v>86300</v>
      </c>
      <c r="AM193" s="5">
        <f t="shared" si="7"/>
        <v>11704.319999999998</v>
      </c>
    </row>
    <row r="194" spans="1:39" x14ac:dyDescent="0.25">
      <c r="A194" s="11">
        <v>191</v>
      </c>
      <c r="B194" s="7">
        <v>7440</v>
      </c>
      <c r="C194" s="3">
        <f>1131.9-95.17</f>
        <v>1036.73</v>
      </c>
      <c r="E194" s="7">
        <v>6840</v>
      </c>
      <c r="F194" s="3">
        <f>1108.6-93.21</f>
        <v>1015.3899999999999</v>
      </c>
      <c r="H194" s="7">
        <v>6600</v>
      </c>
      <c r="I194" s="3">
        <f>973.78-81.88</f>
        <v>891.9</v>
      </c>
      <c r="K194" s="7">
        <v>7200</v>
      </c>
      <c r="L194" s="3">
        <f>1068.46-89.84</f>
        <v>978.62</v>
      </c>
      <c r="N194" s="7">
        <v>6600</v>
      </c>
      <c r="O194" s="3">
        <f>1003.25-84.36</f>
        <v>918.89</v>
      </c>
      <c r="Q194" s="9">
        <v>6480</v>
      </c>
      <c r="R194" s="3">
        <f>985.75-82.89</f>
        <v>902.86</v>
      </c>
      <c r="T194" s="9">
        <v>6000</v>
      </c>
      <c r="U194" s="3">
        <f>956.85-80.45</f>
        <v>876.4</v>
      </c>
      <c r="W194" s="7">
        <v>5880</v>
      </c>
      <c r="X194" s="3">
        <f>894.03-75.18</f>
        <v>818.84999999999991</v>
      </c>
      <c r="Z194" s="9">
        <v>6840</v>
      </c>
      <c r="AA194" s="3">
        <f>981.17-82.5</f>
        <v>898.67</v>
      </c>
      <c r="AC194" s="9">
        <v>6120</v>
      </c>
      <c r="AD194" s="3">
        <f>907.76-76.32</f>
        <v>831.44</v>
      </c>
      <c r="AF194" s="7">
        <v>4920</v>
      </c>
      <c r="AG194" s="3">
        <f>639.34-53.76</f>
        <v>585.58000000000004</v>
      </c>
      <c r="AI194" s="9">
        <v>5160</v>
      </c>
      <c r="AJ194" s="3">
        <f>696.32-58.54</f>
        <v>637.78000000000009</v>
      </c>
      <c r="AL194" s="2">
        <f t="shared" si="6"/>
        <v>76080</v>
      </c>
      <c r="AM194" s="5">
        <f t="shared" si="7"/>
        <v>10393.11</v>
      </c>
    </row>
    <row r="195" spans="1:39" x14ac:dyDescent="0.25">
      <c r="A195" s="11">
        <v>192</v>
      </c>
      <c r="B195" s="7">
        <f>1920+212</f>
        <v>2132</v>
      </c>
      <c r="C195" s="3">
        <f>404.35-34</f>
        <v>370.35</v>
      </c>
      <c r="E195" s="7">
        <f>2160+212</f>
        <v>2372</v>
      </c>
      <c r="F195" s="3">
        <f>461.98-38.84</f>
        <v>423.14</v>
      </c>
      <c r="H195" s="7">
        <f>2240+212</f>
        <v>2452</v>
      </c>
      <c r="I195" s="3">
        <f>437.88-36.82</f>
        <v>401.06</v>
      </c>
      <c r="K195" s="7">
        <f>2320+212</f>
        <v>2532</v>
      </c>
      <c r="L195" s="3">
        <f>453.02-38.09</f>
        <v>414.92999999999995</v>
      </c>
      <c r="N195" s="7">
        <f>1920+212</f>
        <v>2132</v>
      </c>
      <c r="O195" s="3">
        <f>401.07-33.72</f>
        <v>367.35</v>
      </c>
      <c r="Q195" s="9">
        <f>1840+212</f>
        <v>2052</v>
      </c>
      <c r="R195" s="3">
        <f>389.34-32.74</f>
        <v>356.59999999999997</v>
      </c>
      <c r="T195" s="9">
        <f>2160+212</f>
        <v>2372</v>
      </c>
      <c r="U195" s="3">
        <f>451.76-37.98</f>
        <v>413.78</v>
      </c>
      <c r="W195" s="7">
        <f>3120+212</f>
        <v>3332</v>
      </c>
      <c r="X195" s="3">
        <f>569.36-47.87</f>
        <v>521.49</v>
      </c>
      <c r="Z195" s="9">
        <f>3360+212</f>
        <v>3572</v>
      </c>
      <c r="AA195" s="3">
        <f>577.21-48.53</f>
        <v>528.68000000000006</v>
      </c>
      <c r="AC195" s="9">
        <f>2720+212</f>
        <v>2932</v>
      </c>
      <c r="AD195" s="3">
        <f>502.13-42.22</f>
        <v>459.90999999999997</v>
      </c>
      <c r="AF195" s="7">
        <f>2560+212</f>
        <v>2772</v>
      </c>
      <c r="AG195" s="3">
        <f>419.21-35.25</f>
        <v>383.96</v>
      </c>
      <c r="AI195" s="9">
        <f>2000+212</f>
        <v>2212</v>
      </c>
      <c r="AJ195" s="3">
        <f>366.22-30.79</f>
        <v>335.43</v>
      </c>
      <c r="AL195" s="2">
        <f t="shared" si="6"/>
        <v>30864</v>
      </c>
      <c r="AM195" s="5">
        <f t="shared" si="7"/>
        <v>4976.68</v>
      </c>
    </row>
    <row r="196" spans="1:39" x14ac:dyDescent="0.25">
      <c r="A196" s="11">
        <v>193</v>
      </c>
      <c r="B196" s="7">
        <v>800</v>
      </c>
      <c r="C196" s="3">
        <f>178.13-14.97</f>
        <v>163.16</v>
      </c>
      <c r="E196" s="7">
        <v>800</v>
      </c>
      <c r="F196" s="3">
        <f>186.49-15.68</f>
        <v>170.81</v>
      </c>
      <c r="H196" s="7">
        <v>1200</v>
      </c>
      <c r="I196" s="3">
        <f>229.8-19.32</f>
        <v>210.48000000000002</v>
      </c>
      <c r="K196" s="7">
        <v>1200</v>
      </c>
      <c r="L196" s="3">
        <f>231.74-19.49</f>
        <v>212.25</v>
      </c>
      <c r="N196" s="7">
        <v>900</v>
      </c>
      <c r="O196" s="3">
        <f>190.93-16.06</f>
        <v>174.87</v>
      </c>
      <c r="Q196" s="9">
        <v>700</v>
      </c>
      <c r="R196" s="3">
        <f>162.24-13.64</f>
        <v>148.60000000000002</v>
      </c>
      <c r="T196" s="9">
        <v>600</v>
      </c>
      <c r="U196" s="3">
        <f>152.88-12.85</f>
        <v>140.03</v>
      </c>
      <c r="W196" s="7">
        <v>1300</v>
      </c>
      <c r="X196" s="3">
        <f>247.27-20.79</f>
        <v>226.48000000000002</v>
      </c>
      <c r="Z196" s="9">
        <v>3100</v>
      </c>
      <c r="AA196" s="3">
        <f>479.11-40.28</f>
        <v>438.83000000000004</v>
      </c>
      <c r="AC196" s="9">
        <v>1200</v>
      </c>
      <c r="AD196" s="3">
        <f>228.38-19.21</f>
        <v>209.17</v>
      </c>
      <c r="AF196" s="7">
        <v>500</v>
      </c>
      <c r="AG196" s="3">
        <f>107.23-9.02</f>
        <v>98.210000000000008</v>
      </c>
      <c r="AI196" s="9">
        <v>600</v>
      </c>
      <c r="AJ196" s="3">
        <f>124.05-10.43</f>
        <v>113.62</v>
      </c>
      <c r="AL196" s="2">
        <f t="shared" si="6"/>
        <v>12900</v>
      </c>
      <c r="AM196" s="5">
        <f t="shared" si="7"/>
        <v>2306.5100000000002</v>
      </c>
    </row>
    <row r="197" spans="1:39" x14ac:dyDescent="0.25">
      <c r="A197" s="11">
        <v>194</v>
      </c>
      <c r="B197" s="7">
        <v>1320</v>
      </c>
      <c r="C197" s="3">
        <f>252.83-21.26</f>
        <v>231.57000000000002</v>
      </c>
      <c r="E197" s="7">
        <v>1600</v>
      </c>
      <c r="F197" s="3">
        <f>308.63-25.95</f>
        <v>282.68</v>
      </c>
      <c r="H197" s="7">
        <v>2640</v>
      </c>
      <c r="I197" s="3">
        <f>428.2-36.01</f>
        <v>392.19</v>
      </c>
      <c r="K197" s="7">
        <v>1920</v>
      </c>
      <c r="L197" s="3">
        <f>332.14-27.93</f>
        <v>304.20999999999998</v>
      </c>
      <c r="N197" s="7">
        <v>1360</v>
      </c>
      <c r="O197" s="3">
        <f>256.49-21.57</f>
        <v>234.92000000000002</v>
      </c>
      <c r="Q197" s="9">
        <v>1200</v>
      </c>
      <c r="R197" s="3">
        <f>233.48-19.64</f>
        <v>213.83999999999997</v>
      </c>
      <c r="T197" s="9">
        <v>1280</v>
      </c>
      <c r="U197" s="3">
        <f>254.11-21.36</f>
        <v>232.75</v>
      </c>
      <c r="W197" s="7">
        <v>1320</v>
      </c>
      <c r="X197" s="3">
        <f>250.09-21.03</f>
        <v>229.06</v>
      </c>
      <c r="Z197" s="9">
        <v>1600</v>
      </c>
      <c r="AA197" s="3">
        <f>277.75-23.35</f>
        <v>254.4</v>
      </c>
      <c r="AC197" s="9">
        <v>1080</v>
      </c>
      <c r="AD197" s="3">
        <f>211.79-17.81</f>
        <v>193.98</v>
      </c>
      <c r="AF197" s="7">
        <v>1400</v>
      </c>
      <c r="AG197" s="3">
        <f>215.57-18.12</f>
        <v>197.45</v>
      </c>
      <c r="AI197" s="9">
        <v>1120</v>
      </c>
      <c r="AJ197" s="3">
        <f>189.31-15.92</f>
        <v>173.39000000000001</v>
      </c>
      <c r="AL197" s="2">
        <f t="shared" si="6"/>
        <v>17840</v>
      </c>
      <c r="AM197" s="5">
        <f t="shared" si="7"/>
        <v>2940.44</v>
      </c>
    </row>
    <row r="198" spans="1:39" x14ac:dyDescent="0.25">
      <c r="A198" s="11">
        <v>195</v>
      </c>
      <c r="B198" s="7">
        <v>1276</v>
      </c>
      <c r="C198" s="3">
        <f>232.55-6.77</f>
        <v>225.78</v>
      </c>
      <c r="E198" s="7">
        <v>1449</v>
      </c>
      <c r="F198" s="3">
        <f>269.41-7.85</f>
        <v>261.56</v>
      </c>
      <c r="H198" s="7">
        <v>1786</v>
      </c>
      <c r="I198" s="3">
        <f>292.95-8.53</f>
        <v>284.42</v>
      </c>
      <c r="K198" s="7">
        <v>1501</v>
      </c>
      <c r="L198" s="3">
        <f>258.22-7.52</f>
        <v>250.70000000000002</v>
      </c>
      <c r="N198" s="7">
        <v>1209</v>
      </c>
      <c r="O198" s="3">
        <f>221.66-6.46</f>
        <v>215.2</v>
      </c>
      <c r="Q198" s="9">
        <v>1033</v>
      </c>
      <c r="R198" s="3">
        <f>197.8-5.76</f>
        <v>192.04000000000002</v>
      </c>
      <c r="T198" s="9">
        <v>1467</v>
      </c>
      <c r="U198" s="3">
        <f>266.01-7.75</f>
        <v>258.26</v>
      </c>
      <c r="W198" s="7">
        <v>1608</v>
      </c>
      <c r="X198" s="3">
        <f>274.29-7.99</f>
        <v>266.3</v>
      </c>
      <c r="Z198" s="9">
        <v>2813</v>
      </c>
      <c r="AA198" s="3">
        <f>415.65-12.11</f>
        <v>403.53999999999996</v>
      </c>
      <c r="AC198" s="9">
        <v>1910</v>
      </c>
      <c r="AD198" s="3">
        <f>307.93-8.97</f>
        <v>298.95999999999998</v>
      </c>
      <c r="AF198" s="7">
        <v>1617</v>
      </c>
      <c r="AG198" s="3">
        <f>228.02-6.64</f>
        <v>221.38000000000002</v>
      </c>
      <c r="AI198" s="9">
        <v>1823</v>
      </c>
      <c r="AJ198" s="3">
        <f>261.83-7.63</f>
        <v>254.2</v>
      </c>
      <c r="AL198" s="2">
        <f t="shared" si="6"/>
        <v>19492</v>
      </c>
      <c r="AM198" s="5">
        <f t="shared" si="7"/>
        <v>3132.34</v>
      </c>
    </row>
    <row r="199" spans="1:39" x14ac:dyDescent="0.25">
      <c r="A199" s="11">
        <v>196</v>
      </c>
      <c r="B199" s="7">
        <f>2200+891</f>
        <v>3091</v>
      </c>
      <c r="C199" s="3">
        <f>557.96-46.91</f>
        <v>511.05000000000007</v>
      </c>
      <c r="E199" s="7">
        <f>2400+908</f>
        <v>3308</v>
      </c>
      <c r="F199" s="3">
        <f>625.89-52.63</f>
        <v>573.26</v>
      </c>
      <c r="H199" s="7">
        <f>2700+908</f>
        <v>3608</v>
      </c>
      <c r="I199" s="3">
        <f>618.16-51.98</f>
        <v>566.17999999999995</v>
      </c>
      <c r="K199" s="7">
        <f>2800+908</f>
        <v>3708</v>
      </c>
      <c r="L199" s="3">
        <f>637.98-53.64</f>
        <v>584.34</v>
      </c>
      <c r="N199" s="7">
        <f>2200+908</f>
        <v>3108</v>
      </c>
      <c r="O199" s="3">
        <f>560.59-47.13</f>
        <v>513.46</v>
      </c>
      <c r="Q199" s="9">
        <f>2300+908</f>
        <v>3208</v>
      </c>
      <c r="R199" s="3">
        <f>574.45-48.3</f>
        <v>526.15000000000009</v>
      </c>
      <c r="T199" s="9">
        <f>3100+908</f>
        <v>4008</v>
      </c>
      <c r="U199" s="3">
        <f>716.02-60.2</f>
        <v>655.81999999999994</v>
      </c>
      <c r="W199" s="7">
        <f>4700+910</f>
        <v>5610</v>
      </c>
      <c r="X199" s="3">
        <f>912.53-76.72</f>
        <v>835.81</v>
      </c>
      <c r="Z199" s="9">
        <f>7300+908</f>
        <v>8208</v>
      </c>
      <c r="AA199" s="3">
        <f>1220.09-102.59</f>
        <v>1117.5</v>
      </c>
      <c r="AC199" s="9">
        <f>4100+908</f>
        <v>5008</v>
      </c>
      <c r="AD199" s="3">
        <f>809.21-68.04</f>
        <v>741.17000000000007</v>
      </c>
      <c r="AF199" s="7">
        <f>2900+908</f>
        <v>3808</v>
      </c>
      <c r="AG199" s="3">
        <f>579.63-48.74</f>
        <v>530.89</v>
      </c>
      <c r="AI199" s="9">
        <f>2100+908</f>
        <v>3008</v>
      </c>
      <c r="AJ199" s="3">
        <f>503.16-42.31</f>
        <v>460.85</v>
      </c>
      <c r="AL199" s="10">
        <f>+B199+E199+H199+K199+N199+Q199+T199+W199+Z199+AC199+AF199+AI199</f>
        <v>49681</v>
      </c>
      <c r="AM199" s="5">
        <f t="shared" si="7"/>
        <v>7616.4800000000005</v>
      </c>
    </row>
    <row r="200" spans="1:39" x14ac:dyDescent="0.25">
      <c r="A200" s="11">
        <v>197</v>
      </c>
      <c r="B200" s="7">
        <f>5160+338</f>
        <v>5498</v>
      </c>
      <c r="C200" s="3">
        <f>925.49-82.82</f>
        <v>842.67000000000007</v>
      </c>
      <c r="E200" s="7">
        <f>6120+338</f>
        <v>6458</v>
      </c>
      <c r="F200" s="3">
        <f>1124.08-99.52</f>
        <v>1024.56</v>
      </c>
      <c r="H200" s="7">
        <f>10080+338</f>
        <v>10418</v>
      </c>
      <c r="I200" s="3">
        <f>1573.69-137.32</f>
        <v>1436.3700000000001</v>
      </c>
      <c r="K200" s="7">
        <f>8280+338</f>
        <v>8618</v>
      </c>
      <c r="L200" s="3">
        <f>1340.03-117.67</f>
        <v>1222.3599999999999</v>
      </c>
      <c r="N200" s="7">
        <f>5040+368</f>
        <v>5408</v>
      </c>
      <c r="O200" s="3">
        <f>909.41-81.47</f>
        <v>827.93999999999994</v>
      </c>
      <c r="Q200" s="9">
        <f>4920+194</f>
        <v>5114</v>
      </c>
      <c r="R200" s="3">
        <f>897.1-80.43</f>
        <v>816.67000000000007</v>
      </c>
      <c r="T200" s="9">
        <f>10080+206</f>
        <v>10286</v>
      </c>
      <c r="U200" s="3">
        <f>1707.99-148.61</f>
        <v>1559.38</v>
      </c>
      <c r="W200" s="7">
        <f>12840+206</f>
        <v>13046</v>
      </c>
      <c r="X200" s="3">
        <f>2019.23-174.78</f>
        <v>1844.45</v>
      </c>
      <c r="Z200" s="9">
        <f>23160+206</f>
        <v>23366</v>
      </c>
      <c r="AA200" s="3">
        <f>3311.67-283.45</f>
        <v>3028.2200000000003</v>
      </c>
      <c r="AC200" s="9">
        <f>12000+206</f>
        <v>12206</v>
      </c>
      <c r="AD200" s="3">
        <f>1859.64-161.36</f>
        <v>1698.2800000000002</v>
      </c>
      <c r="AF200" s="7">
        <f>8400+206</f>
        <v>8606</v>
      </c>
      <c r="AG200" s="3">
        <f>1196.31-105.59</f>
        <v>1090.72</v>
      </c>
      <c r="AI200" s="9">
        <f>5280+206</f>
        <v>5486</v>
      </c>
      <c r="AJ200" s="3">
        <f>854.48-76.85</f>
        <v>777.63</v>
      </c>
      <c r="AL200" s="2">
        <f t="shared" si="6"/>
        <v>114510</v>
      </c>
      <c r="AM200" s="5">
        <f t="shared" si="7"/>
        <v>16169.249999999998</v>
      </c>
    </row>
    <row r="201" spans="1:39" x14ac:dyDescent="0.25">
      <c r="A201" s="11">
        <v>198</v>
      </c>
      <c r="B201" s="7">
        <f>2560+452</f>
        <v>3012</v>
      </c>
      <c r="C201" s="3">
        <f>618.55-57.01</f>
        <v>561.54</v>
      </c>
      <c r="E201" s="7">
        <f>2640+452</f>
        <v>3092</v>
      </c>
      <c r="F201" s="3">
        <f>661.25-60.6</f>
        <v>600.65</v>
      </c>
      <c r="H201" s="7">
        <f>3400+452</f>
        <v>3852</v>
      </c>
      <c r="I201" s="3">
        <f>720.24-65.56</f>
        <v>654.68000000000006</v>
      </c>
      <c r="K201" s="7">
        <f>3000+452</f>
        <v>3452</v>
      </c>
      <c r="L201" s="3">
        <f>670.73-61.4</f>
        <v>609.33000000000004</v>
      </c>
      <c r="N201" s="7">
        <f>2480+452</f>
        <v>2932</v>
      </c>
      <c r="O201" s="3">
        <f>602.19-55.64</f>
        <v>546.55000000000007</v>
      </c>
      <c r="Q201" s="9">
        <f>2600+452</f>
        <v>3052</v>
      </c>
      <c r="R201" s="3">
        <f>618.7-57.02</f>
        <v>561.68000000000006</v>
      </c>
      <c r="T201" s="9">
        <f>3080+452</f>
        <v>3532</v>
      </c>
      <c r="U201" s="3">
        <f>712.75-64.92</f>
        <v>647.83000000000004</v>
      </c>
      <c r="W201" s="7">
        <f>4960+452</f>
        <v>5412</v>
      </c>
      <c r="X201" s="3">
        <f>951.57-85.01</f>
        <v>866.56000000000006</v>
      </c>
      <c r="Z201" s="9">
        <f>7520+452</f>
        <v>7972</v>
      </c>
      <c r="AA201" s="3">
        <f>1255.43-110.56</f>
        <v>1144.8700000000001</v>
      </c>
      <c r="AC201" s="9">
        <f>4240+452</f>
        <v>4692</v>
      </c>
      <c r="AD201" s="3">
        <f>832.22-74.98</f>
        <v>757.24</v>
      </c>
      <c r="AF201" s="7">
        <f>3800+452</f>
        <v>4252</v>
      </c>
      <c r="AG201" s="3">
        <f>687.64-62.81</f>
        <v>624.82999999999993</v>
      </c>
      <c r="AI201" s="9">
        <f>3160+452</f>
        <v>3612</v>
      </c>
      <c r="AJ201" s="3">
        <f>635.39-58.43</f>
        <v>576.96</v>
      </c>
      <c r="AL201" s="2">
        <f t="shared" si="6"/>
        <v>48864</v>
      </c>
      <c r="AM201" s="5">
        <f t="shared" si="7"/>
        <v>8152.72</v>
      </c>
    </row>
    <row r="202" spans="1:39" x14ac:dyDescent="0.25">
      <c r="A202" s="11">
        <v>199</v>
      </c>
      <c r="B202" s="7">
        <v>3440</v>
      </c>
      <c r="C202" s="3">
        <f>562.8-52.32</f>
        <v>510.47999999999996</v>
      </c>
      <c r="E202" s="7">
        <v>4640</v>
      </c>
      <c r="F202" s="3">
        <f>778.19-70.43</f>
        <v>707.76</v>
      </c>
      <c r="H202" s="7">
        <v>5760</v>
      </c>
      <c r="I202" s="3">
        <f>863.51-77.61</f>
        <v>785.9</v>
      </c>
      <c r="K202" s="7">
        <v>5920</v>
      </c>
      <c r="L202" s="3">
        <f>895.41-80.28</f>
        <v>815.13</v>
      </c>
      <c r="N202" s="7">
        <v>4720</v>
      </c>
      <c r="O202" s="3">
        <f>740.79-67.29</f>
        <v>673.5</v>
      </c>
      <c r="Q202" s="9">
        <v>3200</v>
      </c>
      <c r="R202" s="3">
        <f>523.89-49.05</f>
        <v>474.84</v>
      </c>
      <c r="T202" s="9">
        <v>8000</v>
      </c>
      <c r="U202" s="3">
        <f>1260.08-110.95</f>
        <v>1149.1299999999999</v>
      </c>
      <c r="W202" s="7">
        <v>9520</v>
      </c>
      <c r="X202" s="3">
        <f>1413.52-123.85</f>
        <v>1289.67</v>
      </c>
      <c r="Z202" s="9">
        <v>11600</v>
      </c>
      <c r="AA202" s="3">
        <f>1625.62-141.69</f>
        <v>1483.9299999999998</v>
      </c>
      <c r="AC202" s="9">
        <v>9680</v>
      </c>
      <c r="AD202" s="3">
        <f>1404.8-123.12</f>
        <v>1281.6799999999998</v>
      </c>
      <c r="AF202" s="7">
        <v>7680</v>
      </c>
      <c r="AG202" s="3">
        <f>977.07-87.16</f>
        <v>889.91000000000008</v>
      </c>
      <c r="AI202" s="9">
        <v>3520</v>
      </c>
      <c r="AJ202" s="3">
        <f>495.96-46.7</f>
        <v>449.26</v>
      </c>
      <c r="AL202" s="2">
        <f t="shared" si="6"/>
        <v>77680</v>
      </c>
      <c r="AM202" s="5">
        <f t="shared" si="7"/>
        <v>10511.19</v>
      </c>
    </row>
    <row r="203" spans="1:39" x14ac:dyDescent="0.25">
      <c r="A203" s="11">
        <v>200</v>
      </c>
      <c r="B203" s="7">
        <f>1700+23</f>
        <v>1723</v>
      </c>
      <c r="C203" s="3">
        <f>324.92-27.32</f>
        <v>297.60000000000002</v>
      </c>
      <c r="E203" s="7">
        <f>1300+23</f>
        <v>1323</v>
      </c>
      <c r="F203" s="3">
        <f>280.8-23.61</f>
        <v>257.19</v>
      </c>
      <c r="H203" s="7">
        <f>1800+23</f>
        <v>1823</v>
      </c>
      <c r="I203" s="3">
        <f>330.12-27.76</f>
        <v>302.36</v>
      </c>
      <c r="K203" s="7">
        <f>1700+23</f>
        <v>1723</v>
      </c>
      <c r="L203" s="3">
        <f>319.13-26.83</f>
        <v>292.3</v>
      </c>
      <c r="N203" s="7">
        <f>1800+23</f>
        <v>1823</v>
      </c>
      <c r="O203" s="3">
        <f>336.54-28.3</f>
        <v>308.24</v>
      </c>
      <c r="Q203" s="9">
        <f>1900+23</f>
        <v>1923</v>
      </c>
      <c r="R203" s="3">
        <f>350.53-29.47</f>
        <v>321.05999999999995</v>
      </c>
      <c r="T203" s="9">
        <f>1900+23</f>
        <v>1923</v>
      </c>
      <c r="U203" s="3">
        <f>364.14-30.62</f>
        <v>333.52</v>
      </c>
      <c r="W203" s="7">
        <f>1900+23</f>
        <v>1923</v>
      </c>
      <c r="X203" s="3">
        <f>349.57-29.4</f>
        <v>320.17</v>
      </c>
      <c r="Z203" s="9">
        <f>1800+23</f>
        <v>1823</v>
      </c>
      <c r="AA203" s="3">
        <f>321.84-27.06</f>
        <v>294.77999999999997</v>
      </c>
      <c r="AC203" s="9">
        <f>1900+23</f>
        <v>1923</v>
      </c>
      <c r="AD203" s="3">
        <f>342.28-28.78</f>
        <v>313.5</v>
      </c>
      <c r="AF203" s="7">
        <f>1800+23</f>
        <v>1823</v>
      </c>
      <c r="AG203" s="3">
        <f>280.71-23.6</f>
        <v>257.10999999999996</v>
      </c>
      <c r="AI203" s="9">
        <f>2100+23</f>
        <v>2123</v>
      </c>
      <c r="AJ203" s="3">
        <f>329.93-27.75</f>
        <v>302.18</v>
      </c>
      <c r="AL203" s="2">
        <f t="shared" si="6"/>
        <v>21876</v>
      </c>
      <c r="AM203" s="5">
        <f t="shared" si="7"/>
        <v>3600.01</v>
      </c>
    </row>
    <row r="204" spans="1:39" x14ac:dyDescent="0.25">
      <c r="A204" s="11">
        <v>201</v>
      </c>
      <c r="B204" s="7">
        <v>2672</v>
      </c>
      <c r="C204" s="3">
        <f>447.03-37.58</f>
        <v>409.45</v>
      </c>
      <c r="E204" s="7">
        <v>2800</v>
      </c>
      <c r="F204" s="3">
        <f>491.82-41.35</f>
        <v>450.46999999999997</v>
      </c>
      <c r="H204" s="7">
        <v>2698</v>
      </c>
      <c r="I204" s="3">
        <f>436.2-36.68</f>
        <v>399.52</v>
      </c>
      <c r="K204" s="7">
        <v>2741</v>
      </c>
      <c r="L204" s="3">
        <f>446.63-37.55</f>
        <v>409.08</v>
      </c>
      <c r="N204" s="7">
        <v>2791</v>
      </c>
      <c r="O204" s="3">
        <f>460.42-38.71</f>
        <v>421.71000000000004</v>
      </c>
      <c r="Q204" s="9">
        <v>3106</v>
      </c>
      <c r="R204" s="3">
        <f>505.03-42.47</f>
        <v>462.55999999999995</v>
      </c>
      <c r="T204" s="9">
        <v>2728</v>
      </c>
      <c r="U204" s="3">
        <f>469.71-39.5</f>
        <v>430.21</v>
      </c>
      <c r="W204" s="7">
        <v>3222</v>
      </c>
      <c r="X204" s="3">
        <f>518.68-43.61</f>
        <v>475.06999999999994</v>
      </c>
      <c r="Z204" s="9">
        <v>3172</v>
      </c>
      <c r="AA204" s="3">
        <f>488.78-41.1</f>
        <v>447.67999999999995</v>
      </c>
      <c r="AC204" s="9">
        <v>2895</v>
      </c>
      <c r="AD204" s="3">
        <f>462.44-38.89</f>
        <v>423.55</v>
      </c>
      <c r="AF204" s="7">
        <v>2817</v>
      </c>
      <c r="AG204" s="3">
        <f>386.16-32.47</f>
        <v>353.69000000000005</v>
      </c>
      <c r="AI204" s="9">
        <v>2645</v>
      </c>
      <c r="AJ204" s="3">
        <f>380.7-32.01</f>
        <v>348.69</v>
      </c>
      <c r="AL204" s="2">
        <f t="shared" si="6"/>
        <v>34287</v>
      </c>
      <c r="AM204" s="5">
        <f t="shared" si="7"/>
        <v>5031.6799999999994</v>
      </c>
    </row>
    <row r="205" spans="1:39" x14ac:dyDescent="0.25">
      <c r="A205" s="11">
        <v>202</v>
      </c>
      <c r="B205" s="7">
        <v>200</v>
      </c>
      <c r="C205" s="3">
        <f>91.96-7.74</f>
        <v>84.22</v>
      </c>
      <c r="E205" s="7">
        <v>300</v>
      </c>
      <c r="F205" s="3">
        <f>110.17-9.27</f>
        <v>100.9</v>
      </c>
      <c r="H205" s="7">
        <v>100</v>
      </c>
      <c r="I205" s="3">
        <f>78.26-6.58</f>
        <v>71.680000000000007</v>
      </c>
      <c r="K205" s="7">
        <v>300</v>
      </c>
      <c r="L205" s="3">
        <f>106.22-8.93</f>
        <v>97.289999999999992</v>
      </c>
      <c r="N205" s="7">
        <v>200</v>
      </c>
      <c r="O205" s="3">
        <f>91.17-7.67</f>
        <v>83.5</v>
      </c>
      <c r="Q205" s="9">
        <v>200</v>
      </c>
      <c r="R205" s="3">
        <f>91-7.65</f>
        <v>83.35</v>
      </c>
      <c r="T205" s="9">
        <v>300</v>
      </c>
      <c r="U205" s="3">
        <f>108.22-9.1</f>
        <v>99.12</v>
      </c>
      <c r="W205" s="7">
        <v>200</v>
      </c>
      <c r="X205" s="3">
        <f>91.93-7.73</f>
        <v>84.2</v>
      </c>
      <c r="Z205" s="9">
        <v>200</v>
      </c>
      <c r="AA205" s="3">
        <f>89.81-7.55</f>
        <v>82.26</v>
      </c>
      <c r="AC205" s="9">
        <v>200</v>
      </c>
      <c r="AD205" s="3">
        <f>90.28-7.59</f>
        <v>82.69</v>
      </c>
      <c r="AF205" s="7">
        <v>200</v>
      </c>
      <c r="AG205" s="3">
        <f>74.05-6.22</f>
        <v>67.83</v>
      </c>
      <c r="AI205" s="9">
        <v>200</v>
      </c>
      <c r="AJ205" s="3">
        <f>76.92-6.46</f>
        <v>70.460000000000008</v>
      </c>
      <c r="AL205" s="2">
        <f t="shared" si="6"/>
        <v>2600</v>
      </c>
      <c r="AM205" s="5">
        <f t="shared" si="7"/>
        <v>1007.5000000000001</v>
      </c>
    </row>
    <row r="206" spans="1:39" x14ac:dyDescent="0.25">
      <c r="A206" s="11">
        <v>203</v>
      </c>
      <c r="B206" s="7">
        <f>299+98</f>
        <v>397</v>
      </c>
      <c r="C206" s="3">
        <f>94.59-7.95</f>
        <v>86.64</v>
      </c>
      <c r="E206" s="7">
        <f>537+164</f>
        <v>701</v>
      </c>
      <c r="F206" s="3">
        <f>225.18-18.94</f>
        <v>206.24</v>
      </c>
      <c r="H206" s="7">
        <f>574+169</f>
        <v>743</v>
      </c>
      <c r="I206" s="3">
        <f>222.66-18.72</f>
        <v>203.94</v>
      </c>
      <c r="K206" s="7">
        <f>531+169</f>
        <v>700</v>
      </c>
      <c r="L206" s="3">
        <f>217.75-18.31</f>
        <v>199.44</v>
      </c>
      <c r="N206" s="7">
        <f>484+169</f>
        <v>653</v>
      </c>
      <c r="O206" s="3">
        <f>209.98-17.66</f>
        <v>192.32</v>
      </c>
      <c r="Q206" s="9">
        <f>388+169</f>
        <v>557</v>
      </c>
      <c r="R206" s="3">
        <f>195.96-16.47</f>
        <v>179.49</v>
      </c>
      <c r="T206" s="9">
        <f>387+169</f>
        <v>556</v>
      </c>
      <c r="U206" s="3">
        <f>201.35-16.93</f>
        <v>184.42</v>
      </c>
      <c r="W206" s="7">
        <f>392+169</f>
        <v>561</v>
      </c>
      <c r="X206" s="3">
        <f>198.04-16.65</f>
        <v>181.39</v>
      </c>
      <c r="Z206" s="9">
        <f>460+169</f>
        <v>629</v>
      </c>
      <c r="AA206" s="3">
        <f>201.92-16.98</f>
        <v>184.94</v>
      </c>
      <c r="AC206" s="9">
        <f>426+169</f>
        <v>595</v>
      </c>
      <c r="AD206" s="3">
        <f>199.08-16.74</f>
        <v>182.34</v>
      </c>
      <c r="AF206" s="7">
        <f>631+169</f>
        <v>800</v>
      </c>
      <c r="AG206" s="3">
        <f>199.94-16.81</f>
        <v>183.13</v>
      </c>
      <c r="AI206" s="9">
        <f>836+169</f>
        <v>1005</v>
      </c>
      <c r="AJ206" s="3">
        <f>233.55-19.64</f>
        <v>213.91000000000003</v>
      </c>
      <c r="AL206" s="2">
        <f t="shared" si="6"/>
        <v>7897</v>
      </c>
      <c r="AM206" s="5">
        <f t="shared" si="7"/>
        <v>2198.1999999999998</v>
      </c>
    </row>
    <row r="207" spans="1:39" x14ac:dyDescent="0.25">
      <c r="A207" s="11">
        <v>204</v>
      </c>
      <c r="B207" s="7">
        <v>1600</v>
      </c>
      <c r="C207" s="3">
        <f>293.05-24.64</f>
        <v>268.41000000000003</v>
      </c>
      <c r="E207" s="7">
        <v>1800</v>
      </c>
      <c r="F207" s="3">
        <f>339.16-28.52</f>
        <v>310.64000000000004</v>
      </c>
      <c r="H207" s="7">
        <v>1600</v>
      </c>
      <c r="I207" s="3">
        <f>284.92-23.96</f>
        <v>260.96000000000004</v>
      </c>
      <c r="K207" s="7">
        <v>1800</v>
      </c>
      <c r="L207" s="3">
        <f>315.41-26.52</f>
        <v>288.89000000000004</v>
      </c>
      <c r="N207" s="7">
        <v>1600</v>
      </c>
      <c r="O207" s="3">
        <f>290.68-24.44</f>
        <v>266.24</v>
      </c>
      <c r="Q207" s="9">
        <v>1600</v>
      </c>
      <c r="R207" s="3">
        <f>290.46-24.42</f>
        <v>266.03999999999996</v>
      </c>
      <c r="T207" s="9">
        <v>1500</v>
      </c>
      <c r="U207" s="3">
        <f>286.88-24.12</f>
        <v>262.76</v>
      </c>
      <c r="W207" s="7">
        <v>1600</v>
      </c>
      <c r="X207" s="3">
        <f>289.63-24.35</f>
        <v>265.27999999999997</v>
      </c>
      <c r="Z207" s="9">
        <v>2100</v>
      </c>
      <c r="AA207" s="3">
        <f>344.87-29</f>
        <v>315.87</v>
      </c>
      <c r="AC207" s="9">
        <v>2000</v>
      </c>
      <c r="AD207" s="3">
        <f>338.84-28.49</f>
        <v>310.34999999999997</v>
      </c>
      <c r="AF207" s="7">
        <v>2200</v>
      </c>
      <c r="AG207" s="3">
        <f>311.87-26.22</f>
        <v>285.64999999999998</v>
      </c>
      <c r="AI207" s="9">
        <v>1900</v>
      </c>
      <c r="AJ207" s="3">
        <f>287.21-24.15</f>
        <v>263.06</v>
      </c>
      <c r="AL207" s="2">
        <f t="shared" si="6"/>
        <v>21300</v>
      </c>
      <c r="AM207" s="5">
        <f t="shared" si="7"/>
        <v>3364.15</v>
      </c>
    </row>
    <row r="208" spans="1:39" x14ac:dyDescent="0.25">
      <c r="A208" s="11">
        <v>205</v>
      </c>
      <c r="B208" s="7">
        <v>3463</v>
      </c>
      <c r="C208" s="3">
        <f>588.69-75.18</f>
        <v>513.51</v>
      </c>
      <c r="E208" s="7">
        <v>2094</v>
      </c>
      <c r="F208" s="3">
        <f>403.26-51.5</f>
        <v>351.76</v>
      </c>
      <c r="H208" s="7">
        <v>3287</v>
      </c>
      <c r="I208" s="3">
        <f>543.2-69.37</f>
        <v>473.83000000000004</v>
      </c>
      <c r="K208" s="7">
        <v>3321</v>
      </c>
      <c r="L208" s="3">
        <f>553.89-70.73</f>
        <v>483.15999999999997</v>
      </c>
      <c r="N208" s="7">
        <v>2566</v>
      </c>
      <c r="O208" s="3">
        <f>449.78-57.44</f>
        <v>392.34</v>
      </c>
      <c r="Q208" s="9">
        <v>2087</v>
      </c>
      <c r="R208" s="3">
        <f>377.84-48.25</f>
        <v>329.59</v>
      </c>
      <c r="T208" s="9">
        <v>2065</v>
      </c>
      <c r="U208" s="3">
        <f>389.54-49.74</f>
        <v>339.8</v>
      </c>
      <c r="W208" s="7">
        <v>2146</v>
      </c>
      <c r="X208" s="3">
        <f>385.08-49.18</f>
        <v>335.9</v>
      </c>
      <c r="Z208" s="9">
        <v>2417</v>
      </c>
      <c r="AA208" s="3">
        <f>406.8-51.95</f>
        <v>354.85</v>
      </c>
      <c r="AC208" s="9">
        <v>2129</v>
      </c>
      <c r="AD208" s="3">
        <f>374.49-47.82</f>
        <v>326.67</v>
      </c>
      <c r="AF208" s="7">
        <v>2336</v>
      </c>
      <c r="AG208" s="3">
        <f>344.66-44.01</f>
        <v>300.65000000000003</v>
      </c>
      <c r="AI208" s="9">
        <v>1991</v>
      </c>
      <c r="AJ208" s="3">
        <f>313.56-40.05</f>
        <v>273.51</v>
      </c>
      <c r="AL208" s="2">
        <f t="shared" si="6"/>
        <v>29902</v>
      </c>
      <c r="AM208" s="5">
        <f t="shared" si="7"/>
        <v>4475.5700000000006</v>
      </c>
    </row>
    <row r="209" spans="1:39" x14ac:dyDescent="0.25">
      <c r="A209" s="11">
        <v>206</v>
      </c>
      <c r="B209" s="7">
        <v>7120</v>
      </c>
      <c r="C209" s="3">
        <f>1085.94-91.31</f>
        <v>994.63000000000011</v>
      </c>
      <c r="E209" s="7">
        <v>7520</v>
      </c>
      <c r="F209" s="3">
        <f>1212.42-101.94</f>
        <v>1110.48</v>
      </c>
      <c r="H209" s="7">
        <v>9040</v>
      </c>
      <c r="I209" s="3">
        <f>1309.94-110.14</f>
        <v>1199.8</v>
      </c>
      <c r="K209" s="7">
        <v>8800</v>
      </c>
      <c r="L209" s="3">
        <f>1291.59-108.6</f>
        <v>1182.99</v>
      </c>
      <c r="N209" s="7">
        <v>7200</v>
      </c>
      <c r="O209" s="3">
        <f>1088.75-91.55</f>
        <v>997.2</v>
      </c>
      <c r="Q209" s="9">
        <v>5920</v>
      </c>
      <c r="R209" s="3">
        <f>905.96-76.17</f>
        <v>829.79000000000008</v>
      </c>
      <c r="T209" s="9">
        <v>5680</v>
      </c>
      <c r="U209" s="3">
        <f>909.2-76.44</f>
        <v>832.76</v>
      </c>
      <c r="W209" s="7">
        <v>5840</v>
      </c>
      <c r="X209" s="3">
        <f>888.39-74.7</f>
        <v>813.68999999999994</v>
      </c>
      <c r="Z209" s="9">
        <v>6560</v>
      </c>
      <c r="AA209" s="3">
        <f>943.59-79.34</f>
        <v>864.25</v>
      </c>
      <c r="AC209" s="9">
        <v>5280</v>
      </c>
      <c r="AD209" s="3">
        <f>791.76-66.58</f>
        <v>725.18</v>
      </c>
      <c r="AF209" s="7">
        <v>5440</v>
      </c>
      <c r="AG209" s="3">
        <f>701.93-59.02</f>
        <v>642.91</v>
      </c>
      <c r="AI209" s="9">
        <v>5840</v>
      </c>
      <c r="AJ209" s="3">
        <f>781.64-65.72</f>
        <v>715.92</v>
      </c>
      <c r="AL209" s="2">
        <f t="shared" si="6"/>
        <v>80240</v>
      </c>
      <c r="AM209" s="5">
        <f t="shared" si="7"/>
        <v>10909.6</v>
      </c>
    </row>
    <row r="210" spans="1:39" x14ac:dyDescent="0.25">
      <c r="A210" s="11">
        <v>207</v>
      </c>
      <c r="B210" s="7">
        <f>160+23</f>
        <v>183</v>
      </c>
      <c r="C210" s="3">
        <f>103.71-8.72</f>
        <v>94.99</v>
      </c>
      <c r="E210" s="7">
        <f>160+23</f>
        <v>183</v>
      </c>
      <c r="F210" s="3">
        <f>106.74-8.97</f>
        <v>97.77</v>
      </c>
      <c r="H210" s="7">
        <f>80+23</f>
        <v>103</v>
      </c>
      <c r="I210" s="3">
        <f>93.15-7.83</f>
        <v>85.320000000000007</v>
      </c>
      <c r="K210" s="7">
        <f>240+23</f>
        <v>263</v>
      </c>
      <c r="L210" s="3">
        <f>115.53-9.71</f>
        <v>105.82</v>
      </c>
      <c r="N210" s="7">
        <f>240+23</f>
        <v>263</v>
      </c>
      <c r="O210" s="3">
        <f>114.23-9.61</f>
        <v>104.62</v>
      </c>
      <c r="Q210" s="9">
        <f>320+23</f>
        <v>343</v>
      </c>
      <c r="R210" s="3">
        <f>125.42-10.55</f>
        <v>114.87</v>
      </c>
      <c r="T210" s="9">
        <f>320+23</f>
        <v>343</v>
      </c>
      <c r="U210" s="3">
        <f>128.9-10.84</f>
        <v>118.06</v>
      </c>
      <c r="W210" s="7">
        <f>240+23</f>
        <v>263</v>
      </c>
      <c r="X210" s="3">
        <f>115.13-9.68</f>
        <v>105.44999999999999</v>
      </c>
      <c r="Z210" s="9">
        <f>560+23</f>
        <v>583</v>
      </c>
      <c r="AA210" s="3">
        <f>155.37-13.06</f>
        <v>142.31</v>
      </c>
      <c r="AC210" s="9">
        <f>320+23</f>
        <v>343</v>
      </c>
      <c r="AD210" s="3">
        <f>124.1-10.43</f>
        <v>113.66999999999999</v>
      </c>
      <c r="AF210" s="7">
        <f>320+23</f>
        <v>343</v>
      </c>
      <c r="AG210" s="3">
        <f>102.53-8.62</f>
        <v>93.91</v>
      </c>
      <c r="AI210" s="9">
        <f>240+23</f>
        <v>263</v>
      </c>
      <c r="AJ210" s="3">
        <f>96.5-8.11</f>
        <v>88.39</v>
      </c>
      <c r="AL210" s="2">
        <f t="shared" si="6"/>
        <v>3476</v>
      </c>
      <c r="AM210" s="5">
        <f t="shared" si="7"/>
        <v>1265.1800000000003</v>
      </c>
    </row>
    <row r="211" spans="1:39" x14ac:dyDescent="0.25">
      <c r="A211" s="11">
        <v>208</v>
      </c>
      <c r="B211" s="7">
        <f>1560+214</f>
        <v>1774</v>
      </c>
      <c r="C211" s="3">
        <f>386.79-37.44</f>
        <v>349.35</v>
      </c>
      <c r="E211" s="7">
        <f>1880+214</f>
        <v>2094</v>
      </c>
      <c r="F211" s="3">
        <f>452.91-43.08</f>
        <v>409.83000000000004</v>
      </c>
      <c r="H211" s="7">
        <f>1520+214</f>
        <v>1734</v>
      </c>
      <c r="I211" s="3">
        <f>372.36-36.31</f>
        <v>336.05</v>
      </c>
      <c r="K211" s="7">
        <f>1840+214</f>
        <v>2054</v>
      </c>
      <c r="L211" s="3">
        <f>419.73-40.29</f>
        <v>379.44</v>
      </c>
      <c r="N211" s="7">
        <f>1440+214</f>
        <v>1654</v>
      </c>
      <c r="O211" s="3">
        <f>365.58-35.74</f>
        <v>329.84</v>
      </c>
      <c r="Q211" s="9">
        <f>1480+214</f>
        <v>1694</v>
      </c>
      <c r="R211" s="3">
        <f>370.89-36.18</f>
        <v>334.71</v>
      </c>
      <c r="T211" s="9">
        <f>1360+214</f>
        <v>1574</v>
      </c>
      <c r="U211" s="3">
        <f>365.99-35.78</f>
        <v>330.21000000000004</v>
      </c>
      <c r="W211" s="7">
        <f>1920+214</f>
        <v>2134</v>
      </c>
      <c r="X211" s="3">
        <f>433.24-41.42</f>
        <v>391.82</v>
      </c>
      <c r="Z211" s="9">
        <f>2320+214</f>
        <v>2534</v>
      </c>
      <c r="AA211" s="3">
        <f>470.63-44.57</f>
        <v>426.06</v>
      </c>
      <c r="AC211" s="9">
        <f>2040+214</f>
        <v>2254</v>
      </c>
      <c r="AD211" s="3">
        <f>441.11-42.09</f>
        <v>399.02</v>
      </c>
      <c r="AF211" s="7">
        <f>1920+214</f>
        <v>2134</v>
      </c>
      <c r="AG211" s="3">
        <f>374.29-36.47</f>
        <v>337.82000000000005</v>
      </c>
      <c r="AI211" s="9">
        <f>1320+214</f>
        <v>1534</v>
      </c>
      <c r="AJ211" s="3">
        <f>314.01-31.4</f>
        <v>282.61</v>
      </c>
      <c r="AL211" s="2">
        <f t="shared" si="6"/>
        <v>23168</v>
      </c>
      <c r="AM211" s="5">
        <f t="shared" si="7"/>
        <v>4306.76</v>
      </c>
    </row>
    <row r="212" spans="1:39" x14ac:dyDescent="0.25">
      <c r="A212" s="11">
        <v>209</v>
      </c>
      <c r="B212" s="7">
        <f>2281+73</f>
        <v>2354</v>
      </c>
      <c r="C212" s="3">
        <f>421.63-35.46</f>
        <v>386.17</v>
      </c>
      <c r="E212" s="7">
        <f>2592+73</f>
        <v>2665</v>
      </c>
      <c r="F212" s="3">
        <f>491.86-41.36</f>
        <v>450.5</v>
      </c>
      <c r="H212" s="7">
        <f>3332+73</f>
        <v>3405</v>
      </c>
      <c r="I212" s="3">
        <f>554.26-46.6</f>
        <v>507.65999999999997</v>
      </c>
      <c r="K212" s="7">
        <f>2883+73</f>
        <v>2956</v>
      </c>
      <c r="L212" s="3">
        <f>497.25-41.81</f>
        <v>455.44</v>
      </c>
      <c r="N212" s="7">
        <f>2404+73</f>
        <v>2477</v>
      </c>
      <c r="O212" s="3">
        <f>435.76-36.64</f>
        <v>399.12</v>
      </c>
      <c r="Q212" s="9">
        <f>2531+73</f>
        <v>2604</v>
      </c>
      <c r="R212" s="3">
        <f>453.54-38.13</f>
        <v>415.41</v>
      </c>
      <c r="T212" s="9">
        <f>6621+73</f>
        <v>6694</v>
      </c>
      <c r="U212" s="3">
        <f>1080.55-90.85</f>
        <v>989.69999999999993</v>
      </c>
      <c r="W212" s="7">
        <f>7598+73</f>
        <v>7671</v>
      </c>
      <c r="X212" s="3">
        <f>1167.37-98.16</f>
        <v>1069.2099999999998</v>
      </c>
      <c r="Z212" s="9">
        <f>8644+73</f>
        <v>8717</v>
      </c>
      <c r="AA212" s="3">
        <f>1253.32-105.38</f>
        <v>1147.94</v>
      </c>
      <c r="AC212" s="9">
        <f>5935+73</f>
        <v>6008</v>
      </c>
      <c r="AD212" s="3">
        <f>912.38-76.71</f>
        <v>835.67</v>
      </c>
      <c r="AF212" s="7">
        <f>4664+73</f>
        <v>4737</v>
      </c>
      <c r="AG212" s="3">
        <f>638.49-53.68</f>
        <v>584.81000000000006</v>
      </c>
      <c r="AI212" s="9">
        <f>3269+73</f>
        <v>3342</v>
      </c>
      <c r="AJ212" s="3">
        <f>490.14-41.21</f>
        <v>448.93</v>
      </c>
      <c r="AL212" s="2">
        <f t="shared" si="6"/>
        <v>53630</v>
      </c>
      <c r="AM212" s="5">
        <f t="shared" si="7"/>
        <v>7690.56</v>
      </c>
    </row>
    <row r="213" spans="1:39" x14ac:dyDescent="0.25">
      <c r="A213" s="11">
        <v>210</v>
      </c>
      <c r="B213" s="7">
        <f>1738+106</f>
        <v>1844</v>
      </c>
      <c r="C213" s="3">
        <f>335.68-28.22</f>
        <v>307.46000000000004</v>
      </c>
      <c r="E213" s="7">
        <f>1465+106</f>
        <v>1571</v>
      </c>
      <c r="F213" s="3">
        <f>311.92-26.23</f>
        <v>285.69</v>
      </c>
      <c r="H213" s="7">
        <f>2480+106</f>
        <v>2586</v>
      </c>
      <c r="I213" s="3">
        <f>428.49-36.02</f>
        <v>392.47</v>
      </c>
      <c r="K213" s="7">
        <f>3994+106</f>
        <v>4100</v>
      </c>
      <c r="L213" s="3">
        <f>643.88-54.14</f>
        <v>589.74</v>
      </c>
      <c r="N213" s="7">
        <f>2018+106</f>
        <v>2124</v>
      </c>
      <c r="O213" s="3">
        <f>372.88-31.36</f>
        <v>341.52</v>
      </c>
      <c r="Q213" s="9">
        <f>1862+106</f>
        <v>1968</v>
      </c>
      <c r="R213" s="3">
        <f>350.38-29.46</f>
        <v>320.92</v>
      </c>
      <c r="T213" s="9">
        <f>2364+106</f>
        <v>2470</v>
      </c>
      <c r="U213" s="3">
        <f>438.92-36.9</f>
        <v>402.02000000000004</v>
      </c>
      <c r="W213" s="7">
        <f>3078+106</f>
        <v>3184</v>
      </c>
      <c r="X213" s="3">
        <f>520.95-43.8</f>
        <v>477.15000000000003</v>
      </c>
      <c r="Z213" s="9">
        <f>2307+106</f>
        <v>2413</v>
      </c>
      <c r="AA213" s="3">
        <f>394.45-33.17</f>
        <v>361.28</v>
      </c>
      <c r="AC213" s="9">
        <f>3407+106</f>
        <v>3513</v>
      </c>
      <c r="AD213" s="3">
        <f>555.3-46.69</f>
        <v>508.60999999999996</v>
      </c>
      <c r="AF213" s="7">
        <f>3128+86</f>
        <v>3214</v>
      </c>
      <c r="AG213" s="3">
        <f>452.08-38.01</f>
        <v>414.07</v>
      </c>
      <c r="AI213" s="9">
        <f>2187+73</f>
        <v>2260</v>
      </c>
      <c r="AJ213" s="3">
        <f>354.36-29.8</f>
        <v>324.56</v>
      </c>
      <c r="AL213" s="2">
        <f t="shared" si="6"/>
        <v>31247</v>
      </c>
      <c r="AM213" s="5">
        <f t="shared" si="7"/>
        <v>4725.4900000000007</v>
      </c>
    </row>
    <row r="214" spans="1:39" x14ac:dyDescent="0.25">
      <c r="A214" s="11">
        <v>211</v>
      </c>
      <c r="B214" s="7">
        <v>0</v>
      </c>
      <c r="C214" s="3">
        <v>0</v>
      </c>
      <c r="E214" s="7">
        <v>40</v>
      </c>
      <c r="F214" s="3">
        <f>23.27-1.96</f>
        <v>21.31</v>
      </c>
      <c r="H214" s="7">
        <v>160</v>
      </c>
      <c r="I214" s="3">
        <f>86.53-7.28</f>
        <v>79.25</v>
      </c>
      <c r="K214" s="7">
        <v>120</v>
      </c>
      <c r="L214" s="3">
        <f>81.13-6.82</f>
        <v>74.31</v>
      </c>
      <c r="N214" s="7">
        <v>160</v>
      </c>
      <c r="O214" s="3">
        <f>85.47-7.19</f>
        <v>78.28</v>
      </c>
      <c r="Q214" s="7">
        <v>160</v>
      </c>
      <c r="R214" s="3">
        <f>85.3-7.17</f>
        <v>78.13</v>
      </c>
      <c r="T214" s="9">
        <v>160</v>
      </c>
      <c r="U214" s="3">
        <f>87.37-7.35</f>
        <v>80.02000000000001</v>
      </c>
      <c r="W214" s="9">
        <v>240</v>
      </c>
      <c r="X214" s="3">
        <f>97.57-8.2</f>
        <v>89.36999999999999</v>
      </c>
      <c r="Z214" s="7">
        <v>120</v>
      </c>
      <c r="AA214" s="3">
        <f>79.08-6.65</f>
        <v>72.429999999999993</v>
      </c>
      <c r="AC214" s="9">
        <v>160</v>
      </c>
      <c r="AD214" s="3">
        <f>84.77-7.13</f>
        <v>77.64</v>
      </c>
      <c r="AF214" s="9">
        <v>280</v>
      </c>
      <c r="AG214" s="3">
        <f>80.74-6.79</f>
        <v>73.949999999999989</v>
      </c>
      <c r="AI214" s="7">
        <v>200</v>
      </c>
      <c r="AJ214" s="3">
        <f>73.85-6.21</f>
        <v>67.64</v>
      </c>
      <c r="AL214" s="2">
        <f t="shared" si="6"/>
        <v>1800</v>
      </c>
      <c r="AM214" s="5">
        <f t="shared" si="7"/>
        <v>792.32999999999981</v>
      </c>
    </row>
    <row r="215" spans="1:39" x14ac:dyDescent="0.25">
      <c r="A215" s="11">
        <v>212</v>
      </c>
      <c r="B215" s="7">
        <v>0</v>
      </c>
      <c r="C215" s="3">
        <v>0</v>
      </c>
      <c r="E215" s="7">
        <v>0</v>
      </c>
      <c r="F215" s="3">
        <v>0</v>
      </c>
      <c r="H215" s="7">
        <v>0</v>
      </c>
      <c r="I215" s="3">
        <v>0</v>
      </c>
      <c r="K215" s="7">
        <v>0</v>
      </c>
      <c r="L215" s="3">
        <v>0</v>
      </c>
      <c r="N215" s="7">
        <v>0</v>
      </c>
      <c r="O215" s="3">
        <v>0</v>
      </c>
      <c r="Q215" s="9">
        <v>240</v>
      </c>
      <c r="R215" s="3">
        <f>73.78-6.21</f>
        <v>67.570000000000007</v>
      </c>
      <c r="T215" s="9">
        <v>120</v>
      </c>
      <c r="U215" s="3">
        <f>81.43-6.85</f>
        <v>74.580000000000013</v>
      </c>
      <c r="W215" s="7">
        <v>0</v>
      </c>
      <c r="X215" s="3">
        <f>73.72-6.2</f>
        <v>67.52</v>
      </c>
      <c r="Z215" s="9">
        <v>0</v>
      </c>
      <c r="AA215" s="3">
        <f>72.89-6.13</f>
        <v>66.760000000000005</v>
      </c>
      <c r="AC215" s="9">
        <v>0</v>
      </c>
      <c r="AD215" s="3">
        <f>72.54-6.1</f>
        <v>66.440000000000012</v>
      </c>
      <c r="AF215" s="7">
        <v>40</v>
      </c>
      <c r="AG215" s="3">
        <f>71.25-5.99</f>
        <v>65.260000000000005</v>
      </c>
      <c r="AI215" s="9">
        <v>0</v>
      </c>
      <c r="AJ215" s="3">
        <f>73.13-6.15</f>
        <v>66.97999999999999</v>
      </c>
      <c r="AL215" s="2">
        <f t="shared" si="6"/>
        <v>400</v>
      </c>
      <c r="AM215" s="5">
        <f t="shared" si="7"/>
        <v>475.11</v>
      </c>
    </row>
  </sheetData>
  <sortState xmlns:xlrd2="http://schemas.microsoft.com/office/spreadsheetml/2017/richdata2" ref="A151:A215">
    <sortCondition ref="A151:A215"/>
  </sortState>
  <pageMargins left="0.25" right="0.25" top="0.75" bottom="0.75" header="0.3" footer="0.3"/>
  <pageSetup scale="95" orientation="landscape" verticalDpi="597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Accts Under 50 KW</vt:lpstr>
      <vt:lpstr>'Accts Under 50 KW'!Print_Area</vt:lpstr>
      <vt:lpstr>'Accts Under 50 KW'!Print_Titles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Keith</dc:creator>
  <cp:lastModifiedBy>Carrie Bessinger</cp:lastModifiedBy>
  <cp:lastPrinted>2024-02-27T20:55:15Z</cp:lastPrinted>
  <dcterms:created xsi:type="dcterms:W3CDTF">2024-02-26T18:19:49Z</dcterms:created>
  <dcterms:modified xsi:type="dcterms:W3CDTF">2025-03-24T20:09:45Z</dcterms:modified>
</cp:coreProperties>
</file>