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8A6CA637-88B7-4BF3-815F-2438C93C76E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2021" sheetId="1" r:id="rId1"/>
    <sheet name="2022" sheetId="2" r:id="rId2"/>
    <sheet name="2023" sheetId="3" r:id="rId3"/>
    <sheet name="Test Yea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30" i="4"/>
  <c r="K29" i="4"/>
  <c r="K16" i="4"/>
  <c r="K28" i="4"/>
  <c r="K32" i="4"/>
  <c r="K27" i="4"/>
  <c r="K26" i="4"/>
  <c r="K25" i="4"/>
  <c r="K24" i="4"/>
  <c r="K23" i="4"/>
  <c r="K22" i="4"/>
  <c r="K21" i="4"/>
  <c r="K32" i="3"/>
  <c r="K31" i="3"/>
  <c r="K30" i="3"/>
  <c r="K29" i="3"/>
  <c r="K28" i="3"/>
  <c r="K27" i="3"/>
  <c r="K26" i="3"/>
  <c r="K25" i="3"/>
  <c r="K24" i="3"/>
  <c r="K23" i="3"/>
  <c r="K22" i="3"/>
  <c r="K21" i="3"/>
  <c r="J21" i="1" l="1"/>
  <c r="M21" i="1"/>
  <c r="J8" i="2" l="1"/>
  <c r="M8" i="2"/>
  <c r="N8" i="2"/>
  <c r="O8" i="2"/>
  <c r="J9" i="2"/>
  <c r="M9" i="2"/>
  <c r="N9" i="2"/>
  <c r="O9" i="2"/>
  <c r="J10" i="2"/>
  <c r="M10" i="2"/>
  <c r="P10" i="2" s="1"/>
  <c r="N10" i="2"/>
  <c r="O10" i="2"/>
  <c r="J11" i="2"/>
  <c r="M11" i="2"/>
  <c r="P11" i="2" s="1"/>
  <c r="N11" i="2"/>
  <c r="O11" i="2"/>
  <c r="J12" i="2"/>
  <c r="M12" i="2"/>
  <c r="P12" i="2" s="1"/>
  <c r="N12" i="2"/>
  <c r="O12" i="2"/>
  <c r="J13" i="2"/>
  <c r="M13" i="2"/>
  <c r="N13" i="2"/>
  <c r="O13" i="2"/>
  <c r="J14" i="2"/>
  <c r="M14" i="2"/>
  <c r="N14" i="2"/>
  <c r="O14" i="2"/>
  <c r="P14" i="2"/>
  <c r="J15" i="2"/>
  <c r="M15" i="2"/>
  <c r="P15" i="2" s="1"/>
  <c r="N15" i="2"/>
  <c r="O15" i="2"/>
  <c r="J16" i="2"/>
  <c r="M16" i="2"/>
  <c r="N16" i="2"/>
  <c r="O16" i="2"/>
  <c r="J17" i="2"/>
  <c r="M17" i="2"/>
  <c r="P17" i="2" s="1"/>
  <c r="N17" i="2"/>
  <c r="O17" i="2"/>
  <c r="J18" i="2"/>
  <c r="M18" i="2"/>
  <c r="P18" i="2" s="1"/>
  <c r="N18" i="2"/>
  <c r="O18" i="2"/>
  <c r="J19" i="2"/>
  <c r="M19" i="2"/>
  <c r="N19" i="2"/>
  <c r="O19" i="2"/>
  <c r="H21" i="2"/>
  <c r="I21" i="2"/>
  <c r="K21" i="2"/>
  <c r="L21" i="2"/>
  <c r="P16" i="2" l="1"/>
  <c r="P9" i="2"/>
  <c r="P19" i="2"/>
  <c r="P13" i="2"/>
  <c r="J21" i="2"/>
  <c r="O21" i="2"/>
  <c r="M21" i="2"/>
  <c r="P8" i="2"/>
  <c r="N21" i="2"/>
  <c r="P21" i="2" l="1"/>
  <c r="J21" i="4" l="1"/>
  <c r="M21" i="4"/>
  <c r="N21" i="4"/>
  <c r="M15" i="4" l="1"/>
  <c r="N15" i="4"/>
  <c r="O21" i="1" l="1"/>
  <c r="N21" i="1"/>
  <c r="I34" i="3" l="1"/>
  <c r="H34" i="3"/>
  <c r="J8" i="3"/>
  <c r="M8" i="3"/>
  <c r="N8" i="3"/>
  <c r="O8" i="3"/>
  <c r="P8" i="3" l="1"/>
  <c r="L34" i="4" l="1"/>
  <c r="K34" i="4"/>
  <c r="I34" i="4"/>
  <c r="H34" i="4"/>
  <c r="O34" i="4" l="1"/>
  <c r="N34" i="4"/>
  <c r="K34" i="3"/>
  <c r="N34" i="3" s="1"/>
  <c r="L34" i="3"/>
  <c r="O34" i="3" s="1"/>
  <c r="O21" i="4" l="1"/>
  <c r="M8" i="4"/>
  <c r="J8" i="4"/>
  <c r="P21" i="4" l="1"/>
  <c r="N8" i="4"/>
  <c r="P8" i="4"/>
  <c r="N19" i="4" l="1"/>
  <c r="M19" i="4"/>
  <c r="J19" i="4"/>
  <c r="N18" i="4"/>
  <c r="M18" i="4"/>
  <c r="J18" i="4"/>
  <c r="N17" i="4"/>
  <c r="M17" i="4"/>
  <c r="J17" i="4"/>
  <c r="N16" i="4"/>
  <c r="M16" i="4"/>
  <c r="J16" i="4"/>
  <c r="M32" i="4"/>
  <c r="M31" i="4"/>
  <c r="M30" i="4"/>
  <c r="O31" i="4"/>
  <c r="N30" i="4"/>
  <c r="J29" i="4"/>
  <c r="O28" i="4"/>
  <c r="N28" i="4"/>
  <c r="M28" i="4"/>
  <c r="M27" i="4"/>
  <c r="J26" i="4"/>
  <c r="O25" i="4"/>
  <c r="N25" i="4"/>
  <c r="J25" i="4"/>
  <c r="J24" i="4"/>
  <c r="J23" i="4"/>
  <c r="N22" i="4"/>
  <c r="J22" i="4"/>
  <c r="N14" i="4"/>
  <c r="N13" i="4"/>
  <c r="M12" i="4"/>
  <c r="J12" i="4"/>
  <c r="J11" i="4"/>
  <c r="N10" i="4"/>
  <c r="J10" i="4"/>
  <c r="N9" i="4"/>
  <c r="J9" i="4"/>
  <c r="P16" i="4" l="1"/>
  <c r="P19" i="4"/>
  <c r="P17" i="4"/>
  <c r="P18" i="4"/>
  <c r="M9" i="4"/>
  <c r="J13" i="4"/>
  <c r="O26" i="4"/>
  <c r="O27" i="4"/>
  <c r="O32" i="4"/>
  <c r="N24" i="4"/>
  <c r="N26" i="4"/>
  <c r="J28" i="4"/>
  <c r="P28" i="4" s="1"/>
  <c r="M29" i="4"/>
  <c r="P29" i="4" s="1"/>
  <c r="O24" i="4"/>
  <c r="N11" i="4"/>
  <c r="J14" i="4"/>
  <c r="N27" i="4"/>
  <c r="M23" i="4"/>
  <c r="P23" i="4" s="1"/>
  <c r="O29" i="4"/>
  <c r="M22" i="4"/>
  <c r="P22" i="4" s="1"/>
  <c r="O23" i="4"/>
  <c r="J31" i="4"/>
  <c r="P31" i="4" s="1"/>
  <c r="N32" i="4"/>
  <c r="N29" i="4"/>
  <c r="J32" i="4"/>
  <c r="O30" i="4"/>
  <c r="J30" i="4"/>
  <c r="P30" i="4" s="1"/>
  <c r="P12" i="4"/>
  <c r="M11" i="4"/>
  <c r="O22" i="4"/>
  <c r="N23" i="4"/>
  <c r="M24" i="4"/>
  <c r="P24" i="4" s="1"/>
  <c r="J27" i="4"/>
  <c r="P27" i="4" s="1"/>
  <c r="N31" i="4"/>
  <c r="N12" i="4"/>
  <c r="M13" i="4"/>
  <c r="M25" i="4"/>
  <c r="P25" i="4" s="1"/>
  <c r="M10" i="4"/>
  <c r="M14" i="4"/>
  <c r="M26" i="4"/>
  <c r="J15" i="4"/>
  <c r="P15" i="4" s="1"/>
  <c r="N27" i="3"/>
  <c r="N26" i="3"/>
  <c r="O19" i="3"/>
  <c r="N16" i="3"/>
  <c r="O15" i="3"/>
  <c r="N12" i="3"/>
  <c r="O11" i="3"/>
  <c r="N22" i="3"/>
  <c r="O25" i="3"/>
  <c r="O17" i="3"/>
  <c r="O18" i="3"/>
  <c r="O22" i="3"/>
  <c r="O23" i="3"/>
  <c r="O24" i="3"/>
  <c r="O26" i="3"/>
  <c r="O28" i="3"/>
  <c r="O30" i="3"/>
  <c r="O31" i="3"/>
  <c r="O21" i="3"/>
  <c r="N29" i="3"/>
  <c r="N30" i="3"/>
  <c r="N31" i="3"/>
  <c r="N32" i="3"/>
  <c r="N23" i="3"/>
  <c r="N24" i="3"/>
  <c r="N21" i="3"/>
  <c r="O14" i="3"/>
  <c r="N19" i="3"/>
  <c r="N13" i="3"/>
  <c r="N17" i="3"/>
  <c r="P9" i="4" l="1"/>
  <c r="M34" i="4"/>
  <c r="J34" i="4"/>
  <c r="P13" i="4"/>
  <c r="N25" i="3"/>
  <c r="N9" i="3"/>
  <c r="N15" i="3"/>
  <c r="O32" i="3"/>
  <c r="O12" i="3"/>
  <c r="O27" i="3"/>
  <c r="O16" i="3"/>
  <c r="N28" i="3"/>
  <c r="O9" i="3"/>
  <c r="O13" i="3"/>
  <c r="N10" i="3"/>
  <c r="N14" i="3"/>
  <c r="O29" i="3"/>
  <c r="O10" i="3"/>
  <c r="N18" i="3"/>
  <c r="N11" i="3"/>
  <c r="P26" i="4"/>
  <c r="P11" i="4"/>
  <c r="P32" i="4"/>
  <c r="P10" i="4"/>
  <c r="P14" i="4"/>
  <c r="P34" i="4" l="1"/>
  <c r="M19" i="3" l="1"/>
  <c r="J19" i="3"/>
  <c r="M18" i="3"/>
  <c r="J18" i="3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32" i="3"/>
  <c r="J32" i="3"/>
  <c r="M31" i="3"/>
  <c r="J31" i="3"/>
  <c r="M30" i="3"/>
  <c r="J30" i="3"/>
  <c r="M29" i="3"/>
  <c r="J29" i="3"/>
  <c r="M28" i="3"/>
  <c r="J28" i="3"/>
  <c r="M27" i="3"/>
  <c r="J27" i="3"/>
  <c r="M26" i="3"/>
  <c r="J26" i="3"/>
  <c r="M25" i="3"/>
  <c r="J25" i="3"/>
  <c r="M24" i="3"/>
  <c r="J24" i="3"/>
  <c r="M23" i="3"/>
  <c r="J23" i="3"/>
  <c r="M22" i="3"/>
  <c r="J22" i="3"/>
  <c r="M21" i="3"/>
  <c r="J21" i="3"/>
  <c r="J34" i="3" l="1"/>
  <c r="P21" i="1"/>
  <c r="M34" i="3"/>
  <c r="P21" i="3"/>
  <c r="P16" i="3"/>
  <c r="P26" i="3"/>
  <c r="P25" i="3"/>
  <c r="P17" i="3"/>
  <c r="P31" i="3"/>
  <c r="P18" i="3"/>
  <c r="P12" i="3"/>
  <c r="P13" i="3"/>
  <c r="P27" i="3"/>
  <c r="P14" i="3"/>
  <c r="P29" i="3"/>
  <c r="P22" i="3"/>
  <c r="P9" i="3"/>
  <c r="P23" i="3"/>
  <c r="P10" i="3"/>
  <c r="P24" i="3"/>
  <c r="P28" i="3"/>
  <c r="P11" i="3"/>
  <c r="P15" i="3"/>
  <c r="P32" i="3"/>
  <c r="P30" i="3"/>
  <c r="P19" i="3"/>
  <c r="P34" i="3" l="1"/>
</calcChain>
</file>

<file path=xl/sharedStrings.xml><?xml version="1.0" encoding="utf-8"?>
<sst xmlns="http://schemas.openxmlformats.org/spreadsheetml/2006/main" count="281" uniqueCount="43">
  <si>
    <t>Month</t>
  </si>
  <si>
    <t>Employee</t>
  </si>
  <si>
    <t>Group</t>
  </si>
  <si>
    <t>Number of Full-Time</t>
  </si>
  <si>
    <t>Employees</t>
  </si>
  <si>
    <t>Budget</t>
  </si>
  <si>
    <t>Actual</t>
  </si>
  <si>
    <t>Number of Part-Time</t>
  </si>
  <si>
    <t>Monthly Budget</t>
  </si>
  <si>
    <t>Reg.</t>
  </si>
  <si>
    <t>OT</t>
  </si>
  <si>
    <t>Total</t>
  </si>
  <si>
    <t>Monthly Actual</t>
  </si>
  <si>
    <t>Variance Percent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</si>
  <si>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</si>
  <si>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</si>
  <si>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</si>
  <si>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</si>
  <si>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</si>
  <si>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</si>
  <si>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</si>
  <si>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</si>
  <si>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</si>
  <si>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</si>
  <si>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</si>
  <si>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</si>
  <si>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Employees</t>
  </si>
  <si>
    <t>South Kentucky RECC</t>
  </si>
  <si>
    <t>Case No. 2024-00402</t>
  </si>
  <si>
    <t>Exempt</t>
  </si>
  <si>
    <t>Non-Exempt</t>
  </si>
  <si>
    <t>Variance Explanations</t>
  </si>
  <si>
    <t>Did not refill the COO position</t>
  </si>
  <si>
    <t>Item 17 - Schedule H1 2023</t>
  </si>
  <si>
    <t>Item 17 - Schedule H1 June 2023-May 2024</t>
  </si>
  <si>
    <t>Item 17 - Schedule H1 2021</t>
  </si>
  <si>
    <t>Reduced employee count</t>
  </si>
  <si>
    <t>Monthly Data Not Available for 2021</t>
  </si>
  <si>
    <t>Item 17 - Schedule H1 2022</t>
  </si>
  <si>
    <t xml:space="preserve">Variance due to three payrolls in one month, vs. two in other months. </t>
  </si>
  <si>
    <t>Major FEMA Event and software conversion</t>
  </si>
  <si>
    <t>Software conversion</t>
  </si>
  <si>
    <t>Position moved from non-exempt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</si>
</sst>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2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0" fillId="0" borderId="0" xfId="1" applyFont="1"/>
    <xf numFmtId="164" fontId="0" fillId="0" borderId="0" xfId="0" applyNumberFormat="1"/>
    <xf numFmtId="43" fontId="2" fillId="0" borderId="0" xfId="1" applyFont="1" applyAlignment="1">
      <alignment horizontal="center"/>
    </xf>
    <xf numFmtId="10" fontId="0" fillId="0" borderId="0" xfId="3" applyNumberFormat="1" applyFont="1"/>
    <xf numFmtId="43" fontId="0" fillId="0" borderId="0" xfId="1" applyFont="1" applyFill="1"/>
    <xf numFmtId="165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 applyFill="1"/>
    <xf numFmtId="10" fontId="0" fillId="0" borderId="0" xfId="3" applyNumberFormat="1" applyFont="1" applyFill="1"/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17" fontId="0" fillId="0" borderId="0" xfId="0" applyNumberFormat="1" applyAlignment="1">
      <alignment horizontal="center"/>
    </xf>
    <xf numFmtId="0" fontId="0" fillId="0" borderId="0" xfId="3" applyNumberFormat="1" applyFont="1"/>
    <xf numFmtId="0" fontId="2" fillId="0" borderId="0" xfId="0" applyFont="1" applyAlignment="1">
      <alignment horizontal="left"/>
    </xf>
    <xf numFmtId="43" fontId="0" fillId="0" borderId="9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workbookViewId="0">
      <pane ySplit="7" topLeftCell="A8" activePane="bottomLeft" state="frozen"/>
      <selection pane="bottomLeft" activeCell="E21" sqref="E21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2.42578125" customWidth="1"/>
    <col min="7" max="7" width="12.7109375" customWidth="1"/>
    <col min="8" max="8" width="12.5703125" bestFit="1" customWidth="1"/>
    <col min="9" max="9" width="11.5703125" bestFit="1" customWidth="1"/>
    <col min="10" max="10" width="12.5703125" bestFit="1" customWidth="1"/>
    <col min="11" max="11" width="13.28515625" bestFit="1" customWidth="1"/>
    <col min="12" max="12" width="11.5703125" bestFit="1" customWidth="1"/>
    <col min="13" max="13" width="13.28515625" bestFit="1" customWidth="1"/>
    <col min="14" max="14" width="10.7109375" bestFit="1" customWidth="1"/>
    <col min="15" max="15" width="9.7109375" bestFit="1" customWidth="1"/>
    <col min="16" max="16" width="10.7109375" bestFit="1" customWidth="1"/>
    <col min="19" max="19" width="11.5703125" bestFit="1" customWidth="1"/>
    <col min="20" max="20" width="13.28515625" style="17" bestFit="1" customWidth="1"/>
  </cols>
  <sheetData>
    <row r="1" spans="1:20" x14ac:dyDescent="0.25">
      <c r="A1" s="4" t="s">
        <v>27</v>
      </c>
      <c r="K1" s="27"/>
      <c r="L1" s="27"/>
      <c r="M1" s="27"/>
    </row>
    <row r="2" spans="1:20" x14ac:dyDescent="0.25">
      <c r="A2" s="4" t="s">
        <v>28</v>
      </c>
      <c r="K2" s="27"/>
      <c r="L2" s="27"/>
      <c r="M2" s="27"/>
    </row>
    <row r="3" spans="1:20" x14ac:dyDescent="0.25">
      <c r="A3" s="4" t="s">
        <v>35</v>
      </c>
      <c r="D3" s="23"/>
      <c r="K3" s="27"/>
      <c r="L3" s="27"/>
      <c r="M3" s="27"/>
    </row>
    <row r="4" spans="1:20" ht="15.75" thickBot="1" x14ac:dyDescent="0.3">
      <c r="A4" s="4"/>
      <c r="K4" s="28"/>
      <c r="L4" s="28"/>
      <c r="M4" s="28"/>
    </row>
    <row r="5" spans="1:20" s="5" customFormat="1" x14ac:dyDescent="0.25">
      <c r="B5" s="1"/>
      <c r="C5" s="7"/>
      <c r="D5" s="37" t="s">
        <v>3</v>
      </c>
      <c r="E5" s="38"/>
      <c r="F5" s="37" t="s">
        <v>7</v>
      </c>
      <c r="G5" s="38"/>
      <c r="H5" s="10"/>
      <c r="I5" s="12"/>
      <c r="J5" s="7"/>
      <c r="K5" s="10"/>
      <c r="L5" s="12"/>
      <c r="M5" s="7"/>
      <c r="N5" s="10"/>
      <c r="O5" s="12"/>
      <c r="P5" s="7"/>
      <c r="T5" s="19"/>
    </row>
    <row r="6" spans="1:20" s="5" customFormat="1" ht="15.75" thickBot="1" x14ac:dyDescent="0.3">
      <c r="B6" s="3"/>
      <c r="C6" s="8" t="s">
        <v>1</v>
      </c>
      <c r="D6" s="34" t="s">
        <v>4</v>
      </c>
      <c r="E6" s="36"/>
      <c r="F6" s="34" t="s">
        <v>4</v>
      </c>
      <c r="G6" s="36"/>
      <c r="H6" s="34" t="s">
        <v>8</v>
      </c>
      <c r="I6" s="35"/>
      <c r="J6" s="36"/>
      <c r="K6" s="34" t="s">
        <v>12</v>
      </c>
      <c r="L6" s="35"/>
      <c r="M6" s="36"/>
      <c r="N6" s="34" t="s">
        <v>13</v>
      </c>
      <c r="O6" s="35"/>
      <c r="P6" s="36"/>
      <c r="T6" s="19"/>
    </row>
    <row r="7" spans="1:20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  <c r="T7" s="19"/>
    </row>
    <row r="8" spans="1:20" x14ac:dyDescent="0.25">
      <c r="A8" s="4"/>
      <c r="B8" t="s">
        <v>14</v>
      </c>
      <c r="C8" t="s">
        <v>26</v>
      </c>
      <c r="H8" s="32" t="s">
        <v>37</v>
      </c>
      <c r="I8" s="32"/>
      <c r="J8" s="32"/>
      <c r="K8" s="32"/>
      <c r="L8" s="32"/>
      <c r="M8" s="32"/>
      <c r="N8" s="20"/>
      <c r="O8" s="20"/>
      <c r="P8" s="20"/>
    </row>
    <row r="9" spans="1:20" x14ac:dyDescent="0.25">
      <c r="B9" t="s">
        <v>15</v>
      </c>
      <c r="C9" t="s">
        <v>26</v>
      </c>
      <c r="H9" s="33"/>
      <c r="I9" s="33"/>
      <c r="J9" s="33"/>
      <c r="K9" s="33"/>
      <c r="L9" s="33"/>
      <c r="M9" s="33"/>
      <c r="N9" s="20"/>
      <c r="O9" s="20"/>
      <c r="P9" s="20"/>
    </row>
    <row r="10" spans="1:20" x14ac:dyDescent="0.25">
      <c r="B10" t="s">
        <v>16</v>
      </c>
      <c r="C10" t="s">
        <v>26</v>
      </c>
      <c r="H10" s="33"/>
      <c r="I10" s="33"/>
      <c r="J10" s="33"/>
      <c r="K10" s="33"/>
      <c r="L10" s="33"/>
      <c r="M10" s="33"/>
      <c r="N10" s="20"/>
      <c r="O10" s="20"/>
      <c r="P10" s="20"/>
      <c r="T10" s="21"/>
    </row>
    <row r="11" spans="1:20" x14ac:dyDescent="0.25">
      <c r="B11" t="s">
        <v>17</v>
      </c>
      <c r="C11" t="s">
        <v>26</v>
      </c>
      <c r="H11" s="33"/>
      <c r="I11" s="33"/>
      <c r="J11" s="33"/>
      <c r="K11" s="33"/>
      <c r="L11" s="33"/>
      <c r="M11" s="33"/>
      <c r="N11" s="20"/>
      <c r="O11" s="20"/>
      <c r="P11" s="20"/>
      <c r="T11" s="21"/>
    </row>
    <row r="12" spans="1:20" x14ac:dyDescent="0.25">
      <c r="B12" t="s">
        <v>18</v>
      </c>
      <c r="C12" t="s">
        <v>26</v>
      </c>
      <c r="H12" s="33"/>
      <c r="I12" s="33"/>
      <c r="J12" s="33"/>
      <c r="K12" s="33"/>
      <c r="L12" s="33"/>
      <c r="M12" s="33"/>
      <c r="N12" s="20"/>
      <c r="O12" s="20"/>
      <c r="P12" s="20"/>
      <c r="T12" s="21"/>
    </row>
    <row r="13" spans="1:20" x14ac:dyDescent="0.25">
      <c r="B13" t="s">
        <v>19</v>
      </c>
      <c r="C13" t="s">
        <v>26</v>
      </c>
      <c r="H13" s="33"/>
      <c r="I13" s="33"/>
      <c r="J13" s="33"/>
      <c r="K13" s="33"/>
      <c r="L13" s="33"/>
      <c r="M13" s="33"/>
      <c r="N13" s="20"/>
      <c r="O13" s="20"/>
      <c r="P13" s="20"/>
      <c r="T13" s="21"/>
    </row>
    <row r="14" spans="1:20" x14ac:dyDescent="0.25">
      <c r="B14" t="s">
        <v>20</v>
      </c>
      <c r="C14" t="s">
        <v>26</v>
      </c>
      <c r="H14" s="33"/>
      <c r="I14" s="33"/>
      <c r="J14" s="33"/>
      <c r="K14" s="33"/>
      <c r="L14" s="33"/>
      <c r="M14" s="33"/>
      <c r="N14" s="20"/>
      <c r="O14" s="20"/>
      <c r="P14" s="20"/>
      <c r="T14" s="21"/>
    </row>
    <row r="15" spans="1:20" x14ac:dyDescent="0.25">
      <c r="B15" t="s">
        <v>21</v>
      </c>
      <c r="C15" t="s">
        <v>26</v>
      </c>
      <c r="H15" s="33"/>
      <c r="I15" s="33"/>
      <c r="J15" s="33"/>
      <c r="K15" s="33"/>
      <c r="L15" s="33"/>
      <c r="M15" s="33"/>
      <c r="N15" s="20"/>
      <c r="O15" s="20"/>
      <c r="P15" s="20"/>
      <c r="T15" s="21"/>
    </row>
    <row r="16" spans="1:20" x14ac:dyDescent="0.25">
      <c r="B16" t="s">
        <v>22</v>
      </c>
      <c r="C16" t="s">
        <v>26</v>
      </c>
      <c r="H16" s="33"/>
      <c r="I16" s="33"/>
      <c r="J16" s="33"/>
      <c r="K16" s="33"/>
      <c r="L16" s="33"/>
      <c r="M16" s="33"/>
      <c r="N16" s="20"/>
      <c r="O16" s="20"/>
      <c r="P16" s="20"/>
      <c r="T16" s="21"/>
    </row>
    <row r="17" spans="2:21" x14ac:dyDescent="0.25">
      <c r="B17" t="s">
        <v>23</v>
      </c>
      <c r="C17" t="s">
        <v>26</v>
      </c>
      <c r="H17" s="33"/>
      <c r="I17" s="33"/>
      <c r="J17" s="33"/>
      <c r="K17" s="33"/>
      <c r="L17" s="33"/>
      <c r="M17" s="33"/>
      <c r="N17" s="20"/>
      <c r="O17" s="20"/>
      <c r="P17" s="20"/>
      <c r="T17" s="21"/>
    </row>
    <row r="18" spans="2:21" x14ac:dyDescent="0.25">
      <c r="B18" t="s">
        <v>24</v>
      </c>
      <c r="C18" t="s">
        <v>26</v>
      </c>
      <c r="H18" s="33"/>
      <c r="I18" s="33"/>
      <c r="J18" s="33"/>
      <c r="K18" s="33"/>
      <c r="L18" s="33"/>
      <c r="M18" s="33"/>
      <c r="N18" s="20"/>
      <c r="O18" s="20"/>
      <c r="P18" s="20"/>
      <c r="T18" s="21"/>
    </row>
    <row r="19" spans="2:21" x14ac:dyDescent="0.25">
      <c r="B19" t="s">
        <v>25</v>
      </c>
      <c r="C19" t="s">
        <v>26</v>
      </c>
      <c r="H19" s="33"/>
      <c r="I19" s="33"/>
      <c r="J19" s="33"/>
      <c r="K19" s="33"/>
      <c r="L19" s="33"/>
      <c r="M19" s="33"/>
      <c r="N19" s="20"/>
      <c r="O19" s="20"/>
      <c r="P19" s="20"/>
      <c r="T19" s="21"/>
    </row>
    <row r="20" spans="2:21" x14ac:dyDescent="0.25">
      <c r="N20" s="20"/>
      <c r="O20" s="20"/>
      <c r="P20" s="20"/>
    </row>
    <row r="21" spans="2:21" x14ac:dyDescent="0.25">
      <c r="B21" t="s">
        <v>11</v>
      </c>
      <c r="D21">
        <v>140</v>
      </c>
      <c r="E21" s="39">
        <v>131</v>
      </c>
      <c r="H21" s="22">
        <v>10445820.114600005</v>
      </c>
      <c r="I21" s="22">
        <v>1168754.8853999942</v>
      </c>
      <c r="J21" s="22">
        <f>SUM(H21:I21)</f>
        <v>11614574.999999998</v>
      </c>
      <c r="K21" s="22">
        <v>10087294.210000001</v>
      </c>
      <c r="L21" s="22">
        <v>1338012.94</v>
      </c>
      <c r="M21" s="22">
        <f>SUM(K21:L21)</f>
        <v>11425307.15</v>
      </c>
      <c r="N21" s="20">
        <f t="shared" ref="N21" si="0">+(K21-H21)/H21</f>
        <v>-3.4322427599427656E-2</v>
      </c>
      <c r="O21" s="20">
        <f t="shared" ref="O21" si="1">+(L21-I21)/I21</f>
        <v>0.14481912051394671</v>
      </c>
      <c r="P21" s="20">
        <f t="shared" ref="P21" si="2">+(M21-J21)/J21</f>
        <v>-1.6295718956569467E-2</v>
      </c>
      <c r="U21" s="20"/>
    </row>
    <row r="22" spans="2:21" x14ac:dyDescent="0.25">
      <c r="N22" s="20"/>
    </row>
  </sheetData>
  <mergeCells count="8">
    <mergeCell ref="H8:M19"/>
    <mergeCell ref="K6:M6"/>
    <mergeCell ref="N6:P6"/>
    <mergeCell ref="D5:E5"/>
    <mergeCell ref="D6:E6"/>
    <mergeCell ref="F5:G5"/>
    <mergeCell ref="F6:G6"/>
    <mergeCell ref="H6:J6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4F0B-9629-4825-9FA1-726752C92B88}">
  <dimension ref="A1:Q27"/>
  <sheetViews>
    <sheetView workbookViewId="0">
      <pane ySplit="7" topLeftCell="A8" activePane="bottomLeft" state="frozen"/>
      <selection pane="bottomLeft" activeCell="Q16" sqref="Q16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2.42578125" customWidth="1"/>
    <col min="7" max="7" width="12.7109375" customWidth="1"/>
    <col min="8" max="8" width="12.5703125" bestFit="1" customWidth="1"/>
    <col min="9" max="9" width="11.5703125" bestFit="1" customWidth="1"/>
    <col min="10" max="11" width="12.5703125" bestFit="1" customWidth="1"/>
    <col min="12" max="12" width="11.5703125" bestFit="1" customWidth="1"/>
    <col min="13" max="13" width="12.5703125" bestFit="1" customWidth="1"/>
  </cols>
  <sheetData>
    <row r="1" spans="1:17" x14ac:dyDescent="0.25">
      <c r="A1" s="4" t="s">
        <v>27</v>
      </c>
      <c r="K1" s="27"/>
      <c r="L1" s="27"/>
      <c r="M1" s="27"/>
    </row>
    <row r="2" spans="1:17" x14ac:dyDescent="0.25">
      <c r="A2" s="4" t="s">
        <v>28</v>
      </c>
      <c r="E2" s="23"/>
      <c r="K2" s="27"/>
      <c r="L2" s="27"/>
      <c r="M2" s="27"/>
    </row>
    <row r="3" spans="1:17" x14ac:dyDescent="0.25">
      <c r="A3" s="4" t="s">
        <v>38</v>
      </c>
      <c r="K3" s="27"/>
      <c r="L3" s="27"/>
      <c r="M3" s="27"/>
    </row>
    <row r="4" spans="1:17" ht="15.75" thickBot="1" x14ac:dyDescent="0.3">
      <c r="A4" s="4"/>
      <c r="K4" s="28"/>
      <c r="L4" s="28"/>
      <c r="M4" s="28"/>
    </row>
    <row r="5" spans="1:17" s="5" customFormat="1" x14ac:dyDescent="0.25">
      <c r="B5" s="1"/>
      <c r="C5" s="7"/>
      <c r="D5" s="37" t="s">
        <v>3</v>
      </c>
      <c r="E5" s="38"/>
      <c r="F5" s="37" t="s">
        <v>7</v>
      </c>
      <c r="G5" s="38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.75" thickBot="1" x14ac:dyDescent="0.3">
      <c r="B6" s="3"/>
      <c r="C6" s="8" t="s">
        <v>1</v>
      </c>
      <c r="D6" s="34" t="s">
        <v>4</v>
      </c>
      <c r="E6" s="36"/>
      <c r="F6" s="34" t="s">
        <v>4</v>
      </c>
      <c r="G6" s="36"/>
      <c r="H6" s="34" t="s">
        <v>8</v>
      </c>
      <c r="I6" s="35"/>
      <c r="J6" s="36"/>
      <c r="K6" s="34" t="s">
        <v>12</v>
      </c>
      <c r="L6" s="35"/>
      <c r="M6" s="36"/>
      <c r="N6" s="34" t="s">
        <v>13</v>
      </c>
      <c r="O6" s="35"/>
      <c r="P6" s="36"/>
    </row>
    <row r="7" spans="1:17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25">
      <c r="B8" t="s">
        <v>14</v>
      </c>
      <c r="C8" t="s">
        <v>26</v>
      </c>
      <c r="D8" s="24">
        <v>134</v>
      </c>
      <c r="E8" s="24">
        <v>127</v>
      </c>
      <c r="F8" s="24"/>
      <c r="G8" s="24"/>
      <c r="H8" s="18">
        <v>867237.06321552047</v>
      </c>
      <c r="I8" s="18">
        <v>115025.93678447953</v>
      </c>
      <c r="J8" s="18">
        <f>+H8+I8</f>
        <v>982263</v>
      </c>
      <c r="K8" s="25">
        <v>767702.13</v>
      </c>
      <c r="L8" s="25">
        <v>102555.88</v>
      </c>
      <c r="M8" s="25">
        <f>+K8+L8</f>
        <v>870258.01</v>
      </c>
      <c r="N8" s="26">
        <f>+(K8-H8)/H8</f>
        <v>-0.11477246238354627</v>
      </c>
      <c r="O8" s="26">
        <f t="shared" ref="O8:P8" si="0">+(L8-I8)/I8</f>
        <v>-0.10841082570659069</v>
      </c>
      <c r="P8" s="26">
        <f t="shared" si="0"/>
        <v>-0.11402749569107254</v>
      </c>
      <c r="Q8" t="s">
        <v>36</v>
      </c>
    </row>
    <row r="9" spans="1:17" x14ac:dyDescent="0.25">
      <c r="B9" t="s">
        <v>15</v>
      </c>
      <c r="C9" t="s">
        <v>26</v>
      </c>
      <c r="D9" s="24">
        <v>134</v>
      </c>
      <c r="E9" s="24">
        <v>127</v>
      </c>
      <c r="F9" s="24"/>
      <c r="G9" s="24"/>
      <c r="H9" s="18">
        <v>871694.13956460787</v>
      </c>
      <c r="I9" s="18">
        <v>115107.86043539213</v>
      </c>
      <c r="J9" s="18">
        <f t="shared" ref="J9:J19" si="1">+H9+I9</f>
        <v>986802</v>
      </c>
      <c r="K9" s="25">
        <v>766748.09</v>
      </c>
      <c r="L9" s="25">
        <v>102852.8</v>
      </c>
      <c r="M9" s="25">
        <f t="shared" ref="M9:M19" si="2">+K9+L9</f>
        <v>869600.89</v>
      </c>
      <c r="N9" s="26">
        <f t="shared" ref="N9:P21" si="3">+(K9-H9)/H9</f>
        <v>-0.12039320307582446</v>
      </c>
      <c r="O9" s="26">
        <f t="shared" ref="O9:O19" si="4">+(L9-I9)/I9</f>
        <v>-0.10646588676948485</v>
      </c>
      <c r="P9" s="26">
        <f t="shared" ref="P9:P19" si="5">+(M9-J9)/J9</f>
        <v>-0.11876861822331125</v>
      </c>
      <c r="Q9" t="s">
        <v>36</v>
      </c>
    </row>
    <row r="10" spans="1:17" x14ac:dyDescent="0.25">
      <c r="B10" t="s">
        <v>16</v>
      </c>
      <c r="C10" t="s">
        <v>26</v>
      </c>
      <c r="D10" s="24">
        <v>134</v>
      </c>
      <c r="E10" s="24">
        <v>126</v>
      </c>
      <c r="F10" s="24"/>
      <c r="G10" s="24"/>
      <c r="H10" s="18">
        <v>879490.519564608</v>
      </c>
      <c r="I10" s="18">
        <v>103405.480435392</v>
      </c>
      <c r="J10" s="18">
        <f t="shared" si="1"/>
        <v>982896</v>
      </c>
      <c r="K10" s="25">
        <v>765095.43</v>
      </c>
      <c r="L10" s="25">
        <v>103655.21</v>
      </c>
      <c r="M10" s="25">
        <f t="shared" si="2"/>
        <v>868750.64</v>
      </c>
      <c r="N10" s="26">
        <f t="shared" si="3"/>
        <v>-0.1300697244823506</v>
      </c>
      <c r="O10" s="26">
        <f t="shared" si="4"/>
        <v>2.4150515384340158E-3</v>
      </c>
      <c r="P10" s="26">
        <f t="shared" si="5"/>
        <v>-0.11613167618954598</v>
      </c>
      <c r="Q10" t="s">
        <v>36</v>
      </c>
    </row>
    <row r="11" spans="1:17" x14ac:dyDescent="0.25">
      <c r="B11" t="s">
        <v>17</v>
      </c>
      <c r="C11" t="s">
        <v>26</v>
      </c>
      <c r="D11" s="24">
        <v>134</v>
      </c>
      <c r="E11" s="24">
        <v>127</v>
      </c>
      <c r="F11" s="24"/>
      <c r="G11" s="24"/>
      <c r="H11" s="18">
        <v>879490.519564608</v>
      </c>
      <c r="I11" s="18">
        <v>101205.480435392</v>
      </c>
      <c r="J11" s="18">
        <f t="shared" si="1"/>
        <v>980696</v>
      </c>
      <c r="K11" s="25">
        <v>1157597.8899999999</v>
      </c>
      <c r="L11" s="25">
        <v>139259.57</v>
      </c>
      <c r="M11" s="25">
        <f t="shared" si="2"/>
        <v>1296857.46</v>
      </c>
      <c r="N11" s="26">
        <f t="shared" si="3"/>
        <v>0.31621417655879797</v>
      </c>
      <c r="O11" s="26">
        <f t="shared" si="4"/>
        <v>0.37600819047443917</v>
      </c>
      <c r="P11" s="26">
        <f t="shared" si="5"/>
        <v>0.32238477571031182</v>
      </c>
      <c r="Q11" s="39" t="s">
        <v>39</v>
      </c>
    </row>
    <row r="12" spans="1:17" x14ac:dyDescent="0.25">
      <c r="B12" t="s">
        <v>18</v>
      </c>
      <c r="C12" t="s">
        <v>26</v>
      </c>
      <c r="D12" s="24">
        <v>134</v>
      </c>
      <c r="E12" s="24">
        <v>127</v>
      </c>
      <c r="F12" s="24"/>
      <c r="G12" s="24"/>
      <c r="H12" s="18">
        <v>879490.519564608</v>
      </c>
      <c r="I12" s="18">
        <v>88712.480435392004</v>
      </c>
      <c r="J12" s="18">
        <f t="shared" si="1"/>
        <v>968203</v>
      </c>
      <c r="K12" s="25">
        <v>789383.35</v>
      </c>
      <c r="L12" s="25">
        <v>97247.11</v>
      </c>
      <c r="M12" s="25">
        <f t="shared" si="2"/>
        <v>886630.46</v>
      </c>
      <c r="N12" s="26">
        <f t="shared" si="3"/>
        <v>-0.1024538270284205</v>
      </c>
      <c r="O12" s="26">
        <f t="shared" si="4"/>
        <v>9.6205511588909318E-2</v>
      </c>
      <c r="P12" s="26">
        <f t="shared" si="5"/>
        <v>-8.4251484451091388E-2</v>
      </c>
      <c r="Q12" t="s">
        <v>36</v>
      </c>
    </row>
    <row r="13" spans="1:17" x14ac:dyDescent="0.25">
      <c r="B13" t="s">
        <v>19</v>
      </c>
      <c r="C13" t="s">
        <v>26</v>
      </c>
      <c r="D13" s="24">
        <v>134</v>
      </c>
      <c r="E13" s="24">
        <v>125</v>
      </c>
      <c r="F13" s="24"/>
      <c r="G13" s="24"/>
      <c r="H13" s="18">
        <v>879490.519564608</v>
      </c>
      <c r="I13" s="18">
        <v>78563.480435392004</v>
      </c>
      <c r="J13" s="18">
        <f t="shared" si="1"/>
        <v>958054</v>
      </c>
      <c r="K13" s="25">
        <v>760908.92</v>
      </c>
      <c r="L13" s="25">
        <v>114938.33</v>
      </c>
      <c r="M13" s="25">
        <f t="shared" si="2"/>
        <v>875847.25</v>
      </c>
      <c r="N13" s="26">
        <f t="shared" si="3"/>
        <v>-0.1348298781245667</v>
      </c>
      <c r="O13" s="26">
        <f t="shared" si="4"/>
        <v>0.46299946696635297</v>
      </c>
      <c r="P13" s="26">
        <f t="shared" si="5"/>
        <v>-8.5805967095800448E-2</v>
      </c>
      <c r="Q13" t="s">
        <v>36</v>
      </c>
    </row>
    <row r="14" spans="1:17" x14ac:dyDescent="0.25">
      <c r="B14" t="s">
        <v>20</v>
      </c>
      <c r="C14" t="s">
        <v>26</v>
      </c>
      <c r="D14" s="24">
        <v>134</v>
      </c>
      <c r="E14" s="24">
        <v>124</v>
      </c>
      <c r="F14" s="24"/>
      <c r="G14" s="24"/>
      <c r="H14" s="18">
        <v>905875.23515154619</v>
      </c>
      <c r="I14" s="18">
        <v>67277.764848453808</v>
      </c>
      <c r="J14" s="18">
        <f t="shared" si="1"/>
        <v>973153</v>
      </c>
      <c r="K14" s="25">
        <v>762213.83</v>
      </c>
      <c r="L14" s="25">
        <v>146563.53</v>
      </c>
      <c r="M14" s="25">
        <f t="shared" si="2"/>
        <v>908777.36</v>
      </c>
      <c r="N14" s="26">
        <f t="shared" si="3"/>
        <v>-0.15858851150458125</v>
      </c>
      <c r="O14" s="26">
        <f t="shared" si="4"/>
        <v>1.1784839364111002</v>
      </c>
      <c r="P14" s="26">
        <f t="shared" si="5"/>
        <v>-6.6151612336395216E-2</v>
      </c>
      <c r="Q14" t="s">
        <v>36</v>
      </c>
    </row>
    <row r="15" spans="1:17" x14ac:dyDescent="0.25">
      <c r="B15" t="s">
        <v>21</v>
      </c>
      <c r="C15" t="s">
        <v>26</v>
      </c>
      <c r="D15" s="24">
        <v>134</v>
      </c>
      <c r="E15" s="24">
        <v>124</v>
      </c>
      <c r="F15" s="24"/>
      <c r="G15" s="24"/>
      <c r="H15" s="18">
        <v>905875.23325154616</v>
      </c>
      <c r="I15" s="18">
        <v>60677.76674845384</v>
      </c>
      <c r="J15" s="18">
        <f t="shared" si="1"/>
        <v>966553</v>
      </c>
      <c r="K15" s="25">
        <v>782254.9</v>
      </c>
      <c r="L15" s="25">
        <v>125264.59</v>
      </c>
      <c r="M15" s="25">
        <f t="shared" si="2"/>
        <v>907519.49</v>
      </c>
      <c r="N15" s="26">
        <f t="shared" si="3"/>
        <v>-0.1364650767720226</v>
      </c>
      <c r="O15" s="26">
        <f t="shared" si="4"/>
        <v>1.0644232098932995</v>
      </c>
      <c r="P15" s="26">
        <f t="shared" si="5"/>
        <v>-6.10763300098391E-2</v>
      </c>
      <c r="Q15" t="s">
        <v>36</v>
      </c>
    </row>
    <row r="16" spans="1:17" x14ac:dyDescent="0.25">
      <c r="B16" t="s">
        <v>22</v>
      </c>
      <c r="C16" t="s">
        <v>26</v>
      </c>
      <c r="D16" s="24">
        <v>134</v>
      </c>
      <c r="E16" s="24">
        <v>123</v>
      </c>
      <c r="F16" s="24"/>
      <c r="G16" s="24"/>
      <c r="H16" s="18">
        <v>905875.23325154616</v>
      </c>
      <c r="I16" s="18">
        <v>65547.76674845384</v>
      </c>
      <c r="J16" s="18">
        <f t="shared" si="1"/>
        <v>971423</v>
      </c>
      <c r="K16" s="25">
        <v>1170835.53</v>
      </c>
      <c r="L16" s="25">
        <v>121404.39</v>
      </c>
      <c r="M16" s="25">
        <f t="shared" si="2"/>
        <v>1292239.92</v>
      </c>
      <c r="N16" s="26">
        <f t="shared" si="3"/>
        <v>0.29249093807036325</v>
      </c>
      <c r="O16" s="26">
        <f t="shared" si="4"/>
        <v>0.85215143127456316</v>
      </c>
      <c r="P16" s="26">
        <f t="shared" si="5"/>
        <v>0.33025460587200417</v>
      </c>
      <c r="Q16" s="39" t="s">
        <v>39</v>
      </c>
    </row>
    <row r="17" spans="2:17" x14ac:dyDescent="0.25">
      <c r="B17" t="s">
        <v>23</v>
      </c>
      <c r="C17" t="s">
        <v>26</v>
      </c>
      <c r="D17" s="24">
        <v>134</v>
      </c>
      <c r="E17" s="24">
        <v>124</v>
      </c>
      <c r="F17" s="24"/>
      <c r="G17" s="24"/>
      <c r="H17" s="18">
        <v>905875.23325154616</v>
      </c>
      <c r="I17" s="18">
        <v>60872.76674845384</v>
      </c>
      <c r="J17" s="18">
        <f t="shared" si="1"/>
        <v>966748</v>
      </c>
      <c r="K17" s="25">
        <v>768393.71</v>
      </c>
      <c r="L17" s="25">
        <v>92527.79</v>
      </c>
      <c r="M17" s="25">
        <f t="shared" si="2"/>
        <v>860921.5</v>
      </c>
      <c r="N17" s="26">
        <f t="shared" si="3"/>
        <v>-0.15176651066843982</v>
      </c>
      <c r="O17" s="26">
        <f t="shared" si="4"/>
        <v>0.52001945931511628</v>
      </c>
      <c r="P17" s="26">
        <f t="shared" si="5"/>
        <v>-0.10946647937208041</v>
      </c>
      <c r="Q17" t="s">
        <v>36</v>
      </c>
    </row>
    <row r="18" spans="2:17" x14ac:dyDescent="0.25">
      <c r="B18" t="s">
        <v>24</v>
      </c>
      <c r="C18" t="s">
        <v>26</v>
      </c>
      <c r="D18" s="24">
        <v>134</v>
      </c>
      <c r="E18" s="24">
        <v>126</v>
      </c>
      <c r="F18" s="24"/>
      <c r="G18" s="24"/>
      <c r="H18" s="18">
        <v>905875.23325154616</v>
      </c>
      <c r="I18" s="18">
        <v>61972.76674845384</v>
      </c>
      <c r="J18" s="18">
        <f t="shared" si="1"/>
        <v>967848</v>
      </c>
      <c r="K18" s="25">
        <v>779456.61</v>
      </c>
      <c r="L18" s="25">
        <v>83954.84</v>
      </c>
      <c r="M18" s="25">
        <f t="shared" si="2"/>
        <v>863411.45</v>
      </c>
      <c r="N18" s="26">
        <f t="shared" si="3"/>
        <v>-0.13955412247863264</v>
      </c>
      <c r="O18" s="26">
        <f t="shared" si="4"/>
        <v>0.35470537148633258</v>
      </c>
      <c r="P18" s="26">
        <f t="shared" si="5"/>
        <v>-0.10790594184210749</v>
      </c>
      <c r="Q18" t="s">
        <v>36</v>
      </c>
    </row>
    <row r="19" spans="2:17" x14ac:dyDescent="0.25">
      <c r="B19" t="s">
        <v>25</v>
      </c>
      <c r="C19" t="s">
        <v>26</v>
      </c>
      <c r="D19" s="24">
        <v>134</v>
      </c>
      <c r="E19" s="24">
        <v>129</v>
      </c>
      <c r="F19" s="24"/>
      <c r="G19" s="24"/>
      <c r="H19" s="18">
        <v>905875.23325154616</v>
      </c>
      <c r="I19" s="18">
        <v>77647.76674845384</v>
      </c>
      <c r="J19" s="18">
        <f t="shared" si="1"/>
        <v>983523</v>
      </c>
      <c r="K19" s="25">
        <v>823878.23</v>
      </c>
      <c r="L19" s="25">
        <v>88935.02</v>
      </c>
      <c r="M19" s="25">
        <f t="shared" si="2"/>
        <v>912813.25</v>
      </c>
      <c r="N19" s="26">
        <f t="shared" si="3"/>
        <v>-9.0516883828721487E-2</v>
      </c>
      <c r="O19" s="26">
        <f t="shared" si="4"/>
        <v>0.145364815038559</v>
      </c>
      <c r="P19" s="26">
        <f t="shared" si="5"/>
        <v>-7.1894353258642657E-2</v>
      </c>
      <c r="Q19" t="s">
        <v>36</v>
      </c>
    </row>
    <row r="20" spans="2:17" x14ac:dyDescent="0.25">
      <c r="D20" s="24"/>
      <c r="E20" s="24"/>
      <c r="F20" s="24"/>
      <c r="G20" s="24"/>
      <c r="K20" s="39"/>
    </row>
    <row r="21" spans="2:17" x14ac:dyDescent="0.25">
      <c r="B21" t="s">
        <v>11</v>
      </c>
      <c r="D21" s="24"/>
      <c r="E21" s="24"/>
      <c r="F21" s="24"/>
      <c r="G21" s="24"/>
      <c r="H21" s="6">
        <f t="shared" ref="H21:M21" si="6">SUM(H8:H19)</f>
        <v>10692144.682447838</v>
      </c>
      <c r="I21" s="6">
        <f t="shared" si="6"/>
        <v>996017.31755216268</v>
      </c>
      <c r="J21" s="6">
        <f t="shared" si="6"/>
        <v>11688162</v>
      </c>
      <c r="K21" s="25">
        <f t="shared" si="6"/>
        <v>10094468.620000001</v>
      </c>
      <c r="L21" s="6">
        <f t="shared" si="6"/>
        <v>1319159.06</v>
      </c>
      <c r="M21" s="6">
        <f t="shared" si="6"/>
        <v>11413627.68</v>
      </c>
      <c r="N21" s="26">
        <f t="shared" si="3"/>
        <v>-5.5898613439918948E-2</v>
      </c>
      <c r="O21" s="26">
        <f t="shared" si="3"/>
        <v>0.32443385948549436</v>
      </c>
      <c r="P21" s="26">
        <f t="shared" si="3"/>
        <v>-2.3488237072689471E-2</v>
      </c>
    </row>
    <row r="22" spans="2:17" x14ac:dyDescent="0.25">
      <c r="D22" s="24"/>
      <c r="E22" s="24"/>
      <c r="F22" s="24"/>
      <c r="G22" s="24"/>
      <c r="H22" s="6"/>
      <c r="I22" s="6"/>
      <c r="J22" s="6"/>
      <c r="K22" s="6"/>
      <c r="L22" s="6"/>
      <c r="M22" s="6"/>
      <c r="N22" s="20"/>
      <c r="O22" s="20"/>
      <c r="P22" s="20"/>
    </row>
    <row r="23" spans="2:17" x14ac:dyDescent="0.25">
      <c r="D23" s="24"/>
      <c r="E23" s="24"/>
      <c r="F23" s="24"/>
      <c r="G23" s="24"/>
      <c r="H23" s="6"/>
      <c r="I23" s="6"/>
      <c r="J23" s="6"/>
      <c r="K23" s="6"/>
      <c r="L23" s="6"/>
      <c r="M23" s="6"/>
      <c r="N23" s="20"/>
      <c r="O23" s="20"/>
      <c r="P23" s="20"/>
    </row>
    <row r="24" spans="2:17" x14ac:dyDescent="0.25">
      <c r="D24" s="24"/>
      <c r="E24" s="24"/>
      <c r="F24" s="24"/>
      <c r="G24" s="24"/>
      <c r="H24" s="6"/>
      <c r="I24" s="6"/>
      <c r="J24" s="6"/>
      <c r="K24" s="6"/>
      <c r="L24" s="6"/>
      <c r="M24" s="6"/>
      <c r="N24" s="20"/>
      <c r="O24" s="20"/>
      <c r="P24" s="20"/>
    </row>
    <row r="25" spans="2:17" x14ac:dyDescent="0.25">
      <c r="D25" s="24"/>
      <c r="E25" s="24"/>
      <c r="F25" s="24"/>
      <c r="G25" s="24"/>
      <c r="H25" s="6"/>
      <c r="I25" s="6"/>
      <c r="J25" s="6"/>
      <c r="K25" s="6"/>
      <c r="L25" s="6"/>
      <c r="M25" s="6"/>
      <c r="N25" s="20"/>
      <c r="O25" s="20"/>
      <c r="P25" s="20"/>
    </row>
    <row r="26" spans="2:17" x14ac:dyDescent="0.25">
      <c r="D26" s="24"/>
      <c r="E26" s="24"/>
      <c r="F26" s="24"/>
      <c r="G26" s="24"/>
      <c r="N26" s="20"/>
      <c r="O26" s="20"/>
      <c r="P26" s="20"/>
    </row>
    <row r="27" spans="2:17" x14ac:dyDescent="0.25">
      <c r="D27" s="24"/>
      <c r="E27" s="24"/>
      <c r="F27" s="24"/>
      <c r="G27" s="24"/>
      <c r="L27" s="18"/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0A9F-9192-44DD-B0C8-A082F5D60703}">
  <dimension ref="A1:Q35"/>
  <sheetViews>
    <sheetView tabSelected="1" workbookViewId="0">
      <pane ySplit="7" topLeftCell="A8" activePane="bottomLeft" state="frozen"/>
      <selection pane="bottomLeft" activeCell="Q17" sqref="Q17"/>
    </sheetView>
  </sheetViews>
  <sheetFormatPr defaultRowHeight="15" x14ac:dyDescent="0.25"/>
  <cols>
    <col min="2" max="2" width="10.85546875" bestFit="1" customWidth="1"/>
    <col min="3" max="3" width="16.7109375" customWidth="1"/>
    <col min="4" max="4" width="14.7109375" customWidth="1"/>
    <col min="5" max="5" width="14.7109375" style="24" customWidth="1"/>
    <col min="6" max="6" width="12.42578125" customWidth="1"/>
    <col min="7" max="7" width="12.7109375" style="24" customWidth="1"/>
    <col min="8" max="11" width="12.5703125" bestFit="1" customWidth="1"/>
    <col min="12" max="12" width="11.5703125" bestFit="1" customWidth="1"/>
    <col min="13" max="13" width="12.5703125" bestFit="1" customWidth="1"/>
  </cols>
  <sheetData>
    <row r="1" spans="1:17" x14ac:dyDescent="0.25">
      <c r="A1" s="4" t="s">
        <v>27</v>
      </c>
    </row>
    <row r="2" spans="1:17" x14ac:dyDescent="0.25">
      <c r="A2" s="4" t="s">
        <v>28</v>
      </c>
    </row>
    <row r="3" spans="1:17" x14ac:dyDescent="0.25">
      <c r="A3" s="4" t="s">
        <v>33</v>
      </c>
      <c r="D3" s="23"/>
    </row>
    <row r="4" spans="1:17" ht="15.75" thickBot="1" x14ac:dyDescent="0.3">
      <c r="A4" s="4"/>
    </row>
    <row r="5" spans="1:17" s="5" customFormat="1" x14ac:dyDescent="0.25">
      <c r="B5" s="1"/>
      <c r="C5" s="7"/>
      <c r="D5" s="37" t="s">
        <v>3</v>
      </c>
      <c r="E5" s="38"/>
      <c r="F5" s="37" t="s">
        <v>7</v>
      </c>
      <c r="G5" s="38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.75" thickBot="1" x14ac:dyDescent="0.3">
      <c r="B6" s="3"/>
      <c r="C6" s="8" t="s">
        <v>1</v>
      </c>
      <c r="D6" s="34" t="s">
        <v>4</v>
      </c>
      <c r="E6" s="36"/>
      <c r="F6" s="34" t="s">
        <v>4</v>
      </c>
      <c r="G6" s="36"/>
      <c r="H6" s="34" t="s">
        <v>8</v>
      </c>
      <c r="I6" s="35"/>
      <c r="J6" s="36"/>
      <c r="K6" s="34" t="s">
        <v>12</v>
      </c>
      <c r="L6" s="35"/>
      <c r="M6" s="36"/>
      <c r="N6" s="34" t="s">
        <v>13</v>
      </c>
      <c r="O6" s="35"/>
      <c r="P6" s="36"/>
    </row>
    <row r="7" spans="1:17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25">
      <c r="B8" t="s">
        <v>14</v>
      </c>
      <c r="C8" t="s">
        <v>29</v>
      </c>
      <c r="D8">
        <v>18</v>
      </c>
      <c r="E8" s="40">
        <v>19</v>
      </c>
      <c r="H8" s="22">
        <v>204845.82499999998</v>
      </c>
      <c r="J8" s="6">
        <f>+H8+I8</f>
        <v>204845.82499999998</v>
      </c>
      <c r="K8" s="25">
        <v>202469.3</v>
      </c>
      <c r="L8" s="25">
        <v>0</v>
      </c>
      <c r="M8" s="6">
        <f>+K8+L8</f>
        <v>202469.3</v>
      </c>
      <c r="N8" s="20">
        <f t="shared" ref="N8:N19" si="0">+(K8-H8)/H8</f>
        <v>-1.1601530077559522E-2</v>
      </c>
      <c r="O8" s="20" t="e">
        <f t="shared" ref="O8:O19" si="1">+(L8-I8)/I8</f>
        <v>#DIV/0!</v>
      </c>
      <c r="P8" s="20">
        <f t="shared" ref="P8:P19" si="2">+(M8-J8)/J8</f>
        <v>-1.1601530077559522E-2</v>
      </c>
      <c r="Q8" s="20"/>
    </row>
    <row r="9" spans="1:17" x14ac:dyDescent="0.25">
      <c r="B9" t="s">
        <v>15</v>
      </c>
      <c r="C9" t="s">
        <v>29</v>
      </c>
      <c r="D9">
        <v>18</v>
      </c>
      <c r="E9" s="40">
        <v>19</v>
      </c>
      <c r="H9" s="22">
        <v>204845.82499999998</v>
      </c>
      <c r="J9" s="6">
        <f t="shared" ref="J9:J19" si="3">+H9+I9</f>
        <v>204845.82499999998</v>
      </c>
      <c r="K9" s="25">
        <v>269649.88</v>
      </c>
      <c r="L9" s="25">
        <v>0</v>
      </c>
      <c r="M9" s="6">
        <f t="shared" ref="M9:M19" si="4">+K9+L9</f>
        <v>269649.88</v>
      </c>
      <c r="N9" s="20">
        <f t="shared" si="0"/>
        <v>0.31635526376971573</v>
      </c>
      <c r="O9" s="20" t="e">
        <f t="shared" si="1"/>
        <v>#DIV/0!</v>
      </c>
      <c r="P9" s="20">
        <f t="shared" si="2"/>
        <v>0.31635526376971573</v>
      </c>
      <c r="Q9" s="20" t="s">
        <v>41</v>
      </c>
    </row>
    <row r="10" spans="1:17" x14ac:dyDescent="0.25">
      <c r="B10" t="s">
        <v>16</v>
      </c>
      <c r="C10" t="s">
        <v>29</v>
      </c>
      <c r="D10">
        <v>18</v>
      </c>
      <c r="E10" s="40">
        <v>18</v>
      </c>
      <c r="H10" s="22">
        <v>204845.82499999998</v>
      </c>
      <c r="J10" s="6">
        <f t="shared" si="3"/>
        <v>204845.82499999998</v>
      </c>
      <c r="K10" s="25">
        <v>290614.34999999998</v>
      </c>
      <c r="L10" s="25">
        <v>0</v>
      </c>
      <c r="M10" s="6">
        <f t="shared" si="4"/>
        <v>290614.34999999998</v>
      </c>
      <c r="N10" s="20">
        <f t="shared" si="0"/>
        <v>0.418697940268004</v>
      </c>
      <c r="O10" s="20" t="e">
        <f t="shared" si="1"/>
        <v>#DIV/0!</v>
      </c>
      <c r="P10" s="20">
        <f t="shared" si="2"/>
        <v>0.418697940268004</v>
      </c>
      <c r="Q10" s="20" t="s">
        <v>40</v>
      </c>
    </row>
    <row r="11" spans="1:17" x14ac:dyDescent="0.25">
      <c r="B11" t="s">
        <v>17</v>
      </c>
      <c r="C11" t="s">
        <v>29</v>
      </c>
      <c r="D11">
        <v>18</v>
      </c>
      <c r="E11" s="40">
        <v>18</v>
      </c>
      <c r="H11" s="22">
        <v>204845.82499999998</v>
      </c>
      <c r="J11" s="6">
        <f t="shared" si="3"/>
        <v>204845.82499999998</v>
      </c>
      <c r="K11" s="25">
        <v>193742.9</v>
      </c>
      <c r="L11" s="25">
        <v>0</v>
      </c>
      <c r="M11" s="6">
        <f t="shared" si="4"/>
        <v>193742.9</v>
      </c>
      <c r="N11" s="20">
        <f t="shared" si="0"/>
        <v>-5.4201373154663952E-2</v>
      </c>
      <c r="O11" s="20" t="e">
        <f t="shared" si="1"/>
        <v>#DIV/0!</v>
      </c>
      <c r="P11" s="20">
        <f t="shared" si="2"/>
        <v>-5.4201373154663952E-2</v>
      </c>
      <c r="Q11" s="20"/>
    </row>
    <row r="12" spans="1:17" x14ac:dyDescent="0.25">
      <c r="B12" t="s">
        <v>18</v>
      </c>
      <c r="C12" t="s">
        <v>29</v>
      </c>
      <c r="D12">
        <v>18</v>
      </c>
      <c r="E12" s="40">
        <v>18</v>
      </c>
      <c r="H12" s="22">
        <v>204845.82499999998</v>
      </c>
      <c r="J12" s="6">
        <f t="shared" si="3"/>
        <v>204845.82499999998</v>
      </c>
      <c r="K12" s="25">
        <v>216489.52</v>
      </c>
      <c r="L12" s="25">
        <v>0</v>
      </c>
      <c r="M12" s="6">
        <f t="shared" si="4"/>
        <v>216489.52</v>
      </c>
      <c r="N12" s="20">
        <f t="shared" si="0"/>
        <v>5.6841260982497484E-2</v>
      </c>
      <c r="O12" s="20" t="e">
        <f t="shared" si="1"/>
        <v>#DIV/0!</v>
      </c>
      <c r="P12" s="20">
        <f t="shared" si="2"/>
        <v>5.6841260982497484E-2</v>
      </c>
      <c r="Q12" s="20"/>
    </row>
    <row r="13" spans="1:17" x14ac:dyDescent="0.25">
      <c r="B13" t="s">
        <v>19</v>
      </c>
      <c r="C13" t="s">
        <v>29</v>
      </c>
      <c r="D13">
        <v>18</v>
      </c>
      <c r="E13" s="40">
        <v>19</v>
      </c>
      <c r="H13" s="22">
        <v>204845.82499999998</v>
      </c>
      <c r="J13" s="6">
        <f t="shared" si="3"/>
        <v>204845.82499999998</v>
      </c>
      <c r="K13" s="25">
        <v>229115</v>
      </c>
      <c r="L13" s="25">
        <v>0</v>
      </c>
      <c r="M13" s="6">
        <f t="shared" si="4"/>
        <v>229115</v>
      </c>
      <c r="N13" s="20">
        <f t="shared" si="0"/>
        <v>0.11847532162298167</v>
      </c>
      <c r="O13" s="20" t="e">
        <f t="shared" si="1"/>
        <v>#DIV/0!</v>
      </c>
      <c r="P13" s="20">
        <f t="shared" si="2"/>
        <v>0.11847532162298167</v>
      </c>
      <c r="Q13" t="s">
        <v>42</v>
      </c>
    </row>
    <row r="14" spans="1:17" x14ac:dyDescent="0.25">
      <c r="B14" t="s">
        <v>20</v>
      </c>
      <c r="C14" t="s">
        <v>29</v>
      </c>
      <c r="D14">
        <v>18</v>
      </c>
      <c r="E14" s="40">
        <v>18</v>
      </c>
      <c r="H14" s="22">
        <v>210991.27999999997</v>
      </c>
      <c r="J14" s="6">
        <f t="shared" si="3"/>
        <v>210991.27999999997</v>
      </c>
      <c r="K14" s="25">
        <v>190381.43</v>
      </c>
      <c r="L14" s="25">
        <v>0</v>
      </c>
      <c r="M14" s="6">
        <f t="shared" si="4"/>
        <v>190381.43</v>
      </c>
      <c r="N14" s="20">
        <f t="shared" si="0"/>
        <v>-9.7681051084196363E-2</v>
      </c>
      <c r="O14" s="20" t="e">
        <f t="shared" si="1"/>
        <v>#DIV/0!</v>
      </c>
      <c r="P14" s="20">
        <f t="shared" si="2"/>
        <v>-9.7681051084196363E-2</v>
      </c>
      <c r="Q14" s="20"/>
    </row>
    <row r="15" spans="1:17" x14ac:dyDescent="0.25">
      <c r="B15" t="s">
        <v>21</v>
      </c>
      <c r="C15" t="s">
        <v>29</v>
      </c>
      <c r="D15">
        <v>18</v>
      </c>
      <c r="E15" s="40">
        <v>17</v>
      </c>
      <c r="H15" s="22">
        <v>210991.27999999997</v>
      </c>
      <c r="J15" s="6">
        <f t="shared" si="3"/>
        <v>210991.27999999997</v>
      </c>
      <c r="K15" s="25">
        <v>194940.77</v>
      </c>
      <c r="L15" s="25">
        <v>0</v>
      </c>
      <c r="M15" s="6">
        <f t="shared" si="4"/>
        <v>194940.77</v>
      </c>
      <c r="N15" s="20">
        <f t="shared" si="0"/>
        <v>-7.6071911597483943E-2</v>
      </c>
      <c r="O15" s="20" t="e">
        <f t="shared" si="1"/>
        <v>#DIV/0!</v>
      </c>
      <c r="P15" s="20">
        <f t="shared" si="2"/>
        <v>-7.6071911597483943E-2</v>
      </c>
      <c r="Q15" t="s">
        <v>36</v>
      </c>
    </row>
    <row r="16" spans="1:17" x14ac:dyDescent="0.25">
      <c r="B16" t="s">
        <v>22</v>
      </c>
      <c r="C16" t="s">
        <v>29</v>
      </c>
      <c r="D16">
        <v>18</v>
      </c>
      <c r="E16" s="40">
        <v>19</v>
      </c>
      <c r="H16" s="22">
        <v>210991.27999999997</v>
      </c>
      <c r="J16" s="6">
        <f t="shared" si="3"/>
        <v>210991.27999999997</v>
      </c>
      <c r="K16" s="25">
        <v>336536.1</v>
      </c>
      <c r="L16" s="25">
        <v>0</v>
      </c>
      <c r="M16" s="6">
        <f t="shared" si="4"/>
        <v>336536.1</v>
      </c>
      <c r="N16" s="20">
        <f t="shared" si="0"/>
        <v>0.59502373747389004</v>
      </c>
      <c r="O16" s="20" t="e">
        <f t="shared" si="1"/>
        <v>#DIV/0!</v>
      </c>
      <c r="P16" s="20">
        <f t="shared" si="2"/>
        <v>0.59502373747389004</v>
      </c>
      <c r="Q16" s="39" t="s">
        <v>39</v>
      </c>
    </row>
    <row r="17" spans="1:17" x14ac:dyDescent="0.25">
      <c r="B17" t="s">
        <v>23</v>
      </c>
      <c r="C17" t="s">
        <v>29</v>
      </c>
      <c r="D17">
        <v>18</v>
      </c>
      <c r="E17" s="40">
        <v>18</v>
      </c>
      <c r="H17" s="22">
        <v>210991.27999999997</v>
      </c>
      <c r="J17" s="6">
        <f t="shared" si="3"/>
        <v>210991.27999999997</v>
      </c>
      <c r="K17" s="25">
        <v>249734.3</v>
      </c>
      <c r="L17" s="25">
        <v>0</v>
      </c>
      <c r="M17" s="6">
        <f t="shared" si="4"/>
        <v>249734.3</v>
      </c>
      <c r="N17" s="20">
        <f t="shared" si="0"/>
        <v>0.18362379715408156</v>
      </c>
      <c r="O17" s="20" t="e">
        <f t="shared" si="1"/>
        <v>#DIV/0!</v>
      </c>
      <c r="P17" s="20">
        <f t="shared" si="2"/>
        <v>0.18362379715408156</v>
      </c>
      <c r="Q17" t="s">
        <v>42</v>
      </c>
    </row>
    <row r="18" spans="1:17" x14ac:dyDescent="0.25">
      <c r="B18" t="s">
        <v>24</v>
      </c>
      <c r="C18" t="s">
        <v>29</v>
      </c>
      <c r="D18">
        <v>18</v>
      </c>
      <c r="E18" s="40">
        <v>17</v>
      </c>
      <c r="H18" s="22">
        <v>210991.27999999997</v>
      </c>
      <c r="J18" s="6">
        <f t="shared" si="3"/>
        <v>210991.27999999997</v>
      </c>
      <c r="K18" s="25">
        <v>204879.23</v>
      </c>
      <c r="L18" s="25">
        <v>0</v>
      </c>
      <c r="M18" s="6">
        <f t="shared" si="4"/>
        <v>204879.23</v>
      </c>
      <c r="N18" s="20">
        <f t="shared" si="0"/>
        <v>-2.8968258783016815E-2</v>
      </c>
      <c r="O18" s="20" t="e">
        <f t="shared" si="1"/>
        <v>#DIV/0!</v>
      </c>
      <c r="P18" s="20">
        <f t="shared" si="2"/>
        <v>-2.8968258783016815E-2</v>
      </c>
      <c r="Q18" s="20"/>
    </row>
    <row r="19" spans="1:17" x14ac:dyDescent="0.25">
      <c r="B19" t="s">
        <v>25</v>
      </c>
      <c r="C19" t="s">
        <v>29</v>
      </c>
      <c r="D19">
        <v>18</v>
      </c>
      <c r="E19" s="40">
        <v>17</v>
      </c>
      <c r="H19" s="22">
        <v>210991.27999999997</v>
      </c>
      <c r="J19" s="6">
        <f t="shared" si="3"/>
        <v>210991.27999999997</v>
      </c>
      <c r="K19" s="25">
        <v>180044.62</v>
      </c>
      <c r="L19" s="25">
        <v>0</v>
      </c>
      <c r="M19" s="6">
        <f t="shared" si="4"/>
        <v>180044.62</v>
      </c>
      <c r="N19" s="20">
        <f t="shared" si="0"/>
        <v>-0.14667269661570836</v>
      </c>
      <c r="O19" s="20" t="e">
        <f t="shared" si="1"/>
        <v>#DIV/0!</v>
      </c>
      <c r="P19" s="20">
        <f t="shared" si="2"/>
        <v>-0.14667269661570836</v>
      </c>
      <c r="Q19" t="s">
        <v>36</v>
      </c>
    </row>
    <row r="20" spans="1:17" x14ac:dyDescent="0.25">
      <c r="E20" s="40"/>
      <c r="K20" s="39"/>
      <c r="L20" s="39"/>
    </row>
    <row r="21" spans="1:17" x14ac:dyDescent="0.25">
      <c r="A21" s="4"/>
      <c r="B21" t="s">
        <v>14</v>
      </c>
      <c r="C21" t="s">
        <v>30</v>
      </c>
      <c r="D21">
        <v>119</v>
      </c>
      <c r="E21" s="40">
        <v>109</v>
      </c>
      <c r="H21" s="22">
        <v>698785.98333333433</v>
      </c>
      <c r="I21" s="6">
        <v>133632.24166666518</v>
      </c>
      <c r="J21" s="6">
        <f>+H21+I21</f>
        <v>832418.22499999951</v>
      </c>
      <c r="K21" s="25">
        <f>832627.87-K8</f>
        <v>630158.57000000007</v>
      </c>
      <c r="L21" s="25">
        <v>103196.53</v>
      </c>
      <c r="M21" s="6">
        <f>+K21+L21</f>
        <v>733355.10000000009</v>
      </c>
      <c r="N21" s="20">
        <f>+(K21-H21)/H21</f>
        <v>-9.8209487554357072E-2</v>
      </c>
      <c r="O21" s="20">
        <f t="shared" ref="O21:P21" si="5">+(L21-I21)/I21</f>
        <v>-0.22775724845344289</v>
      </c>
      <c r="P21" s="20">
        <f t="shared" si="5"/>
        <v>-0.11900643453595634</v>
      </c>
      <c r="Q21" t="s">
        <v>36</v>
      </c>
    </row>
    <row r="22" spans="1:17" x14ac:dyDescent="0.25">
      <c r="B22" t="s">
        <v>15</v>
      </c>
      <c r="C22" t="s">
        <v>30</v>
      </c>
      <c r="D22">
        <v>119</v>
      </c>
      <c r="E22" s="40">
        <v>109</v>
      </c>
      <c r="H22" s="22">
        <v>698785.98333333433</v>
      </c>
      <c r="I22" s="6">
        <v>133082.25166666531</v>
      </c>
      <c r="J22" s="6">
        <f t="shared" ref="J22:J32" si="6">+H22+I22</f>
        <v>831868.23499999964</v>
      </c>
      <c r="K22" s="25">
        <f>888845.22-K9</f>
        <v>619195.34</v>
      </c>
      <c r="L22" s="25">
        <v>89759.7</v>
      </c>
      <c r="M22" s="6">
        <f t="shared" ref="M22:M32" si="7">+K22+L22</f>
        <v>708955.03999999992</v>
      </c>
      <c r="N22" s="20">
        <f t="shared" ref="N22:N32" si="8">+(K22-H22)/H22</f>
        <v>-0.11389845422152392</v>
      </c>
      <c r="O22" s="20">
        <f t="shared" ref="O22:O32" si="9">+(L22-I22)/I22</f>
        <v>-0.32553215116300011</v>
      </c>
      <c r="P22" s="20">
        <f t="shared" ref="P22:P32" si="10">+(M22-J22)/J22</f>
        <v>-0.14775560579014027</v>
      </c>
      <c r="Q22" t="s">
        <v>36</v>
      </c>
    </row>
    <row r="23" spans="1:17" x14ac:dyDescent="0.25">
      <c r="B23" t="s">
        <v>16</v>
      </c>
      <c r="C23" t="s">
        <v>30</v>
      </c>
      <c r="D23">
        <v>119</v>
      </c>
      <c r="E23" s="40">
        <v>107</v>
      </c>
      <c r="H23" s="22">
        <v>703819.73333333444</v>
      </c>
      <c r="I23" s="6">
        <v>128598.45166666515</v>
      </c>
      <c r="J23" s="6">
        <f t="shared" si="6"/>
        <v>832418.18499999959</v>
      </c>
      <c r="K23" s="25">
        <f>1192699.98-K10</f>
        <v>902085.63</v>
      </c>
      <c r="L23" s="25">
        <v>397126.82</v>
      </c>
      <c r="M23" s="6">
        <f t="shared" si="7"/>
        <v>1299212.45</v>
      </c>
      <c r="N23" s="20">
        <f t="shared" si="8"/>
        <v>0.28169982635705004</v>
      </c>
      <c r="O23" s="20">
        <f t="shared" si="9"/>
        <v>2.0881150966683206</v>
      </c>
      <c r="P23" s="20">
        <f t="shared" si="10"/>
        <v>0.56076894211531503</v>
      </c>
      <c r="Q23" s="20" t="s">
        <v>40</v>
      </c>
    </row>
    <row r="24" spans="1:17" x14ac:dyDescent="0.25">
      <c r="B24" t="s">
        <v>17</v>
      </c>
      <c r="C24" t="s">
        <v>30</v>
      </c>
      <c r="D24">
        <v>119</v>
      </c>
      <c r="E24" s="40">
        <v>108</v>
      </c>
      <c r="H24" s="22">
        <v>703819.73333333444</v>
      </c>
      <c r="I24" s="6">
        <v>127498.50166666519</v>
      </c>
      <c r="J24" s="6">
        <f t="shared" si="6"/>
        <v>831318.23499999964</v>
      </c>
      <c r="K24" s="25">
        <f>796154.52-K11</f>
        <v>602411.62</v>
      </c>
      <c r="L24" s="25">
        <v>174513.91</v>
      </c>
      <c r="M24" s="6">
        <f t="shared" si="7"/>
        <v>776925.53</v>
      </c>
      <c r="N24" s="20">
        <f t="shared" si="8"/>
        <v>-0.14408250938498024</v>
      </c>
      <c r="O24" s="20">
        <f t="shared" si="9"/>
        <v>0.36875263409959824</v>
      </c>
      <c r="P24" s="20">
        <f t="shared" si="10"/>
        <v>-6.5429462160179405E-2</v>
      </c>
      <c r="Q24" t="s">
        <v>36</v>
      </c>
    </row>
    <row r="25" spans="1:17" x14ac:dyDescent="0.25">
      <c r="B25" t="s">
        <v>18</v>
      </c>
      <c r="C25" t="s">
        <v>30</v>
      </c>
      <c r="D25">
        <v>119</v>
      </c>
      <c r="E25" s="40">
        <v>109</v>
      </c>
      <c r="H25" s="22">
        <v>703819.73333333444</v>
      </c>
      <c r="I25" s="6">
        <v>109293.49166666518</v>
      </c>
      <c r="J25" s="6">
        <f t="shared" si="6"/>
        <v>813113.22499999963</v>
      </c>
      <c r="K25" s="25">
        <f>866904.07-K12</f>
        <v>650414.54999999993</v>
      </c>
      <c r="L25" s="25">
        <v>89905.74</v>
      </c>
      <c r="M25" s="6">
        <f t="shared" si="7"/>
        <v>740320.28999999992</v>
      </c>
      <c r="N25" s="20">
        <f t="shared" si="8"/>
        <v>-7.5879065056053782E-2</v>
      </c>
      <c r="O25" s="20">
        <f t="shared" si="9"/>
        <v>-0.17739163943811026</v>
      </c>
      <c r="P25" s="20">
        <f t="shared" si="10"/>
        <v>-8.9523737607391324E-2</v>
      </c>
      <c r="Q25" t="s">
        <v>36</v>
      </c>
    </row>
    <row r="26" spans="1:17" x14ac:dyDescent="0.25">
      <c r="B26" t="s">
        <v>19</v>
      </c>
      <c r="C26" t="s">
        <v>30</v>
      </c>
      <c r="D26">
        <v>119</v>
      </c>
      <c r="E26" s="40">
        <v>109</v>
      </c>
      <c r="H26" s="22">
        <v>703819.73333333444</v>
      </c>
      <c r="I26" s="6">
        <v>107368.46166666516</v>
      </c>
      <c r="J26" s="6">
        <f t="shared" si="6"/>
        <v>811188.1949999996</v>
      </c>
      <c r="K26" s="25">
        <f>863989.1-K13</f>
        <v>634874.1</v>
      </c>
      <c r="L26" s="25">
        <v>109148</v>
      </c>
      <c r="M26" s="6">
        <f t="shared" si="7"/>
        <v>744022.1</v>
      </c>
      <c r="N26" s="20">
        <f t="shared" si="8"/>
        <v>-9.7959221755269096E-2</v>
      </c>
      <c r="O26" s="20">
        <f t="shared" si="9"/>
        <v>1.6574125266501229E-2</v>
      </c>
      <c r="P26" s="20">
        <f t="shared" si="10"/>
        <v>-8.2799645524919974E-2</v>
      </c>
      <c r="Q26" t="s">
        <v>36</v>
      </c>
    </row>
    <row r="27" spans="1:17" x14ac:dyDescent="0.25">
      <c r="B27" t="s">
        <v>20</v>
      </c>
      <c r="C27" t="s">
        <v>30</v>
      </c>
      <c r="D27">
        <v>119</v>
      </c>
      <c r="E27" s="40">
        <v>108</v>
      </c>
      <c r="H27" s="22">
        <v>730696.18000000017</v>
      </c>
      <c r="I27" s="6">
        <v>96401.589999999385</v>
      </c>
      <c r="J27" s="6">
        <f t="shared" si="6"/>
        <v>827097.76999999955</v>
      </c>
      <c r="K27" s="25">
        <f>810737.15-K14</f>
        <v>620355.72</v>
      </c>
      <c r="L27" s="25">
        <v>200943.51</v>
      </c>
      <c r="M27" s="6">
        <f t="shared" si="7"/>
        <v>821299.23</v>
      </c>
      <c r="N27" s="20">
        <f t="shared" si="8"/>
        <v>-0.15100730374695565</v>
      </c>
      <c r="O27" s="20">
        <f t="shared" si="9"/>
        <v>1.0844418644962317</v>
      </c>
      <c r="P27" s="20">
        <f t="shared" si="10"/>
        <v>-7.0107068478731053E-3</v>
      </c>
      <c r="Q27" s="20"/>
    </row>
    <row r="28" spans="1:17" x14ac:dyDescent="0.25">
      <c r="B28" t="s">
        <v>21</v>
      </c>
      <c r="C28" t="s">
        <v>30</v>
      </c>
      <c r="D28">
        <v>119</v>
      </c>
      <c r="E28" s="40">
        <v>107</v>
      </c>
      <c r="H28" s="22">
        <v>735882.58000000007</v>
      </c>
      <c r="I28" s="6">
        <v>72515.199999999488</v>
      </c>
      <c r="J28" s="6">
        <f t="shared" si="6"/>
        <v>808397.77999999956</v>
      </c>
      <c r="K28" s="25">
        <f>814024.68-K15</f>
        <v>619083.91</v>
      </c>
      <c r="L28" s="25">
        <v>115260.96</v>
      </c>
      <c r="M28" s="6">
        <f t="shared" si="7"/>
        <v>734344.87</v>
      </c>
      <c r="N28" s="20">
        <f t="shared" si="8"/>
        <v>-0.15871916685403809</v>
      </c>
      <c r="O28" s="20">
        <f t="shared" si="9"/>
        <v>0.58947310357002147</v>
      </c>
      <c r="P28" s="20">
        <f t="shared" si="10"/>
        <v>-9.1604543990706666E-2</v>
      </c>
      <c r="Q28" t="s">
        <v>36</v>
      </c>
    </row>
    <row r="29" spans="1:17" x14ac:dyDescent="0.25">
      <c r="B29" t="s">
        <v>22</v>
      </c>
      <c r="C29" t="s">
        <v>30</v>
      </c>
      <c r="D29">
        <v>119</v>
      </c>
      <c r="E29" s="40">
        <v>104</v>
      </c>
      <c r="H29" s="22">
        <v>747723.74000000011</v>
      </c>
      <c r="I29" s="6">
        <v>69143.989999999409</v>
      </c>
      <c r="J29" s="6">
        <f t="shared" si="6"/>
        <v>816867.72999999952</v>
      </c>
      <c r="K29" s="25">
        <f>1278460.12-K16</f>
        <v>941924.02000000014</v>
      </c>
      <c r="L29" s="25">
        <v>179281.43</v>
      </c>
      <c r="M29" s="6">
        <f t="shared" si="7"/>
        <v>1121205.4500000002</v>
      </c>
      <c r="N29" s="20">
        <f t="shared" si="8"/>
        <v>0.25972196629733862</v>
      </c>
      <c r="O29" s="20">
        <f t="shared" si="9"/>
        <v>1.592870761435687</v>
      </c>
      <c r="P29" s="20">
        <f t="shared" si="10"/>
        <v>0.37256670672986536</v>
      </c>
      <c r="Q29" s="39" t="s">
        <v>39</v>
      </c>
    </row>
    <row r="30" spans="1:17" x14ac:dyDescent="0.25">
      <c r="B30" t="s">
        <v>23</v>
      </c>
      <c r="C30" t="s">
        <v>30</v>
      </c>
      <c r="D30">
        <v>119</v>
      </c>
      <c r="E30" s="40">
        <v>105</v>
      </c>
      <c r="H30" s="22">
        <v>747723.74000000011</v>
      </c>
      <c r="I30" s="6">
        <v>76019.039999999455</v>
      </c>
      <c r="J30" s="6">
        <f t="shared" si="6"/>
        <v>823742.77999999956</v>
      </c>
      <c r="K30" s="25">
        <f>851797.91-K17</f>
        <v>602063.6100000001</v>
      </c>
      <c r="L30" s="25">
        <v>80785.8</v>
      </c>
      <c r="M30" s="6">
        <f t="shared" si="7"/>
        <v>682849.41000000015</v>
      </c>
      <c r="N30" s="20">
        <f t="shared" si="8"/>
        <v>-0.1948047416549861</v>
      </c>
      <c r="O30" s="20">
        <f t="shared" si="9"/>
        <v>6.2704817108984567E-2</v>
      </c>
      <c r="P30" s="20">
        <f t="shared" si="10"/>
        <v>-0.17104049154761575</v>
      </c>
      <c r="Q30" t="s">
        <v>36</v>
      </c>
    </row>
    <row r="31" spans="1:17" x14ac:dyDescent="0.25">
      <c r="B31" t="s">
        <v>24</v>
      </c>
      <c r="C31" t="s">
        <v>30</v>
      </c>
      <c r="D31">
        <v>119</v>
      </c>
      <c r="E31" s="40">
        <v>111</v>
      </c>
      <c r="H31" s="22">
        <v>747723.74000000011</v>
      </c>
      <c r="I31" s="6">
        <v>76019.079999999492</v>
      </c>
      <c r="J31" s="6">
        <f t="shared" si="6"/>
        <v>823742.8199999996</v>
      </c>
      <c r="K31" s="25">
        <f>865730.51-K18</f>
        <v>660851.28</v>
      </c>
      <c r="L31" s="25">
        <v>95854.7</v>
      </c>
      <c r="M31" s="6">
        <f t="shared" si="7"/>
        <v>756705.98</v>
      </c>
      <c r="N31" s="20">
        <f t="shared" si="8"/>
        <v>-0.11618256229232479</v>
      </c>
      <c r="O31" s="20">
        <f t="shared" si="9"/>
        <v>0.26092949296414319</v>
      </c>
      <c r="P31" s="20">
        <f t="shared" si="10"/>
        <v>-8.1380788241650043E-2</v>
      </c>
      <c r="Q31" t="s">
        <v>36</v>
      </c>
    </row>
    <row r="32" spans="1:17" x14ac:dyDescent="0.25">
      <c r="B32" t="s">
        <v>25</v>
      </c>
      <c r="C32" t="s">
        <v>30</v>
      </c>
      <c r="D32">
        <v>119</v>
      </c>
      <c r="E32" s="40">
        <v>114</v>
      </c>
      <c r="H32" s="22">
        <v>747723.74000000011</v>
      </c>
      <c r="I32" s="6">
        <v>84322.970000000787</v>
      </c>
      <c r="J32" s="6">
        <f t="shared" si="6"/>
        <v>832046.71000000089</v>
      </c>
      <c r="K32" s="25">
        <f>820759.76-K19</f>
        <v>640715.14</v>
      </c>
      <c r="L32" s="25">
        <v>107611.61</v>
      </c>
      <c r="M32" s="6">
        <f t="shared" si="7"/>
        <v>748326.75</v>
      </c>
      <c r="N32" s="20">
        <f t="shared" si="8"/>
        <v>-0.14311248162322635</v>
      </c>
      <c r="O32" s="20">
        <f t="shared" si="9"/>
        <v>0.27618382037538519</v>
      </c>
      <c r="P32" s="20">
        <f t="shared" si="10"/>
        <v>-0.10061930297158533</v>
      </c>
      <c r="Q32" t="s">
        <v>36</v>
      </c>
    </row>
    <row r="33" spans="2:17" x14ac:dyDescent="0.25">
      <c r="K33" s="6"/>
      <c r="L33" s="6"/>
      <c r="M33" s="6"/>
      <c r="N33" s="20"/>
      <c r="O33" s="20"/>
      <c r="P33" s="20"/>
      <c r="Q33" s="20"/>
    </row>
    <row r="34" spans="2:17" x14ac:dyDescent="0.25">
      <c r="B34" t="s">
        <v>11</v>
      </c>
      <c r="H34" s="18">
        <f t="shared" ref="H34:M34" si="11">SUM(H8:H32)</f>
        <v>11165347.250000007</v>
      </c>
      <c r="I34" s="18">
        <f t="shared" si="11"/>
        <v>1213895.2699999893</v>
      </c>
      <c r="J34" s="18">
        <f t="shared" si="11"/>
        <v>12379242.519999998</v>
      </c>
      <c r="K34" s="18">
        <f t="shared" si="11"/>
        <v>10882730.889999999</v>
      </c>
      <c r="L34" s="18">
        <f t="shared" si="11"/>
        <v>1743388.71</v>
      </c>
      <c r="M34" s="18">
        <f t="shared" si="11"/>
        <v>12626119.600000001</v>
      </c>
      <c r="N34" s="20">
        <f t="shared" ref="N34" si="12">+(K34-H34)/H34</f>
        <v>-2.5311918534375054E-2</v>
      </c>
      <c r="O34" s="20">
        <f t="shared" ref="O34" si="13">+(L34-I34)/I34</f>
        <v>0.43619367591737573</v>
      </c>
      <c r="P34" s="20">
        <f t="shared" ref="P34" si="14">+(M34-J34)/J34</f>
        <v>1.9942826033268784E-2</v>
      </c>
    </row>
    <row r="35" spans="2:17" x14ac:dyDescent="0.25">
      <c r="H35" s="20"/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EEE1-9F99-4A0C-9CD3-3B9F5D708215}">
  <sheetPr>
    <pageSetUpPr fitToPage="1"/>
  </sheetPr>
  <dimension ref="A1:Q35"/>
  <sheetViews>
    <sheetView workbookViewId="0">
      <pane ySplit="7" topLeftCell="A8" activePane="bottomLeft" state="frozen"/>
      <selection pane="bottomLeft" activeCell="Q8" sqref="Q8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2.42578125" customWidth="1"/>
    <col min="7" max="7" width="12.7109375" customWidth="1"/>
    <col min="8" max="11" width="12.5703125" bestFit="1" customWidth="1"/>
    <col min="12" max="12" width="11.5703125" bestFit="1" customWidth="1"/>
    <col min="13" max="13" width="12.5703125" bestFit="1" customWidth="1"/>
    <col min="17" max="17" width="28.28515625" bestFit="1" customWidth="1"/>
  </cols>
  <sheetData>
    <row r="1" spans="1:17" x14ac:dyDescent="0.25">
      <c r="A1" s="4" t="s">
        <v>27</v>
      </c>
    </row>
    <row r="2" spans="1:17" x14ac:dyDescent="0.25">
      <c r="A2" s="4" t="s">
        <v>28</v>
      </c>
    </row>
    <row r="3" spans="1:17" x14ac:dyDescent="0.25">
      <c r="A3" s="4" t="s">
        <v>34</v>
      </c>
    </row>
    <row r="4" spans="1:17" ht="15.75" thickBot="1" x14ac:dyDescent="0.3">
      <c r="A4" s="4"/>
    </row>
    <row r="5" spans="1:17" s="5" customFormat="1" x14ac:dyDescent="0.25">
      <c r="B5" s="1"/>
      <c r="C5" s="7"/>
      <c r="D5" s="37" t="s">
        <v>3</v>
      </c>
      <c r="E5" s="38"/>
      <c r="F5" s="37" t="s">
        <v>7</v>
      </c>
      <c r="G5" s="38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.75" thickBot="1" x14ac:dyDescent="0.3">
      <c r="B6" s="3"/>
      <c r="C6" s="8" t="s">
        <v>1</v>
      </c>
      <c r="D6" s="34" t="s">
        <v>4</v>
      </c>
      <c r="E6" s="36"/>
      <c r="F6" s="34" t="s">
        <v>4</v>
      </c>
      <c r="G6" s="36"/>
      <c r="H6" s="34" t="s">
        <v>8</v>
      </c>
      <c r="I6" s="35"/>
      <c r="J6" s="36"/>
      <c r="K6" s="34" t="s">
        <v>12</v>
      </c>
      <c r="L6" s="35"/>
      <c r="M6" s="36"/>
      <c r="N6" s="34" t="s">
        <v>13</v>
      </c>
      <c r="O6" s="35"/>
      <c r="P6" s="36"/>
    </row>
    <row r="7" spans="1:17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  <c r="Q7" s="31" t="s">
        <v>31</v>
      </c>
    </row>
    <row r="8" spans="1:17" x14ac:dyDescent="0.25">
      <c r="A8" s="4"/>
      <c r="B8" s="29">
        <v>45078</v>
      </c>
      <c r="C8" t="s">
        <v>29</v>
      </c>
      <c r="D8">
        <v>18</v>
      </c>
      <c r="E8" s="41">
        <v>19</v>
      </c>
      <c r="H8" s="22">
        <v>204845.82499999998</v>
      </c>
      <c r="I8" s="22"/>
      <c r="J8" s="6">
        <f>+H8+I8</f>
        <v>204845.82499999998</v>
      </c>
      <c r="K8" s="25">
        <v>229115</v>
      </c>
      <c r="L8" s="25">
        <v>0</v>
      </c>
      <c r="M8" s="6">
        <f>+K8+L8</f>
        <v>229115</v>
      </c>
      <c r="N8" s="20">
        <f>+(K8-H8)/H8</f>
        <v>0.11847532162298167</v>
      </c>
      <c r="O8" s="30"/>
      <c r="P8" s="20">
        <f t="shared" ref="O8:P23" si="0">+(M8-J8)/J8</f>
        <v>0.11847532162298167</v>
      </c>
      <c r="Q8" t="s">
        <v>42</v>
      </c>
    </row>
    <row r="9" spans="1:17" x14ac:dyDescent="0.25">
      <c r="B9" s="29">
        <v>45108</v>
      </c>
      <c r="C9" t="s">
        <v>29</v>
      </c>
      <c r="D9">
        <v>18</v>
      </c>
      <c r="E9" s="41">
        <v>18</v>
      </c>
      <c r="H9" s="22">
        <v>210991.27999999997</v>
      </c>
      <c r="I9" s="22"/>
      <c r="J9" s="6">
        <f t="shared" ref="J9:J19" si="1">+H9+I9</f>
        <v>210991.27999999997</v>
      </c>
      <c r="K9" s="25">
        <v>190381.43</v>
      </c>
      <c r="L9" s="25">
        <v>0</v>
      </c>
      <c r="M9" s="6">
        <f t="shared" ref="M9:M19" si="2">+K9+L9</f>
        <v>190381.43</v>
      </c>
      <c r="N9" s="20">
        <f t="shared" ref="N9:P34" si="3">+(K9-H9)/H9</f>
        <v>-9.7681051084196363E-2</v>
      </c>
      <c r="O9" s="20"/>
      <c r="P9" s="20">
        <f t="shared" si="0"/>
        <v>-9.7681051084196363E-2</v>
      </c>
    </row>
    <row r="10" spans="1:17" x14ac:dyDescent="0.25">
      <c r="B10" s="29">
        <v>45139</v>
      </c>
      <c r="C10" t="s">
        <v>29</v>
      </c>
      <c r="D10">
        <v>18</v>
      </c>
      <c r="E10" s="41">
        <v>17</v>
      </c>
      <c r="H10" s="22">
        <v>210991.27999999997</v>
      </c>
      <c r="I10" s="22"/>
      <c r="J10" s="6">
        <f t="shared" si="1"/>
        <v>210991.27999999997</v>
      </c>
      <c r="K10" s="25">
        <v>194940.77</v>
      </c>
      <c r="L10" s="25">
        <v>0</v>
      </c>
      <c r="M10" s="6">
        <f t="shared" si="2"/>
        <v>194940.77</v>
      </c>
      <c r="N10" s="20">
        <f t="shared" si="3"/>
        <v>-7.6071911597483943E-2</v>
      </c>
      <c r="O10" s="20"/>
      <c r="P10" s="20">
        <f t="shared" si="0"/>
        <v>-7.6071911597483943E-2</v>
      </c>
      <c r="Q10" t="s">
        <v>36</v>
      </c>
    </row>
    <row r="11" spans="1:17" x14ac:dyDescent="0.25">
      <c r="B11" s="29">
        <v>45170</v>
      </c>
      <c r="C11" t="s">
        <v>29</v>
      </c>
      <c r="D11">
        <v>18</v>
      </c>
      <c r="E11" s="41">
        <v>19</v>
      </c>
      <c r="H11" s="22">
        <v>210991.27999999997</v>
      </c>
      <c r="I11" s="22"/>
      <c r="J11" s="6">
        <f t="shared" si="1"/>
        <v>210991.27999999997</v>
      </c>
      <c r="K11" s="25">
        <v>336536.1</v>
      </c>
      <c r="L11" s="25">
        <v>0</v>
      </c>
      <c r="M11" s="6">
        <f t="shared" si="2"/>
        <v>336536.1</v>
      </c>
      <c r="N11" s="20">
        <f t="shared" si="3"/>
        <v>0.59502373747389004</v>
      </c>
      <c r="O11" s="20"/>
      <c r="P11" s="20">
        <f t="shared" si="0"/>
        <v>0.59502373747389004</v>
      </c>
      <c r="Q11" s="39" t="s">
        <v>39</v>
      </c>
    </row>
    <row r="12" spans="1:17" x14ac:dyDescent="0.25">
      <c r="B12" s="29">
        <v>45200</v>
      </c>
      <c r="C12" t="s">
        <v>29</v>
      </c>
      <c r="D12">
        <v>18</v>
      </c>
      <c r="E12" s="41">
        <v>18</v>
      </c>
      <c r="H12" s="22">
        <v>210991.27999999997</v>
      </c>
      <c r="I12" s="22"/>
      <c r="J12" s="6">
        <f t="shared" si="1"/>
        <v>210991.27999999997</v>
      </c>
      <c r="K12" s="25">
        <v>249734.3</v>
      </c>
      <c r="L12" s="25">
        <v>0</v>
      </c>
      <c r="M12" s="6">
        <f t="shared" si="2"/>
        <v>249734.3</v>
      </c>
      <c r="N12" s="20">
        <f t="shared" si="3"/>
        <v>0.18362379715408156</v>
      </c>
      <c r="O12" s="20"/>
      <c r="P12" s="20">
        <f t="shared" si="0"/>
        <v>0.18362379715408156</v>
      </c>
      <c r="Q12" t="s">
        <v>42</v>
      </c>
    </row>
    <row r="13" spans="1:17" x14ac:dyDescent="0.25">
      <c r="B13" s="29">
        <v>45231</v>
      </c>
      <c r="C13" t="s">
        <v>29</v>
      </c>
      <c r="D13">
        <v>18</v>
      </c>
      <c r="E13" s="41">
        <v>17</v>
      </c>
      <c r="H13" s="22">
        <v>210991.27999999997</v>
      </c>
      <c r="I13" s="22"/>
      <c r="J13" s="6">
        <f t="shared" si="1"/>
        <v>210991.27999999997</v>
      </c>
      <c r="K13" s="25">
        <v>204879.23</v>
      </c>
      <c r="L13" s="25">
        <v>0</v>
      </c>
      <c r="M13" s="6">
        <f t="shared" si="2"/>
        <v>204879.23</v>
      </c>
      <c r="N13" s="20">
        <f t="shared" si="3"/>
        <v>-2.8968258783016815E-2</v>
      </c>
      <c r="O13" s="20"/>
      <c r="P13" s="20">
        <f t="shared" si="0"/>
        <v>-2.8968258783016815E-2</v>
      </c>
    </row>
    <row r="14" spans="1:17" x14ac:dyDescent="0.25">
      <c r="B14" s="29">
        <v>45261</v>
      </c>
      <c r="C14" t="s">
        <v>29</v>
      </c>
      <c r="D14">
        <v>18</v>
      </c>
      <c r="E14" s="41">
        <v>17</v>
      </c>
      <c r="H14" s="22">
        <v>210991.27999999997</v>
      </c>
      <c r="I14" s="22"/>
      <c r="J14" s="6">
        <f t="shared" si="1"/>
        <v>210991.27999999997</v>
      </c>
      <c r="K14" s="25">
        <v>180044.62</v>
      </c>
      <c r="L14" s="25">
        <v>0</v>
      </c>
      <c r="M14" s="6">
        <f t="shared" si="2"/>
        <v>180044.62</v>
      </c>
      <c r="N14" s="20">
        <f t="shared" si="3"/>
        <v>-0.14667269661570836</v>
      </c>
      <c r="O14" s="20"/>
      <c r="P14" s="20">
        <f t="shared" si="0"/>
        <v>-0.14667269661570836</v>
      </c>
      <c r="Q14" t="s">
        <v>36</v>
      </c>
    </row>
    <row r="15" spans="1:17" x14ac:dyDescent="0.25">
      <c r="B15" s="29">
        <v>45292</v>
      </c>
      <c r="C15" t="s">
        <v>29</v>
      </c>
      <c r="D15">
        <v>19</v>
      </c>
      <c r="E15" s="39">
        <v>17</v>
      </c>
      <c r="H15" s="22">
        <v>247981.10626717558</v>
      </c>
      <c r="I15" s="22"/>
      <c r="J15" s="6">
        <f t="shared" si="1"/>
        <v>247981.10626717558</v>
      </c>
      <c r="K15" s="25">
        <v>191045.42</v>
      </c>
      <c r="L15" s="25">
        <v>0</v>
      </c>
      <c r="M15" s="6">
        <f t="shared" si="2"/>
        <v>191045.42</v>
      </c>
      <c r="N15" s="20">
        <f t="shared" si="3"/>
        <v>-0.22959687181100358</v>
      </c>
      <c r="O15" s="20"/>
      <c r="P15" s="20">
        <f t="shared" si="0"/>
        <v>-0.22959687181100358</v>
      </c>
      <c r="Q15" t="s">
        <v>36</v>
      </c>
    </row>
    <row r="16" spans="1:17" x14ac:dyDescent="0.25">
      <c r="B16" s="29">
        <v>45323</v>
      </c>
      <c r="C16" t="s">
        <v>29</v>
      </c>
      <c r="D16">
        <v>19</v>
      </c>
      <c r="E16" s="39">
        <v>18</v>
      </c>
      <c r="H16" s="22">
        <v>226417.53180916028</v>
      </c>
      <c r="I16" s="22"/>
      <c r="J16" s="6">
        <f t="shared" si="1"/>
        <v>226417.53180916028</v>
      </c>
      <c r="K16" s="25">
        <f>199626.35-6643.2</f>
        <v>192983.15</v>
      </c>
      <c r="L16" s="25">
        <v>0</v>
      </c>
      <c r="M16" s="6">
        <f t="shared" si="2"/>
        <v>192983.15</v>
      </c>
      <c r="N16" s="20">
        <f t="shared" si="3"/>
        <v>-0.14766692995019928</v>
      </c>
      <c r="O16" s="20"/>
      <c r="P16" s="20">
        <f t="shared" si="0"/>
        <v>-0.14766692995019928</v>
      </c>
      <c r="Q16" t="s">
        <v>32</v>
      </c>
    </row>
    <row r="17" spans="2:17" x14ac:dyDescent="0.25">
      <c r="B17" s="29">
        <v>45352</v>
      </c>
      <c r="C17" t="s">
        <v>29</v>
      </c>
      <c r="D17">
        <v>19</v>
      </c>
      <c r="E17" s="39">
        <v>18</v>
      </c>
      <c r="H17" s="22">
        <v>226417.53180916028</v>
      </c>
      <c r="I17" s="22"/>
      <c r="J17" s="6">
        <f t="shared" si="1"/>
        <v>226417.53180916028</v>
      </c>
      <c r="K17" s="25">
        <v>317207.46999999997</v>
      </c>
      <c r="L17" s="25">
        <v>0</v>
      </c>
      <c r="M17" s="6">
        <f t="shared" si="2"/>
        <v>317207.46999999997</v>
      </c>
      <c r="N17" s="20">
        <f t="shared" si="3"/>
        <v>0.40098457688057243</v>
      </c>
      <c r="O17" s="20"/>
      <c r="P17" s="20">
        <f t="shared" si="0"/>
        <v>0.40098457688057243</v>
      </c>
      <c r="Q17" s="39" t="s">
        <v>39</v>
      </c>
    </row>
    <row r="18" spans="2:17" x14ac:dyDescent="0.25">
      <c r="B18" s="29">
        <v>45383</v>
      </c>
      <c r="C18" t="s">
        <v>29</v>
      </c>
      <c r="D18">
        <v>19</v>
      </c>
      <c r="E18" s="39">
        <v>17</v>
      </c>
      <c r="H18" s="22">
        <v>237199.31903816792</v>
      </c>
      <c r="I18" s="22"/>
      <c r="J18" s="6">
        <f t="shared" si="1"/>
        <v>237199.31903816792</v>
      </c>
      <c r="K18" s="25">
        <v>211063.67999999999</v>
      </c>
      <c r="L18" s="25">
        <v>0</v>
      </c>
      <c r="M18" s="6">
        <f t="shared" si="2"/>
        <v>211063.67999999999</v>
      </c>
      <c r="N18" s="20">
        <f t="shared" si="3"/>
        <v>-0.11018429202978622</v>
      </c>
      <c r="O18" s="20"/>
      <c r="P18" s="20">
        <f t="shared" si="0"/>
        <v>-0.11018429202978622</v>
      </c>
      <c r="Q18" t="s">
        <v>32</v>
      </c>
    </row>
    <row r="19" spans="2:17" x14ac:dyDescent="0.25">
      <c r="B19" s="29">
        <v>45413</v>
      </c>
      <c r="C19" t="s">
        <v>29</v>
      </c>
      <c r="D19">
        <v>19</v>
      </c>
      <c r="E19" s="39">
        <v>18</v>
      </c>
      <c r="H19" s="22">
        <v>247981.10626717558</v>
      </c>
      <c r="I19" s="22"/>
      <c r="J19" s="6">
        <f t="shared" si="1"/>
        <v>247981.10626717558</v>
      </c>
      <c r="K19" s="25">
        <v>262320.95</v>
      </c>
      <c r="L19" s="25">
        <v>0</v>
      </c>
      <c r="M19" s="6">
        <f t="shared" si="2"/>
        <v>262320.95</v>
      </c>
      <c r="N19" s="20">
        <f t="shared" si="3"/>
        <v>5.782635600219737E-2</v>
      </c>
      <c r="O19" s="20"/>
      <c r="P19" s="20">
        <f t="shared" si="0"/>
        <v>5.782635600219737E-2</v>
      </c>
      <c r="Q19" t="s">
        <v>32</v>
      </c>
    </row>
    <row r="20" spans="2:17" x14ac:dyDescent="0.25">
      <c r="B20" s="24"/>
      <c r="E20" s="39"/>
      <c r="K20" s="25"/>
      <c r="L20" s="25"/>
      <c r="M20" s="6"/>
      <c r="N20" s="20"/>
      <c r="O20" s="20"/>
      <c r="P20" s="20"/>
    </row>
    <row r="21" spans="2:17" x14ac:dyDescent="0.25">
      <c r="B21" s="29">
        <v>45078</v>
      </c>
      <c r="C21" t="s">
        <v>30</v>
      </c>
      <c r="D21">
        <v>119</v>
      </c>
      <c r="E21" s="41">
        <v>109</v>
      </c>
      <c r="H21" s="22">
        <v>703819.73333333444</v>
      </c>
      <c r="I21" s="6">
        <v>107368.46166666516</v>
      </c>
      <c r="J21" s="6">
        <f>+H21+I21</f>
        <v>811188.1949999996</v>
      </c>
      <c r="K21" s="25">
        <f>863989.1-K8</f>
        <v>634874.1</v>
      </c>
      <c r="L21" s="25">
        <v>109148</v>
      </c>
      <c r="M21" s="6">
        <f>+K21+L21</f>
        <v>744022.1</v>
      </c>
      <c r="N21" s="20">
        <f t="shared" si="3"/>
        <v>-9.7959221755269096E-2</v>
      </c>
      <c r="O21" s="20">
        <f t="shared" si="0"/>
        <v>1.6574125266501229E-2</v>
      </c>
      <c r="P21" s="20">
        <f t="shared" si="0"/>
        <v>-8.2799645524919974E-2</v>
      </c>
      <c r="Q21" t="s">
        <v>36</v>
      </c>
    </row>
    <row r="22" spans="2:17" x14ac:dyDescent="0.25">
      <c r="B22" s="29">
        <v>45108</v>
      </c>
      <c r="C22" t="s">
        <v>30</v>
      </c>
      <c r="D22">
        <v>119</v>
      </c>
      <c r="E22" s="41">
        <v>108</v>
      </c>
      <c r="H22" s="22">
        <v>730696.18000000017</v>
      </c>
      <c r="I22" s="6">
        <v>96401.589999999385</v>
      </c>
      <c r="J22" s="6">
        <f t="shared" ref="J22:J32" si="4">+H22+I22</f>
        <v>827097.76999999955</v>
      </c>
      <c r="K22" s="25">
        <f>810737.15-K9</f>
        <v>620355.72</v>
      </c>
      <c r="L22" s="25">
        <v>200943.51</v>
      </c>
      <c r="M22" s="6">
        <f t="shared" ref="M22:M32" si="5">+K22+L22</f>
        <v>821299.23</v>
      </c>
      <c r="N22" s="20">
        <f t="shared" si="3"/>
        <v>-0.15100730374695565</v>
      </c>
      <c r="O22" s="20">
        <f t="shared" si="0"/>
        <v>1.0844418644962317</v>
      </c>
      <c r="P22" s="20">
        <f t="shared" si="0"/>
        <v>-7.0107068478731053E-3</v>
      </c>
    </row>
    <row r="23" spans="2:17" x14ac:dyDescent="0.25">
      <c r="B23" s="29">
        <v>45139</v>
      </c>
      <c r="C23" t="s">
        <v>30</v>
      </c>
      <c r="D23">
        <v>119</v>
      </c>
      <c r="E23" s="41">
        <v>107</v>
      </c>
      <c r="H23" s="22">
        <v>735882.58000000007</v>
      </c>
      <c r="I23" s="6">
        <v>72515.199999999488</v>
      </c>
      <c r="J23" s="6">
        <f t="shared" si="4"/>
        <v>808397.77999999956</v>
      </c>
      <c r="K23" s="25">
        <f>814024.68-K10</f>
        <v>619083.91</v>
      </c>
      <c r="L23" s="25">
        <v>115260.96</v>
      </c>
      <c r="M23" s="6">
        <f t="shared" si="5"/>
        <v>734344.87</v>
      </c>
      <c r="N23" s="20">
        <f t="shared" si="3"/>
        <v>-0.15871916685403809</v>
      </c>
      <c r="O23" s="20">
        <f t="shared" si="0"/>
        <v>0.58947310357002147</v>
      </c>
      <c r="P23" s="20">
        <f t="shared" si="0"/>
        <v>-9.1604543990706666E-2</v>
      </c>
      <c r="Q23" t="s">
        <v>36</v>
      </c>
    </row>
    <row r="24" spans="2:17" x14ac:dyDescent="0.25">
      <c r="B24" s="29">
        <v>45170</v>
      </c>
      <c r="C24" t="s">
        <v>30</v>
      </c>
      <c r="D24">
        <v>119</v>
      </c>
      <c r="E24" s="41">
        <v>104</v>
      </c>
      <c r="H24" s="22">
        <v>747723.74000000011</v>
      </c>
      <c r="I24" s="6">
        <v>69143.989999999409</v>
      </c>
      <c r="J24" s="6">
        <f t="shared" si="4"/>
        <v>816867.72999999952</v>
      </c>
      <c r="K24" s="25">
        <f>1278460.12-K11</f>
        <v>941924.02000000014</v>
      </c>
      <c r="L24" s="25">
        <v>179281.43</v>
      </c>
      <c r="M24" s="6">
        <f t="shared" si="5"/>
        <v>1121205.4500000002</v>
      </c>
      <c r="N24" s="20">
        <f t="shared" si="3"/>
        <v>0.25972196629733862</v>
      </c>
      <c r="O24" s="20">
        <f t="shared" si="3"/>
        <v>1.592870761435687</v>
      </c>
      <c r="P24" s="20">
        <f t="shared" si="3"/>
        <v>0.37256670672986536</v>
      </c>
      <c r="Q24" s="39" t="s">
        <v>39</v>
      </c>
    </row>
    <row r="25" spans="2:17" x14ac:dyDescent="0.25">
      <c r="B25" s="29">
        <v>45200</v>
      </c>
      <c r="C25" t="s">
        <v>30</v>
      </c>
      <c r="D25">
        <v>119</v>
      </c>
      <c r="E25" s="41">
        <v>105</v>
      </c>
      <c r="H25" s="22">
        <v>747723.74000000011</v>
      </c>
      <c r="I25" s="6">
        <v>76019.039999999455</v>
      </c>
      <c r="J25" s="6">
        <f t="shared" si="4"/>
        <v>823742.77999999956</v>
      </c>
      <c r="K25" s="25">
        <f>851797.91-K12</f>
        <v>602063.6100000001</v>
      </c>
      <c r="L25" s="25">
        <v>80785.8</v>
      </c>
      <c r="M25" s="6">
        <f t="shared" si="5"/>
        <v>682849.41000000015</v>
      </c>
      <c r="N25" s="20">
        <f t="shared" si="3"/>
        <v>-0.1948047416549861</v>
      </c>
      <c r="O25" s="20">
        <f t="shared" si="3"/>
        <v>6.2704817108984567E-2</v>
      </c>
      <c r="P25" s="20">
        <f t="shared" si="3"/>
        <v>-0.17104049154761575</v>
      </c>
      <c r="Q25" t="s">
        <v>36</v>
      </c>
    </row>
    <row r="26" spans="2:17" x14ac:dyDescent="0.25">
      <c r="B26" s="29">
        <v>45231</v>
      </c>
      <c r="C26" t="s">
        <v>30</v>
      </c>
      <c r="D26">
        <v>119</v>
      </c>
      <c r="E26" s="41">
        <v>111</v>
      </c>
      <c r="H26" s="22">
        <v>747723.74000000011</v>
      </c>
      <c r="I26" s="6">
        <v>76019.079999999492</v>
      </c>
      <c r="J26" s="6">
        <f t="shared" si="4"/>
        <v>823742.8199999996</v>
      </c>
      <c r="K26" s="25">
        <f>865730.51-K13</f>
        <v>660851.28</v>
      </c>
      <c r="L26" s="25">
        <v>95854.7</v>
      </c>
      <c r="M26" s="6">
        <f t="shared" si="5"/>
        <v>756705.98</v>
      </c>
      <c r="N26" s="20">
        <f t="shared" si="3"/>
        <v>-0.11618256229232479</v>
      </c>
      <c r="O26" s="20">
        <f t="shared" si="3"/>
        <v>0.26092949296414319</v>
      </c>
      <c r="P26" s="20">
        <f t="shared" si="3"/>
        <v>-8.1380788241650043E-2</v>
      </c>
      <c r="Q26" t="s">
        <v>36</v>
      </c>
    </row>
    <row r="27" spans="2:17" x14ac:dyDescent="0.25">
      <c r="B27" s="29">
        <v>45261</v>
      </c>
      <c r="C27" t="s">
        <v>30</v>
      </c>
      <c r="D27">
        <v>119</v>
      </c>
      <c r="E27" s="41">
        <v>114</v>
      </c>
      <c r="H27" s="22">
        <v>747723.74000000011</v>
      </c>
      <c r="I27" s="6">
        <v>84322.970000000787</v>
      </c>
      <c r="J27" s="6">
        <f t="shared" si="4"/>
        <v>832046.71000000089</v>
      </c>
      <c r="K27" s="25">
        <f>820759.76-K14</f>
        <v>640715.14</v>
      </c>
      <c r="L27" s="25">
        <v>107611.61</v>
      </c>
      <c r="M27" s="6">
        <f t="shared" si="5"/>
        <v>748326.75</v>
      </c>
      <c r="N27" s="20">
        <f t="shared" si="3"/>
        <v>-0.14311248162322635</v>
      </c>
      <c r="O27" s="20">
        <f t="shared" si="3"/>
        <v>0.27618382037538519</v>
      </c>
      <c r="P27" s="20">
        <f t="shared" si="3"/>
        <v>-0.10061930297158533</v>
      </c>
      <c r="Q27" t="s">
        <v>36</v>
      </c>
    </row>
    <row r="28" spans="2:17" x14ac:dyDescent="0.25">
      <c r="B28" s="29">
        <v>45292</v>
      </c>
      <c r="C28" t="s">
        <v>30</v>
      </c>
      <c r="D28">
        <v>123</v>
      </c>
      <c r="E28" s="39">
        <v>113</v>
      </c>
      <c r="H28" s="22">
        <v>765942.50400000019</v>
      </c>
      <c r="I28" s="6">
        <v>44326.626249000008</v>
      </c>
      <c r="J28" s="6">
        <f t="shared" si="4"/>
        <v>810269.13024900015</v>
      </c>
      <c r="K28" s="25">
        <f>726702.5-K15</f>
        <v>535657.07999999996</v>
      </c>
      <c r="L28" s="25">
        <v>107484.57</v>
      </c>
      <c r="M28" s="6">
        <f t="shared" si="5"/>
        <v>643141.64999999991</v>
      </c>
      <c r="N28" s="20">
        <f t="shared" si="3"/>
        <v>-0.30065628006981604</v>
      </c>
      <c r="O28" s="20">
        <f t="shared" si="3"/>
        <v>1.4248308318394707</v>
      </c>
      <c r="P28" s="20">
        <f t="shared" si="3"/>
        <v>-0.20626169010985407</v>
      </c>
      <c r="Q28" t="s">
        <v>36</v>
      </c>
    </row>
    <row r="29" spans="2:17" x14ac:dyDescent="0.25">
      <c r="B29" s="29">
        <v>45323</v>
      </c>
      <c r="C29" t="s">
        <v>30</v>
      </c>
      <c r="D29">
        <v>123</v>
      </c>
      <c r="E29" s="39">
        <v>113</v>
      </c>
      <c r="H29" s="22">
        <v>743314.37722800043</v>
      </c>
      <c r="I29" s="6">
        <v>43975.569228000008</v>
      </c>
      <c r="J29" s="6">
        <f t="shared" si="4"/>
        <v>787289.94645600044</v>
      </c>
      <c r="K29" s="25">
        <f>729350.39-K16</f>
        <v>536367.24</v>
      </c>
      <c r="L29" s="25">
        <v>98055.11</v>
      </c>
      <c r="M29" s="6">
        <f t="shared" si="5"/>
        <v>634422.35</v>
      </c>
      <c r="N29" s="20">
        <f t="shared" si="3"/>
        <v>-0.27841132038876537</v>
      </c>
      <c r="O29" s="20">
        <f t="shared" si="3"/>
        <v>1.2297632917862633</v>
      </c>
      <c r="P29" s="20">
        <f t="shared" si="3"/>
        <v>-0.19416937450317592</v>
      </c>
      <c r="Q29" t="s">
        <v>36</v>
      </c>
    </row>
    <row r="30" spans="2:17" x14ac:dyDescent="0.25">
      <c r="B30" s="29">
        <v>45352</v>
      </c>
      <c r="C30" t="s">
        <v>30</v>
      </c>
      <c r="D30">
        <v>123</v>
      </c>
      <c r="E30" s="39">
        <v>114</v>
      </c>
      <c r="H30" s="22">
        <v>743314.37722800043</v>
      </c>
      <c r="I30" s="6">
        <v>43975.569228000008</v>
      </c>
      <c r="J30" s="6">
        <f t="shared" si="4"/>
        <v>787289.94645600044</v>
      </c>
      <c r="K30" s="25">
        <f>1120045.55-K17</f>
        <v>802838.08000000007</v>
      </c>
      <c r="L30" s="25">
        <v>136682.45000000001</v>
      </c>
      <c r="M30" s="6">
        <f t="shared" si="5"/>
        <v>939520.53</v>
      </c>
      <c r="N30" s="20">
        <f t="shared" si="3"/>
        <v>8.0078772314317342E-2</v>
      </c>
      <c r="O30" s="20">
        <f t="shared" si="3"/>
        <v>2.1081450996425515</v>
      </c>
      <c r="P30" s="20">
        <f t="shared" si="3"/>
        <v>0.19336025339745316</v>
      </c>
      <c r="Q30" s="39" t="s">
        <v>39</v>
      </c>
    </row>
    <row r="31" spans="2:17" x14ac:dyDescent="0.25">
      <c r="B31" s="29">
        <v>45383</v>
      </c>
      <c r="C31" t="s">
        <v>30</v>
      </c>
      <c r="D31">
        <v>123</v>
      </c>
      <c r="E31" s="39">
        <v>115</v>
      </c>
      <c r="H31" s="22">
        <v>776616.22522800008</v>
      </c>
      <c r="I31" s="6">
        <v>43975.569228000008</v>
      </c>
      <c r="J31" s="6">
        <f t="shared" si="4"/>
        <v>820591.79445600009</v>
      </c>
      <c r="K31" s="25">
        <f>754506.41-K18</f>
        <v>543442.73</v>
      </c>
      <c r="L31" s="25">
        <v>114866.24000000001</v>
      </c>
      <c r="M31" s="6">
        <f t="shared" si="5"/>
        <v>658308.97</v>
      </c>
      <c r="N31" s="20">
        <f t="shared" si="3"/>
        <v>-0.30024288400560356</v>
      </c>
      <c r="O31" s="20">
        <f t="shared" si="3"/>
        <v>1.6120466890252936</v>
      </c>
      <c r="P31" s="20">
        <f t="shared" si="3"/>
        <v>-0.19776315770203778</v>
      </c>
      <c r="Q31" t="s">
        <v>36</v>
      </c>
    </row>
    <row r="32" spans="2:17" x14ac:dyDescent="0.25">
      <c r="B32" s="29">
        <v>45413</v>
      </c>
      <c r="C32" t="s">
        <v>30</v>
      </c>
      <c r="D32">
        <v>123</v>
      </c>
      <c r="E32" s="39">
        <v>115</v>
      </c>
      <c r="H32" s="22">
        <v>807210.15322800027</v>
      </c>
      <c r="I32" s="6">
        <v>41267.649228000009</v>
      </c>
      <c r="J32" s="6">
        <f t="shared" si="4"/>
        <v>848477.80245600024</v>
      </c>
      <c r="K32" s="25">
        <f>864045.12-K19</f>
        <v>601724.16999999993</v>
      </c>
      <c r="L32" s="25">
        <v>120684.44</v>
      </c>
      <c r="M32" s="6">
        <f t="shared" si="5"/>
        <v>722408.60999999987</v>
      </c>
      <c r="N32" s="20">
        <f t="shared" si="3"/>
        <v>-0.2545631796209083</v>
      </c>
      <c r="O32" s="20">
        <f t="shared" si="3"/>
        <v>1.9244321461886391</v>
      </c>
      <c r="P32" s="20">
        <f t="shared" si="3"/>
        <v>-0.14858278212002837</v>
      </c>
      <c r="Q32" t="s">
        <v>36</v>
      </c>
    </row>
    <row r="33" spans="2:16" x14ac:dyDescent="0.25">
      <c r="B33" s="24"/>
    </row>
    <row r="34" spans="2:16" x14ac:dyDescent="0.25">
      <c r="B34" s="24" t="s">
        <v>11</v>
      </c>
      <c r="H34" s="18">
        <f t="shared" ref="H34:M34" si="6">SUM(H8:H32)</f>
        <v>11654481.190436179</v>
      </c>
      <c r="I34" s="18">
        <f t="shared" si="6"/>
        <v>799311.31482766313</v>
      </c>
      <c r="J34" s="18">
        <f t="shared" si="6"/>
        <v>12453792.505263839</v>
      </c>
      <c r="K34" s="18">
        <f t="shared" si="6"/>
        <v>10500149.200000001</v>
      </c>
      <c r="L34" s="18">
        <f t="shared" si="6"/>
        <v>1466658.82</v>
      </c>
      <c r="M34" s="18">
        <f t="shared" si="6"/>
        <v>11966808.02</v>
      </c>
      <c r="N34" s="20">
        <f t="shared" si="3"/>
        <v>-9.904619275403162E-2</v>
      </c>
      <c r="O34" s="20">
        <f t="shared" si="3"/>
        <v>0.83490311320842681</v>
      </c>
      <c r="P34" s="20">
        <f t="shared" si="3"/>
        <v>-3.9103308093338306E-2</v>
      </c>
    </row>
    <row r="35" spans="2:16" x14ac:dyDescent="0.25">
      <c r="H35" s="20"/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ED026-5CDE-49E0-9AE8-175F3B809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F0878E-42A0-4C4E-BE0A-9492EA7D5B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69E757-CD10-4E03-AB38-E011A3C6B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Test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Carrie Bessinger</cp:lastModifiedBy>
  <cp:lastPrinted>2024-12-16T20:21:32Z</cp:lastPrinted>
  <dcterms:created xsi:type="dcterms:W3CDTF">2015-06-05T18:17:20Z</dcterms:created>
  <dcterms:modified xsi:type="dcterms:W3CDTF">2025-03-03T17:01:31Z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